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730" windowHeight="9780" tabRatio="899" firstSheet="30"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毛坯建安单价" sheetId="88" r:id="rId17"/>
    <sheet name="系统读取表" sheetId="74" r:id="rId18"/>
    <sheet name="结果表" sheetId="9" r:id="rId19"/>
    <sheet name="成本法-共产划拨"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土地一级开发成本）-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7" state="hidden" r:id="rId44"/>
    <sheet name="共产房土地案例" sheetId="79" state="hidden" r:id="rId45"/>
    <sheet name="拆分后土地案例废弃" sheetId="78" state="hidden" r:id="rId46"/>
    <sheet name="案例-土地一级开发成本" sheetId="85" r:id="rId47"/>
    <sheet name="比较法-共产出让" sheetId="21" r:id="rId48"/>
    <sheet name="共产房土地案例新" sheetId="80" r:id="rId49"/>
    <sheet name="石景山共有产权" sheetId="84" r:id="rId50"/>
    <sheet name="土地开发建设补偿费" sheetId="87" state="hidden" r:id="rId51"/>
    <sheet name="出让金加利息利润" sheetId="68" r:id="rId52"/>
    <sheet name="Sheet1" sheetId="89" r:id="rId53"/>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7" hidden="1">'比较法-共产出让'!$A$1:$L$49</definedName>
    <definedName name="_xlnm._FilterDatabase" localSheetId="25" hidden="1">'比较法-商业'!$A$1:$L$49</definedName>
    <definedName name="_xlnm._FilterDatabase" localSheetId="11" hidden="1">'数据-基础表'!$A$12:$AT$587</definedName>
    <definedName name="_xlnm._FilterDatabase" localSheetId="43" hidden="1">土地案例!$A$2:$R$88</definedName>
    <definedName name="_xlnm._FilterDatabase" localSheetId="30" hidden="1">'土地比较法（土地一级开发成本）-住宅、综合'!$A$1:$L$48</definedName>
    <definedName name="_xlnm._FilterDatabase" localSheetId="31" hidden="1">'土地比较法-工业'!$A$1:$L$43</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7">'比较法-共产出让'!$A$1:$K$54,'比较法-共产出让'!$A$57:$M$131</definedName>
    <definedName name="_xlnm.Print_Area" localSheetId="25">'比较法-商业'!$A$1:$K$54,'比较法-商业'!$A$57:$M$131</definedName>
    <definedName name="_xlnm.Print_Area" localSheetId="19">'成本法-共产划拨'!$A$1:$G$57</definedName>
    <definedName name="_xlnm.Print_Area" localSheetId="51">出让金加利息利润!$A$1:$G$57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'土地比较法（土地一级开发成本）-住宅、综合'!$A$1:$K$66,'土地比较法（土地一级开发成本）-住宅、综合'!$A$69:$M$132</definedName>
    <definedName name="_xlnm.Print_Area" localSheetId="31">'土地比较法-工业'!$A$1:$K$61,'土地比较法-工业'!$A$64:$M$121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'土地比较法（土地一级开发成本）-住宅、综合'!$A$73:$M$73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'土地比较法（土地一级开发成本）-住宅、综合'!$B$106:$M$106</definedName>
    <definedName name="套综工程地质条件">'土地比较法（土地一级开发成本）-住宅、综合'!$B$125:$M$125</definedName>
    <definedName name="套综交易情况">'土地比较法（土地一级开发成本）-住宅、综合'!$A$73:$M$73</definedName>
    <definedName name="套综临街宽度及深度">'土地比较法（土地一级开发成本）-住宅、综合'!$B$121:$M$121</definedName>
    <definedName name="套综土地级别">'土地比较法（土地一级开发成本）-住宅、综合'!$B$108:$M$108</definedName>
    <definedName name="套综用途">'土地比较法（土地一级开发成本）-住宅、综合'!$B$75:$M$75</definedName>
    <definedName name="套综宗地内开发程度">'土地比较法（土地一级开发成本）-住宅、综合'!$B$123:$M$123</definedName>
    <definedName name="套综宗地形状">'土地比较法（土地一级开发成本）-住宅、综合'!$B$119:$M$119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'比较法-共产出让'!$B$88:$M$88</definedName>
    <definedName name="住宅房型">'比较法-共产出让'!$B$118:$M$118</definedName>
    <definedName name="住宅公共部分装修">'比较法-共产出让'!$B$109:$M$109</definedName>
    <definedName name="住宅基础设施水平">'比较法-共产出让'!$B$116:$M$116</definedName>
    <definedName name="住宅建筑结构">'比较法-共产出让'!$B$105:$M$105</definedName>
    <definedName name="住宅建筑类型">'比较法-共产出让'!$B$100:$M$100</definedName>
    <definedName name="住宅建筑品质">'比较法-共产出让'!$B$107:$M$107</definedName>
    <definedName name="住宅交易情况">'比较法-共产出让'!$A$61:$M$61</definedName>
    <definedName name="住宅楼层">'比较法-共产出让'!$B$86:$M$86</definedName>
    <definedName name="住宅内部装修">'比较法-共产出让'!$B$122:$M$122</definedName>
    <definedName name="住宅物业管理">'比较法-共产出让'!$B$114:$M$114</definedName>
    <definedName name="住宅用途">'比较法-共产出让'!$B$63:$M$63</definedName>
    <definedName name="住宅主力户型面积">'比较法-共产出让'!$B$120:$M$120</definedName>
    <definedName name="注册房地产估价师">估价师及机构信息!$A$3:$A$16</definedName>
  </definedNames>
  <calcPr calcId="144525"/>
</workbook>
</file>

<file path=xl/calcChain.xml><?xml version="1.0" encoding="utf-8"?>
<calcChain xmlns="http://schemas.openxmlformats.org/spreadsheetml/2006/main">
  <c r="I11" i="21" l="1"/>
  <c r="I5" i="21"/>
  <c r="G11" i="39" l="1"/>
  <c r="D30" i="68" l="1"/>
  <c r="C30" i="68"/>
  <c r="C30" i="69"/>
  <c r="G7" i="21"/>
  <c r="E7" i="21"/>
  <c r="G5" i="21"/>
  <c r="E5" i="21"/>
  <c r="J27" i="89"/>
  <c r="U21" i="89"/>
  <c r="R21" i="89"/>
  <c r="T20" i="89"/>
  <c r="T21" i="89" s="1"/>
  <c r="Q20" i="89"/>
  <c r="Q21" i="89" s="1"/>
  <c r="O20" i="89"/>
  <c r="O21" i="89" s="1"/>
  <c r="X20" i="89" s="1"/>
  <c r="N20" i="89"/>
  <c r="N21" i="89" s="1"/>
  <c r="M20" i="89"/>
  <c r="M21" i="89" s="1"/>
  <c r="L20" i="89"/>
  <c r="L21" i="89" s="1"/>
  <c r="J20" i="89"/>
  <c r="J21" i="89" s="1"/>
  <c r="I20" i="89"/>
  <c r="I21" i="89" s="1"/>
  <c r="E20" i="89"/>
  <c r="E21" i="89" s="1"/>
  <c r="AA19" i="89" s="1"/>
  <c r="D20" i="89"/>
  <c r="D21" i="89" s="1"/>
  <c r="AB19" i="89"/>
  <c r="S19" i="89"/>
  <c r="H19" i="89"/>
  <c r="H20" i="89" s="1"/>
  <c r="X13" i="89" s="1"/>
  <c r="AA13" i="89" s="1"/>
  <c r="S18" i="89"/>
  <c r="G18" i="89"/>
  <c r="S17" i="89"/>
  <c r="G17" i="89"/>
  <c r="G20" i="89" s="1"/>
  <c r="X12" i="89" s="1"/>
  <c r="X16" i="89"/>
  <c r="X15" i="89"/>
  <c r="K15" i="89"/>
  <c r="X14" i="89"/>
  <c r="Z14" i="89" s="1"/>
  <c r="P13" i="89"/>
  <c r="P20" i="89" s="1"/>
  <c r="P21" i="89" s="1"/>
  <c r="X17" i="89" s="1"/>
  <c r="K12" i="89"/>
  <c r="K20" i="89" s="1"/>
  <c r="K21" i="89" s="1"/>
  <c r="AA10" i="89"/>
  <c r="S10" i="89"/>
  <c r="F10" i="89"/>
  <c r="S9" i="89"/>
  <c r="F9" i="89"/>
  <c r="S8" i="89"/>
  <c r="F8" i="89"/>
  <c r="S7" i="89"/>
  <c r="F7" i="89"/>
  <c r="S6" i="89"/>
  <c r="F6" i="89"/>
  <c r="C6" i="89"/>
  <c r="S5" i="89"/>
  <c r="S20" i="89" s="1"/>
  <c r="S21" i="89" s="1"/>
  <c r="F5" i="89"/>
  <c r="F20" i="89" s="1"/>
  <c r="W2" i="89"/>
  <c r="F21" i="89" l="1"/>
  <c r="X11" i="89"/>
  <c r="X18" i="89"/>
  <c r="Y15" i="89"/>
  <c r="Y14" i="89"/>
  <c r="Z10" i="89"/>
  <c r="J23" i="89"/>
  <c r="D22" i="89"/>
  <c r="X21" i="89"/>
  <c r="L24" i="89"/>
  <c r="O24" i="89"/>
  <c r="X19" i="89"/>
  <c r="Q24" i="89"/>
  <c r="N6" i="80"/>
  <c r="C6" i="68" s="1"/>
  <c r="D13" i="87"/>
  <c r="D12" i="87"/>
  <c r="D11" i="87"/>
  <c r="D10" i="87"/>
  <c r="D9" i="87"/>
  <c r="D8" i="87"/>
  <c r="D7" i="87"/>
  <c r="D6" i="87"/>
  <c r="D5" i="87"/>
  <c r="D4" i="87"/>
  <c r="D3" i="87"/>
  <c r="D2" i="87"/>
  <c r="A52" i="84"/>
  <c r="A51" i="84"/>
  <c r="A48" i="84"/>
  <c r="A47" i="84"/>
  <c r="N5" i="80"/>
  <c r="Y8" i="85"/>
  <c r="X8" i="85"/>
  <c r="W8" i="85"/>
  <c r="Y7" i="85"/>
  <c r="X7" i="85"/>
  <c r="W7" i="85"/>
  <c r="O6" i="85"/>
  <c r="O5" i="85"/>
  <c r="O4" i="85"/>
  <c r="O3" i="85"/>
  <c r="O2" i="85"/>
  <c r="P7" i="78"/>
  <c r="O7" i="78"/>
  <c r="N7" i="78"/>
  <c r="M7" i="78"/>
  <c r="L7" i="78"/>
  <c r="K7" i="78"/>
  <c r="J7" i="78"/>
  <c r="I7" i="78"/>
  <c r="H7" i="78"/>
  <c r="G7" i="78"/>
  <c r="B7" i="78"/>
  <c r="A7" i="78"/>
  <c r="P6" i="78"/>
  <c r="O6" i="78"/>
  <c r="N6" i="78"/>
  <c r="M6" i="78"/>
  <c r="L6" i="78"/>
  <c r="K6" i="78"/>
  <c r="J6" i="78"/>
  <c r="I6" i="78"/>
  <c r="H6" i="78"/>
  <c r="G6" i="78"/>
  <c r="B6" i="78"/>
  <c r="A6" i="78"/>
  <c r="P5" i="78"/>
  <c r="O5" i="78"/>
  <c r="N5" i="78"/>
  <c r="M5" i="78"/>
  <c r="L5" i="78"/>
  <c r="K5" i="78"/>
  <c r="J5" i="78"/>
  <c r="I5" i="78"/>
  <c r="H5" i="78"/>
  <c r="G5" i="78"/>
  <c r="B5" i="78"/>
  <c r="A5" i="78"/>
  <c r="P4" i="78"/>
  <c r="O4" i="78"/>
  <c r="N4" i="78"/>
  <c r="M4" i="78"/>
  <c r="L4" i="78"/>
  <c r="K4" i="78"/>
  <c r="J4" i="78"/>
  <c r="I4" i="78"/>
  <c r="H4" i="78"/>
  <c r="G4" i="78"/>
  <c r="B4" i="78"/>
  <c r="A4" i="78"/>
  <c r="O3" i="78"/>
  <c r="N3" i="78"/>
  <c r="M3" i="78"/>
  <c r="L3" i="78"/>
  <c r="K3" i="78"/>
  <c r="J3" i="78"/>
  <c r="I3" i="78"/>
  <c r="H3" i="78"/>
  <c r="G3" i="78"/>
  <c r="F3" i="78"/>
  <c r="B3" i="78"/>
  <c r="A3" i="78"/>
  <c r="Q12" i="79"/>
  <c r="H12" i="79"/>
  <c r="Q11" i="79"/>
  <c r="Q10" i="79"/>
  <c r="Q9" i="79"/>
  <c r="Q8" i="79"/>
  <c r="Q7" i="79"/>
  <c r="Q6" i="79"/>
  <c r="Q5" i="79"/>
  <c r="Q4" i="79"/>
  <c r="Q3" i="79"/>
  <c r="Q2" i="79"/>
  <c r="S87" i="77"/>
  <c r="H87" i="77"/>
  <c r="S86" i="77"/>
  <c r="S85" i="77"/>
  <c r="S84" i="77"/>
  <c r="S83" i="77"/>
  <c r="S82" i="77"/>
  <c r="S81" i="77"/>
  <c r="S80" i="77"/>
  <c r="S79" i="77"/>
  <c r="S78" i="77"/>
  <c r="S77" i="77"/>
  <c r="S76" i="77"/>
  <c r="S75" i="77"/>
  <c r="S74" i="77"/>
  <c r="S73" i="77"/>
  <c r="S72" i="77"/>
  <c r="S71" i="77"/>
  <c r="S70" i="77"/>
  <c r="S69" i="77"/>
  <c r="S68" i="77"/>
  <c r="S67" i="77"/>
  <c r="S66" i="77"/>
  <c r="S65" i="77"/>
  <c r="S64" i="77"/>
  <c r="S63" i="77"/>
  <c r="S62" i="77"/>
  <c r="S61" i="77"/>
  <c r="S60" i="77"/>
  <c r="S59" i="77"/>
  <c r="S58" i="77"/>
  <c r="S57" i="77"/>
  <c r="S56" i="77"/>
  <c r="S55" i="77"/>
  <c r="S54" i="77"/>
  <c r="S53" i="77"/>
  <c r="S52" i="77"/>
  <c r="S51" i="77"/>
  <c r="S50" i="77"/>
  <c r="S49" i="77"/>
  <c r="S48" i="77"/>
  <c r="S47" i="77"/>
  <c r="S46" i="77"/>
  <c r="S45" i="77"/>
  <c r="S44" i="77"/>
  <c r="S43" i="77"/>
  <c r="S42" i="77"/>
  <c r="S41" i="77"/>
  <c r="S40" i="77"/>
  <c r="S39" i="77"/>
  <c r="S38" i="77"/>
  <c r="S37" i="77"/>
  <c r="S36" i="77"/>
  <c r="S35" i="77"/>
  <c r="S34" i="77"/>
  <c r="S33" i="77"/>
  <c r="S32" i="77"/>
  <c r="S31" i="77"/>
  <c r="S30" i="77"/>
  <c r="S29" i="77"/>
  <c r="S28" i="77"/>
  <c r="S27" i="77"/>
  <c r="S26" i="77"/>
  <c r="S25" i="77"/>
  <c r="S24" i="77"/>
  <c r="S23" i="77"/>
  <c r="S22" i="77"/>
  <c r="S21" i="77"/>
  <c r="S20" i="77"/>
  <c r="S19" i="77"/>
  <c r="S18" i="77"/>
  <c r="S17" i="77"/>
  <c r="S16" i="77"/>
  <c r="S15" i="77"/>
  <c r="S14" i="77"/>
  <c r="S13" i="77"/>
  <c r="S12" i="77"/>
  <c r="S11" i="77"/>
  <c r="S10" i="77"/>
  <c r="S9" i="77"/>
  <c r="S8" i="77"/>
  <c r="S7" i="77"/>
  <c r="S6" i="77"/>
  <c r="S5" i="77"/>
  <c r="S4" i="77"/>
  <c r="S3" i="77"/>
  <c r="L1" i="73"/>
  <c r="J1" i="73"/>
  <c r="C1" i="73"/>
  <c r="F50" i="11"/>
  <c r="C48" i="11"/>
  <c r="C47" i="11"/>
  <c r="C46" i="11"/>
  <c r="D45" i="11"/>
  <c r="C45" i="11"/>
  <c r="C40" i="11"/>
  <c r="C39" i="11"/>
  <c r="F38" i="11"/>
  <c r="C38" i="11"/>
  <c r="E37" i="11"/>
  <c r="D37" i="11"/>
  <c r="C37" i="11"/>
  <c r="F36" i="11"/>
  <c r="C36" i="11"/>
  <c r="F35" i="11"/>
  <c r="C35" i="11"/>
  <c r="F34" i="11"/>
  <c r="C34" i="11"/>
  <c r="C33" i="11"/>
  <c r="F30" i="11"/>
  <c r="C30" i="11"/>
  <c r="C29" i="11"/>
  <c r="F27" i="11"/>
  <c r="D27" i="11"/>
  <c r="F21" i="11"/>
  <c r="C21" i="11"/>
  <c r="F20" i="11"/>
  <c r="E19" i="11"/>
  <c r="D19" i="11"/>
  <c r="C19" i="11"/>
  <c r="E10" i="11"/>
  <c r="D10" i="11"/>
  <c r="C10" i="11"/>
  <c r="E9" i="11"/>
  <c r="D9" i="11"/>
  <c r="C9" i="11"/>
  <c r="C8" i="11"/>
  <c r="F7" i="11"/>
  <c r="C7" i="11" s="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4" i="71"/>
  <c r="F83" i="71"/>
  <c r="E83" i="71"/>
  <c r="D83" i="71"/>
  <c r="C83" i="71"/>
  <c r="B83" i="71"/>
  <c r="F82" i="71"/>
  <c r="E82" i="71"/>
  <c r="D82" i="71"/>
  <c r="C82" i="71"/>
  <c r="B82" i="71"/>
  <c r="F81" i="71"/>
  <c r="E81" i="71"/>
  <c r="D81" i="71"/>
  <c r="C81" i="71"/>
  <c r="B81" i="71"/>
  <c r="D80" i="71"/>
  <c r="F79" i="71"/>
  <c r="E79" i="71"/>
  <c r="D79" i="71"/>
  <c r="C79" i="71"/>
  <c r="B79" i="71"/>
  <c r="F78" i="71"/>
  <c r="E78" i="71"/>
  <c r="D78" i="71"/>
  <c r="C78" i="71"/>
  <c r="B78" i="71"/>
  <c r="F77" i="71"/>
  <c r="E77" i="71"/>
  <c r="D77" i="71"/>
  <c r="C77" i="71"/>
  <c r="B77" i="71"/>
  <c r="D76" i="71"/>
  <c r="V75" i="71"/>
  <c r="U75" i="71"/>
  <c r="T75" i="71"/>
  <c r="S75" i="71"/>
  <c r="Q75" i="71"/>
  <c r="P75" i="71"/>
  <c r="O75" i="71"/>
  <c r="N75" i="71"/>
  <c r="F75" i="71"/>
  <c r="E75" i="71"/>
  <c r="D75" i="71"/>
  <c r="C75" i="71"/>
  <c r="B75" i="71"/>
  <c r="Q74" i="71"/>
  <c r="P74" i="71"/>
  <c r="O74" i="71"/>
  <c r="N74" i="71"/>
  <c r="F74" i="71"/>
  <c r="E74" i="71"/>
  <c r="D74" i="71"/>
  <c r="C74" i="71"/>
  <c r="B74" i="71"/>
  <c r="Q73" i="71"/>
  <c r="P73" i="71"/>
  <c r="O73" i="71"/>
  <c r="N73" i="71"/>
  <c r="F73" i="71"/>
  <c r="E73" i="71"/>
  <c r="D73" i="71"/>
  <c r="C73" i="71"/>
  <c r="B73" i="71"/>
  <c r="Q72" i="71"/>
  <c r="P72" i="71"/>
  <c r="O72" i="71"/>
  <c r="N72"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AH35" i="71"/>
  <c r="AG35" i="71"/>
  <c r="AF35" i="71"/>
  <c r="AE35" i="71"/>
  <c r="AD35" i="71"/>
  <c r="V35" i="71"/>
  <c r="U35" i="71"/>
  <c r="T35" i="71"/>
  <c r="S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D32" i="71"/>
  <c r="AH31" i="71"/>
  <c r="AG31" i="71"/>
  <c r="AF31" i="71"/>
  <c r="AE31" i="71"/>
  <c r="AD31" i="71"/>
  <c r="AB31" i="71"/>
  <c r="AA31" i="71"/>
  <c r="Z31" i="71"/>
  <c r="Y31" i="71"/>
  <c r="X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I20" i="43"/>
  <c r="C20" i="43" s="1"/>
  <c r="G20" i="43"/>
  <c r="E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R43" i="40"/>
  <c r="C42" i="40" s="1"/>
  <c r="P43" i="40"/>
  <c r="C43" i="40"/>
  <c r="B60" i="40" s="1"/>
  <c r="F60" i="40" s="1"/>
  <c r="V42" i="40"/>
  <c r="T42" i="40"/>
  <c r="G42" i="40" s="1"/>
  <c r="R42" i="40"/>
  <c r="P42" i="40"/>
  <c r="K42" i="40"/>
  <c r="I42" i="40"/>
  <c r="I47" i="40" s="1"/>
  <c r="J47" i="40" s="1"/>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D124" i="39"/>
  <c r="E124" i="39" s="1"/>
  <c r="F124" i="39" s="1"/>
  <c r="G124" i="39" s="1"/>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D101" i="39"/>
  <c r="E101" i="39" s="1"/>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D81" i="39"/>
  <c r="E81" i="39" s="1"/>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H27" i="39"/>
  <c r="AB27" i="39" s="1"/>
  <c r="F27" i="39"/>
  <c r="AA27" i="39" s="1"/>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I12" i="39"/>
  <c r="D82" i="39" s="1"/>
  <c r="G12" i="39"/>
  <c r="E12" i="39"/>
  <c r="C12" i="39"/>
  <c r="C82" i="39" s="1"/>
  <c r="B12" i="39"/>
  <c r="Z11" i="39"/>
  <c r="Q11" i="39"/>
  <c r="I11" i="39"/>
  <c r="E11" i="39"/>
  <c r="C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F24" i="12"/>
  <c r="C24" i="12" s="1"/>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48" i="69"/>
  <c r="C48" i="69"/>
  <c r="F40" i="69"/>
  <c r="C40" i="69"/>
  <c r="F39" i="69"/>
  <c r="F38" i="69"/>
  <c r="E37" i="69"/>
  <c r="F36" i="69"/>
  <c r="F35" i="69"/>
  <c r="F21" i="69"/>
  <c r="C21" i="69"/>
  <c r="F20" i="69"/>
  <c r="E19" i="69"/>
  <c r="C19" i="69"/>
  <c r="E10" i="69"/>
  <c r="E9" i="69"/>
  <c r="C8" i="69"/>
  <c r="F7" i="69"/>
  <c r="H1" i="69"/>
  <c r="G1" i="69"/>
  <c r="K145" i="21"/>
  <c r="C145" i="21"/>
  <c r="K144" i="21"/>
  <c r="K143" i="21"/>
  <c r="J142" i="21"/>
  <c r="K141" i="21"/>
  <c r="J140" i="21"/>
  <c r="K139" i="21"/>
  <c r="B130" i="21"/>
  <c r="B128" i="21"/>
  <c r="B126" i="21"/>
  <c r="G125" i="21"/>
  <c r="F125" i="21"/>
  <c r="E125" i="2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F85" i="21" s="1"/>
  <c r="G85" i="21" s="1"/>
  <c r="G83" i="21"/>
  <c r="F83" i="21"/>
  <c r="E83" i="21"/>
  <c r="D83" i="21"/>
  <c r="E81" i="21"/>
  <c r="F81" i="21" s="1"/>
  <c r="G81" i="21" s="1"/>
  <c r="D81" i="21"/>
  <c r="E79" i="21"/>
  <c r="F79" i="21" s="1"/>
  <c r="G79" i="21" s="1"/>
  <c r="D79" i="21"/>
  <c r="E77" i="21"/>
  <c r="F77" i="21" s="1"/>
  <c r="G77" i="21" s="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I54" i="21"/>
  <c r="J54" i="21" s="1"/>
  <c r="G54" i="21"/>
  <c r="H54" i="21" s="1"/>
  <c r="F54" i="21"/>
  <c r="E54" i="21"/>
  <c r="P49" i="21"/>
  <c r="P48" i="21"/>
  <c r="K48" i="21"/>
  <c r="V47" i="21"/>
  <c r="T47" i="21"/>
  <c r="R47" i="21"/>
  <c r="P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AC41" i="21"/>
  <c r="AB41" i="21"/>
  <c r="AA41" i="21"/>
  <c r="Z41" i="21"/>
  <c r="W41" i="21"/>
  <c r="U41" i="21"/>
  <c r="S41" i="21"/>
  <c r="Q41" i="21"/>
  <c r="J41" i="21"/>
  <c r="H41" i="21"/>
  <c r="F41" i="21"/>
  <c r="AC40" i="21"/>
  <c r="AB40" i="21"/>
  <c r="AA40" i="21"/>
  <c r="Z40" i="21"/>
  <c r="W40" i="21"/>
  <c r="U40" i="21"/>
  <c r="S40" i="21"/>
  <c r="Q40" i="21"/>
  <c r="J40" i="21"/>
  <c r="H40" i="21"/>
  <c r="F40" i="21"/>
  <c r="Z39" i="21"/>
  <c r="Q39" i="21"/>
  <c r="J39" i="21"/>
  <c r="AC39" i="21" s="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AC23" i="21" s="1"/>
  <c r="F23" i="21"/>
  <c r="AA23" i="21" s="1"/>
  <c r="C23" i="21"/>
  <c r="AC21" i="21"/>
  <c r="AB21" i="21"/>
  <c r="AA21" i="21"/>
  <c r="Z21" i="21"/>
  <c r="W21" i="21"/>
  <c r="U21" i="21"/>
  <c r="S21" i="21"/>
  <c r="Q21" i="21"/>
  <c r="J21" i="21"/>
  <c r="H21" i="21"/>
  <c r="F21" i="2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Z12" i="21"/>
  <c r="Q12" i="21"/>
  <c r="J12" i="21"/>
  <c r="AC12" i="21" s="1"/>
  <c r="F12" i="21"/>
  <c r="AA12" i="21" s="1"/>
  <c r="C12" i="21"/>
  <c r="H12" i="21" s="1"/>
  <c r="B12" i="21"/>
  <c r="Z11" i="21"/>
  <c r="Q11" i="21"/>
  <c r="J11" i="21"/>
  <c r="AC11" i="21" s="1"/>
  <c r="H11" i="21"/>
  <c r="AB11" i="21" s="1"/>
  <c r="F11" i="21"/>
  <c r="AA11"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J7" i="21"/>
  <c r="W7" i="21" s="1"/>
  <c r="H7" i="21"/>
  <c r="AB7" i="21" s="1"/>
  <c r="F7" i="21"/>
  <c r="S7" i="21" s="1"/>
  <c r="C7" i="21"/>
  <c r="D3" i="21"/>
  <c r="F50" i="68"/>
  <c r="F48" i="68"/>
  <c r="C48" i="68"/>
  <c r="F40" i="68"/>
  <c r="C40" i="68"/>
  <c r="F39" i="68"/>
  <c r="F38" i="68"/>
  <c r="E37" i="68"/>
  <c r="F36" i="68"/>
  <c r="F35" i="68"/>
  <c r="F34" i="68"/>
  <c r="C36" i="68" s="1"/>
  <c r="F27" i="68"/>
  <c r="C29" i="68" s="1"/>
  <c r="D27" i="68" s="1"/>
  <c r="F21" i="68"/>
  <c r="C21" i="68"/>
  <c r="F20" i="68"/>
  <c r="E19" i="68"/>
  <c r="E10" i="68"/>
  <c r="D10" i="68"/>
  <c r="C10" i="68" s="1"/>
  <c r="E9" i="68"/>
  <c r="D9" i="68"/>
  <c r="D19" i="68" s="1"/>
  <c r="C8" i="68"/>
  <c r="F7" i="68"/>
  <c r="G1" i="68"/>
  <c r="D126" i="9"/>
  <c r="D127" i="9" s="1"/>
  <c r="D13" i="52" s="1"/>
  <c r="A126" i="9"/>
  <c r="A124" i="9"/>
  <c r="D122" i="9"/>
  <c r="D123" i="9" s="1"/>
  <c r="D9" i="52" s="1"/>
  <c r="A122" i="9"/>
  <c r="D121" i="9"/>
  <c r="K120" i="9"/>
  <c r="D120" i="9"/>
  <c r="A120" i="9"/>
  <c r="C118" i="9"/>
  <c r="B118" i="9"/>
  <c r="A118" i="9"/>
  <c r="H112" i="9"/>
  <c r="H111" i="9"/>
  <c r="E111" i="9"/>
  <c r="E109" i="9"/>
  <c r="H108" i="9"/>
  <c r="H107" i="9"/>
  <c r="E107" i="9"/>
  <c r="H106" i="9"/>
  <c r="H105" i="9"/>
  <c r="H104" i="9"/>
  <c r="H103" i="9"/>
  <c r="D101" i="9"/>
  <c r="C101" i="9"/>
  <c r="D93" i="9"/>
  <c r="C91" i="9"/>
  <c r="E90" i="9"/>
  <c r="D89" i="9"/>
  <c r="C89" i="9" s="1"/>
  <c r="C87" i="9" s="1"/>
  <c r="D78" i="9"/>
  <c r="H77" i="9"/>
  <c r="D77" i="9"/>
  <c r="C77" i="9" s="1"/>
  <c r="C74" i="9" s="1"/>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F118" i="9" s="1"/>
  <c r="C34" i="9"/>
  <c r="E118" i="9" s="1"/>
  <c r="D118" i="9" s="1"/>
  <c r="F33" i="9"/>
  <c r="D27" i="9"/>
  <c r="C25" i="9"/>
  <c r="C24" i="9"/>
  <c r="M19" i="9"/>
  <c r="L19" i="9"/>
  <c r="M18" i="9"/>
  <c r="L18" i="9"/>
  <c r="C17" i="9"/>
  <c r="D14" i="9"/>
  <c r="D17" i="9" s="1"/>
  <c r="L4" i="9"/>
  <c r="K4" i="9"/>
  <c r="A2" i="9"/>
  <c r="H1" i="9"/>
  <c r="F23" i="74"/>
  <c r="E23" i="74"/>
  <c r="F22" i="74"/>
  <c r="E22" i="74"/>
  <c r="F21" i="74"/>
  <c r="E21" i="74"/>
  <c r="F20" i="74"/>
  <c r="E20" i="74"/>
  <c r="F19" i="74"/>
  <c r="E19" i="74"/>
  <c r="F18" i="74"/>
  <c r="E18" i="74"/>
  <c r="F17" i="74"/>
  <c r="E17" i="74"/>
  <c r="F16" i="74"/>
  <c r="E16" i="74"/>
  <c r="F15" i="74"/>
  <c r="E15" i="74"/>
  <c r="I14" i="74"/>
  <c r="G14" i="74"/>
  <c r="C14" i="74"/>
  <c r="B14" i="74"/>
  <c r="B8" i="74"/>
  <c r="D8" i="74" s="1"/>
  <c r="B6" i="74"/>
  <c r="D6" i="74" s="1"/>
  <c r="B3" i="74"/>
  <c r="B2" i="74"/>
  <c r="B1" i="74"/>
  <c r="C24" i="20"/>
  <c r="C22" i="20"/>
  <c r="C21" i="20"/>
  <c r="G20" i="20"/>
  <c r="C20" i="20"/>
  <c r="G19" i="20"/>
  <c r="G18" i="20"/>
  <c r="C18" i="20"/>
  <c r="C17" i="20"/>
  <c r="G16" i="20"/>
  <c r="C16" i="20"/>
  <c r="G15" i="20"/>
  <c r="C15" i="20"/>
  <c r="B52" i="1"/>
  <c r="B43" i="1"/>
  <c r="C42" i="1"/>
  <c r="B41" i="1"/>
  <c r="B31" i="1"/>
  <c r="B24" i="1"/>
  <c r="B23" i="1"/>
  <c r="B22" i="1"/>
  <c r="E1" i="73" s="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AE6" i="1"/>
  <c r="T6" i="1"/>
  <c r="S6" i="1"/>
  <c r="R6" i="1"/>
  <c r="P6" i="1"/>
  <c r="O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G6" i="1" s="1"/>
  <c r="G16" i="1" s="1"/>
  <c r="K6" i="4"/>
  <c r="I4" i="4"/>
  <c r="G4" i="4"/>
  <c r="K5" i="4" s="1"/>
  <c r="B47" i="48" s="1"/>
  <c r="D3" i="4"/>
  <c r="S2" i="4"/>
  <c r="S1" i="4"/>
  <c r="B1" i="4"/>
  <c r="C53" i="10"/>
  <c r="C51" i="10"/>
  <c r="B51" i="10"/>
  <c r="H16" i="49"/>
  <c r="D16" i="49"/>
  <c r="D15" i="49"/>
  <c r="B2" i="49"/>
  <c r="F15" i="49" s="1"/>
  <c r="H15" i="49" s="1"/>
  <c r="A21" i="62"/>
  <c r="A20" i="62"/>
  <c r="A19" i="62"/>
  <c r="A18" i="62"/>
  <c r="A15" i="62"/>
  <c r="A14" i="62"/>
  <c r="A13" i="62"/>
  <c r="A12" i="62"/>
  <c r="A5" i="62"/>
  <c r="A4" i="62"/>
  <c r="D12" i="52"/>
  <c r="A12" i="52"/>
  <c r="A10" i="52"/>
  <c r="D8" i="52"/>
  <c r="A8" i="52"/>
  <c r="D7" i="52"/>
  <c r="D6" i="52"/>
  <c r="A6" i="52"/>
  <c r="G4" i="52"/>
  <c r="E4" i="52"/>
  <c r="C4" i="52"/>
  <c r="B4" i="52"/>
  <c r="A4" i="52"/>
  <c r="H2" i="52"/>
  <c r="F2" i="52"/>
  <c r="D2" i="52"/>
  <c r="A1" i="52"/>
  <c r="D21" i="53"/>
  <c r="D20" i="53"/>
  <c r="D19" i="53"/>
  <c r="B19" i="53"/>
  <c r="B16" i="53"/>
  <c r="D15" i="53"/>
  <c r="D14" i="53"/>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8" i="72"/>
  <c r="B46" i="72"/>
  <c r="B45" i="72"/>
  <c r="B44" i="72"/>
  <c r="B43" i="72"/>
  <c r="B42" i="72"/>
  <c r="B41" i="72"/>
  <c r="B40" i="72"/>
  <c r="B39" i="72"/>
  <c r="B38" i="72"/>
  <c r="B37" i="72"/>
  <c r="B33" i="72"/>
  <c r="B32" i="72"/>
  <c r="B31" i="72"/>
  <c r="B30" i="72"/>
  <c r="B29" i="72"/>
  <c r="B28" i="72"/>
  <c r="B27" i="72"/>
  <c r="B26" i="72"/>
  <c r="B25" i="72"/>
  <c r="B24" i="72"/>
  <c r="B23" i="72"/>
  <c r="B19" i="72"/>
  <c r="B18" i="72"/>
  <c r="B17" i="72"/>
  <c r="B16" i="72"/>
  <c r="B15" i="72"/>
  <c r="B14" i="72"/>
  <c r="B13" i="72"/>
  <c r="B12" i="72"/>
  <c r="B11" i="72"/>
  <c r="B10" i="72"/>
  <c r="B9" i="72"/>
  <c r="B8" i="72"/>
  <c r="B7" i="72"/>
  <c r="B6" i="72"/>
  <c r="B5" i="72"/>
  <c r="B3" i="72"/>
  <c r="B2" i="72"/>
  <c r="D6" i="73"/>
  <c r="F20" i="31"/>
  <c r="B10" i="76"/>
  <c r="D2" i="36"/>
  <c r="L48" i="67"/>
  <c r="F37" i="67"/>
  <c r="M27" i="67"/>
  <c r="F6" i="73"/>
  <c r="E13" i="76"/>
  <c r="E9" i="76"/>
  <c r="C76" i="67"/>
  <c r="M23" i="67"/>
  <c r="F13" i="67"/>
  <c r="F6" i="67"/>
  <c r="F36" i="15"/>
  <c r="M26" i="15"/>
  <c r="F16" i="15"/>
  <c r="M28" i="67"/>
  <c r="F8" i="67"/>
  <c r="L47" i="15"/>
  <c r="M28" i="15"/>
  <c r="M8" i="15"/>
  <c r="D10" i="69"/>
  <c r="AO11" i="1"/>
  <c r="F8" i="15"/>
  <c r="D9" i="69"/>
  <c r="AO6" i="1"/>
  <c r="D5" i="73"/>
  <c r="B13" i="76"/>
  <c r="B9" i="76"/>
  <c r="D2" i="35"/>
  <c r="L47" i="67"/>
  <c r="F36" i="67"/>
  <c r="M26" i="67"/>
  <c r="F5" i="73"/>
  <c r="E12" i="76"/>
  <c r="E8" i="76"/>
  <c r="M9" i="67"/>
  <c r="F35" i="15"/>
  <c r="J15" i="15"/>
  <c r="F7" i="67"/>
  <c r="M6" i="15"/>
  <c r="AO9" i="1"/>
  <c r="F7" i="15"/>
  <c r="AO8" i="1"/>
  <c r="D4" i="73"/>
  <c r="B12" i="76"/>
  <c r="B8" i="76"/>
  <c r="D2" i="37"/>
  <c r="F41" i="67"/>
  <c r="F35" i="67"/>
  <c r="F26" i="67"/>
  <c r="F4" i="73"/>
  <c r="E11" i="76"/>
  <c r="E7" i="76"/>
  <c r="F42" i="67"/>
  <c r="F16" i="67"/>
  <c r="M8" i="67"/>
  <c r="F38" i="15"/>
  <c r="M29" i="15"/>
  <c r="M23" i="15"/>
  <c r="C14" i="15"/>
  <c r="M22" i="67"/>
  <c r="C76" i="15"/>
  <c r="F42" i="15"/>
  <c r="M22" i="15"/>
  <c r="F6" i="15"/>
  <c r="E2" i="68"/>
  <c r="AO7" i="1"/>
  <c r="C34" i="69"/>
  <c r="AO10" i="1"/>
  <c r="D7" i="73"/>
  <c r="D3" i="73"/>
  <c r="B11" i="76"/>
  <c r="B7" i="76"/>
  <c r="D2" i="34"/>
  <c r="F38" i="67"/>
  <c r="M29" i="67"/>
  <c r="F7" i="73"/>
  <c r="F3" i="73"/>
  <c r="E10" i="76"/>
  <c r="D2" i="33"/>
  <c r="F40" i="67"/>
  <c r="J15" i="67"/>
  <c r="M6" i="67"/>
  <c r="F37" i="15"/>
  <c r="M27" i="15"/>
  <c r="M21" i="15"/>
  <c r="F13" i="15"/>
  <c r="F9" i="67"/>
  <c r="L48" i="15"/>
  <c r="F40" i="15"/>
  <c r="M9" i="15"/>
  <c r="C36" i="69"/>
  <c r="AO13" i="1"/>
  <c r="F9" i="15"/>
  <c r="F27" i="69"/>
  <c r="AO12" i="1"/>
  <c r="F43" i="67"/>
  <c r="M21" i="67"/>
  <c r="F41" i="15"/>
  <c r="F26" i="15"/>
  <c r="M24" i="67"/>
  <c r="F43" i="15"/>
  <c r="M24" i="15"/>
  <c r="D2" i="21"/>
  <c r="E2" i="69"/>
  <c r="F42" i="21" l="1"/>
  <c r="AA42" i="21" s="1"/>
  <c r="J42" i="21"/>
  <c r="AC42" i="21" s="1"/>
  <c r="F39" i="21"/>
  <c r="H39" i="21"/>
  <c r="W39" i="21"/>
  <c r="F101" i="39"/>
  <c r="G101" i="39" s="1"/>
  <c r="J27" i="39"/>
  <c r="S27" i="39"/>
  <c r="U27" i="39"/>
  <c r="S19" i="21"/>
  <c r="W19" i="21"/>
  <c r="U19" i="21"/>
  <c r="S17" i="21"/>
  <c r="W17" i="21"/>
  <c r="U17" i="21"/>
  <c r="S15" i="21"/>
  <c r="W15" i="21"/>
  <c r="U15" i="21"/>
  <c r="S23" i="21"/>
  <c r="W23" i="21"/>
  <c r="H23" i="21"/>
  <c r="H42" i="21"/>
  <c r="W11" i="21"/>
  <c r="U11" i="21"/>
  <c r="S11" i="21"/>
  <c r="AC7" i="21"/>
  <c r="V48" i="21" s="1"/>
  <c r="I48" i="21" s="1"/>
  <c r="I52" i="21" s="1"/>
  <c r="J52" i="21" s="1"/>
  <c r="U7" i="21"/>
  <c r="AA7" i="21"/>
  <c r="C20" i="11"/>
  <c r="C28" i="11" s="1"/>
  <c r="C27" i="11" s="1"/>
  <c r="C94" i="9"/>
  <c r="C29" i="12"/>
  <c r="D28" i="12" s="1"/>
  <c r="F81" i="39"/>
  <c r="H41" i="39"/>
  <c r="AB41" i="39" s="1"/>
  <c r="H124" i="39"/>
  <c r="I124" i="39" s="1"/>
  <c r="J124" i="39" s="1"/>
  <c r="K124" i="39" s="1"/>
  <c r="L124" i="39" s="1"/>
  <c r="M124" i="39" s="1"/>
  <c r="F41" i="39"/>
  <c r="AA41" i="39" s="1"/>
  <c r="W41" i="39"/>
  <c r="F12" i="39"/>
  <c r="AA12" i="39"/>
  <c r="S12" i="39"/>
  <c r="AB12" i="21"/>
  <c r="U12" i="21"/>
  <c r="S12" i="21"/>
  <c r="W12" i="21"/>
  <c r="H12" i="39"/>
  <c r="J12" i="39"/>
  <c r="X23" i="89"/>
  <c r="X24" i="89" s="1"/>
  <c r="X22" i="89"/>
  <c r="Y11" i="89"/>
  <c r="G25" i="12"/>
  <c r="G27" i="12"/>
  <c r="G22" i="68"/>
  <c r="G41" i="68"/>
  <c r="G22" i="69"/>
  <c r="G41" i="69"/>
  <c r="G26" i="12"/>
  <c r="G22" i="11"/>
  <c r="G41" i="11"/>
  <c r="J10" i="40"/>
  <c r="F10" i="40"/>
  <c r="H10" i="39"/>
  <c r="H10" i="40"/>
  <c r="J10" i="39"/>
  <c r="F10" i="39"/>
  <c r="G47" i="40"/>
  <c r="H47" i="40" s="1"/>
  <c r="G46" i="40"/>
  <c r="H46" i="40" s="1"/>
  <c r="C37" i="43"/>
  <c r="C36" i="43"/>
  <c r="C35" i="43"/>
  <c r="C34" i="43"/>
  <c r="C33" i="43"/>
  <c r="C29" i="43"/>
  <c r="T16" i="43"/>
  <c r="V16" i="43" s="1"/>
  <c r="T11" i="43"/>
  <c r="V11" i="43" s="1"/>
  <c r="T10" i="43"/>
  <c r="V10" i="43" s="1"/>
  <c r="T7" i="43"/>
  <c r="V7" i="43" s="1"/>
  <c r="T4" i="43"/>
  <c r="V4" i="43" s="1"/>
  <c r="T2" i="43"/>
  <c r="V2" i="43" s="1"/>
  <c r="T15" i="43"/>
  <c r="V15" i="43" s="1"/>
  <c r="T14" i="43"/>
  <c r="V14" i="43" s="1"/>
  <c r="T13" i="43"/>
  <c r="V13" i="43" s="1"/>
  <c r="T12" i="43"/>
  <c r="V12" i="43" s="1"/>
  <c r="T9" i="43"/>
  <c r="V9" i="43" s="1"/>
  <c r="T8" i="43"/>
  <c r="V8" i="43" s="1"/>
  <c r="T6" i="43"/>
  <c r="V6" i="43" s="1"/>
  <c r="T5" i="43"/>
  <c r="V5" i="43" s="1"/>
  <c r="T3" i="43"/>
  <c r="V3" i="43" s="1"/>
  <c r="B51" i="40"/>
  <c r="F51" i="40" s="1"/>
  <c r="B53" i="40"/>
  <c r="F53" i="40" s="1"/>
  <c r="B55" i="40"/>
  <c r="F55" i="40" s="1"/>
  <c r="F61" i="40"/>
  <c r="B2" i="40" s="1"/>
  <c r="B3" i="40" s="1"/>
  <c r="E46" i="40"/>
  <c r="F46" i="40" s="1"/>
  <c r="I46" i="40"/>
  <c r="J46" i="40" s="1"/>
  <c r="B52" i="40"/>
  <c r="F52" i="40" s="1"/>
  <c r="B54" i="40"/>
  <c r="F54" i="40" s="1"/>
  <c r="B56" i="40"/>
  <c r="F56" i="40" s="1"/>
  <c r="B57" i="40"/>
  <c r="F57" i="40" s="1"/>
  <c r="B58" i="40"/>
  <c r="F58" i="40" s="1"/>
  <c r="B59" i="40"/>
  <c r="F59" i="40" s="1"/>
  <c r="C7" i="68"/>
  <c r="C5" i="68" s="1"/>
  <c r="C18" i="9"/>
  <c r="D18" i="9" s="1"/>
  <c r="C34" i="68"/>
  <c r="C35" i="68" s="1"/>
  <c r="C47" i="68"/>
  <c r="D45" i="68" s="1"/>
  <c r="C9" i="68"/>
  <c r="F45" i="68"/>
  <c r="R16" i="1"/>
  <c r="C14" i="12"/>
  <c r="B6" i="70"/>
  <c r="B8" i="70"/>
  <c r="B10" i="70"/>
  <c r="B12" i="70"/>
  <c r="C9" i="69"/>
  <c r="D19" i="69"/>
  <c r="D37" i="69" s="1"/>
  <c r="C37" i="69" s="1"/>
  <c r="C47" i="69"/>
  <c r="D45" i="69" s="1"/>
  <c r="F45" i="69"/>
  <c r="C29" i="69"/>
  <c r="D27" i="69" s="1"/>
  <c r="C35" i="69"/>
  <c r="D48" i="69" s="1"/>
  <c r="C38" i="69"/>
  <c r="F50" i="15"/>
  <c r="M7" i="15"/>
  <c r="F51" i="15"/>
  <c r="C49" i="15" s="1"/>
  <c r="B7" i="70"/>
  <c r="B9" i="70"/>
  <c r="B11" i="70"/>
  <c r="B13" i="70"/>
  <c r="C10" i="69"/>
  <c r="C6" i="15"/>
  <c r="J6" i="15"/>
  <c r="F68" i="15"/>
  <c r="F71" i="15"/>
  <c r="M59" i="15"/>
  <c r="N59" i="15"/>
  <c r="L59" i="15"/>
  <c r="L58" i="15"/>
  <c r="J57" i="15"/>
  <c r="J55" i="15" s="1"/>
  <c r="J58" i="15" s="1"/>
  <c r="Q50" i="15" s="1"/>
  <c r="I54" i="15"/>
  <c r="J53" i="15"/>
  <c r="L56" i="15" s="1"/>
  <c r="Q71" i="15"/>
  <c r="F50" i="67"/>
  <c r="M7" i="67"/>
  <c r="J6" i="67" s="1"/>
  <c r="F51" i="67"/>
  <c r="C18" i="15"/>
  <c r="C15" i="15"/>
  <c r="J20" i="15"/>
  <c r="C27" i="15"/>
  <c r="C34" i="15"/>
  <c r="F63" i="15"/>
  <c r="C62" i="15" s="1"/>
  <c r="F64" i="15"/>
  <c r="F65" i="15"/>
  <c r="F66" i="15"/>
  <c r="F69" i="15"/>
  <c r="C6" i="67"/>
  <c r="J20" i="67"/>
  <c r="F68" i="67"/>
  <c r="F70" i="67"/>
  <c r="F71" i="67"/>
  <c r="Q71" i="67"/>
  <c r="B2" i="33"/>
  <c r="B3" i="33" s="1"/>
  <c r="I1" i="73"/>
  <c r="B39" i="1" s="1"/>
  <c r="C27" i="67"/>
  <c r="F63" i="67"/>
  <c r="C62" i="67" s="1"/>
  <c r="C34" i="67"/>
  <c r="F64" i="67"/>
  <c r="F65" i="67"/>
  <c r="F66" i="67"/>
  <c r="F69" i="67"/>
  <c r="N59" i="67"/>
  <c r="L59" i="67"/>
  <c r="L58" i="67"/>
  <c r="M59" i="67"/>
  <c r="L56" i="67"/>
  <c r="J57" i="67"/>
  <c r="J55" i="67" s="1"/>
  <c r="J58" i="67" s="1"/>
  <c r="Q50" i="67" s="1"/>
  <c r="I54" i="67"/>
  <c r="J53" i="67"/>
  <c r="B2" i="34"/>
  <c r="B3" i="34" s="1"/>
  <c r="B2" i="37"/>
  <c r="B3" i="37" s="1"/>
  <c r="B2" i="35"/>
  <c r="B3" i="35" s="1"/>
  <c r="B2" i="36"/>
  <c r="B3" i="36" s="1"/>
  <c r="B20" i="31"/>
  <c r="B21" i="31" s="1"/>
  <c r="K1" i="73"/>
  <c r="D119" i="9"/>
  <c r="D5" i="52" s="1"/>
  <c r="B49" i="72" s="1"/>
  <c r="D4" i="52"/>
  <c r="B47" i="72" s="1"/>
  <c r="C18" i="12"/>
  <c r="F119" i="9"/>
  <c r="F5" i="52" s="1"/>
  <c r="B53" i="72" s="1"/>
  <c r="F4" i="52"/>
  <c r="B51" i="72" s="1"/>
  <c r="C19" i="68"/>
  <c r="D37" i="68"/>
  <c r="C37" i="68" s="1"/>
  <c r="B4" i="49"/>
  <c r="D4" i="49" s="1"/>
  <c r="F4" i="49"/>
  <c r="H4" i="49" s="1"/>
  <c r="B5" i="49"/>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F14" i="49"/>
  <c r="H14" i="49" s="1"/>
  <c r="C6" i="74"/>
  <c r="C8" i="74"/>
  <c r="C92" i="9"/>
  <c r="C15" i="12"/>
  <c r="C16" i="12" s="1"/>
  <c r="C21" i="12" s="1"/>
  <c r="C14" i="67"/>
  <c r="C16" i="15"/>
  <c r="C17" i="15"/>
  <c r="C17" i="67"/>
  <c r="G1" i="73"/>
  <c r="C16" i="67"/>
  <c r="S42" i="21" l="1"/>
  <c r="W42" i="21"/>
  <c r="AB39" i="21"/>
  <c r="U39" i="21"/>
  <c r="S39" i="21"/>
  <c r="AA39" i="21"/>
  <c r="R48" i="21" s="1"/>
  <c r="E48" i="21" s="1"/>
  <c r="AC27" i="39"/>
  <c r="W27" i="39"/>
  <c r="AB23" i="21"/>
  <c r="U23" i="21"/>
  <c r="AB42" i="21"/>
  <c r="T48" i="21" s="1"/>
  <c r="G48" i="21" s="1"/>
  <c r="G53" i="21" s="1"/>
  <c r="H53" i="21" s="1"/>
  <c r="U42" i="21"/>
  <c r="C49" i="67"/>
  <c r="G81" i="39"/>
  <c r="H81" i="39" s="1"/>
  <c r="H11" i="39" s="1"/>
  <c r="U41" i="39"/>
  <c r="S41" i="39"/>
  <c r="AC12" i="39"/>
  <c r="W12" i="39"/>
  <c r="AB12" i="39"/>
  <c r="U12" i="39"/>
  <c r="C38" i="68"/>
  <c r="C33" i="68" s="1"/>
  <c r="C30" i="43"/>
  <c r="E30" i="43" s="1"/>
  <c r="E29" i="43"/>
  <c r="G34" i="43"/>
  <c r="I34" i="43" s="1"/>
  <c r="E34" i="43"/>
  <c r="G36" i="43"/>
  <c r="I36" i="43" s="1"/>
  <c r="E36" i="43"/>
  <c r="AA10" i="39"/>
  <c r="S10" i="39"/>
  <c r="AB10" i="40"/>
  <c r="U10" i="40"/>
  <c r="AA10" i="40"/>
  <c r="S10" i="40"/>
  <c r="G33" i="43"/>
  <c r="I33" i="43" s="1"/>
  <c r="E33" i="43"/>
  <c r="C26" i="43" s="1"/>
  <c r="G35" i="43"/>
  <c r="I35" i="43" s="1"/>
  <c r="E35" i="43"/>
  <c r="G37" i="43"/>
  <c r="I37" i="43" s="1"/>
  <c r="E37" i="43"/>
  <c r="AC10" i="39"/>
  <c r="W10" i="39"/>
  <c r="AB10" i="39"/>
  <c r="U10" i="39"/>
  <c r="AC10" i="40"/>
  <c r="W10" i="40"/>
  <c r="C20" i="68"/>
  <c r="C28" i="68" s="1"/>
  <c r="C27" i="68" s="1"/>
  <c r="B40" i="1"/>
  <c r="C18" i="67"/>
  <c r="C15" i="67"/>
  <c r="C22" i="12"/>
  <c r="C30" i="12" s="1"/>
  <c r="C28" i="12" s="1"/>
  <c r="C19" i="15"/>
  <c r="Q73" i="67"/>
  <c r="Q60" i="67"/>
  <c r="M11" i="67"/>
  <c r="J10" i="67" s="1"/>
  <c r="J5" i="67" s="1"/>
  <c r="M11" i="15"/>
  <c r="J10" i="15" s="1"/>
  <c r="J5" i="15" s="1"/>
  <c r="F11" i="67"/>
  <c r="F11" i="15"/>
  <c r="C32" i="67"/>
  <c r="Q52" i="15"/>
  <c r="F1" i="15"/>
  <c r="Q73" i="15"/>
  <c r="Q60" i="15"/>
  <c r="C32" i="15"/>
  <c r="C33" i="69"/>
  <c r="C39" i="68"/>
  <c r="E4" i="4"/>
  <c r="B5" i="62" s="1"/>
  <c r="B73" i="72" s="1"/>
  <c r="D9" i="49"/>
  <c r="D5" i="49"/>
  <c r="C4" i="4"/>
  <c r="Q52" i="67"/>
  <c r="F1" i="67"/>
  <c r="Q74" i="67"/>
  <c r="Q61" i="67"/>
  <c r="J18" i="67"/>
  <c r="Q74" i="15"/>
  <c r="Q61" i="15"/>
  <c r="J18" i="15"/>
  <c r="B2" i="70"/>
  <c r="B3" i="70" s="1"/>
  <c r="E53" i="21" l="1"/>
  <c r="F53" i="21" s="1"/>
  <c r="I53" i="21"/>
  <c r="J53" i="21" s="1"/>
  <c r="E52" i="21"/>
  <c r="F52" i="21" s="1"/>
  <c r="G52" i="21"/>
  <c r="H52" i="21" s="1"/>
  <c r="R49" i="21"/>
  <c r="C48" i="21" s="1"/>
  <c r="AB11" i="39"/>
  <c r="T47" i="39" s="1"/>
  <c r="G47" i="39" s="1"/>
  <c r="U11" i="39"/>
  <c r="F11" i="39"/>
  <c r="I81" i="39"/>
  <c r="J81" i="39" s="1"/>
  <c r="K81" i="39" s="1"/>
  <c r="L81" i="39" s="1"/>
  <c r="M81" i="39" s="1"/>
  <c r="J11" i="39"/>
  <c r="B2" i="43"/>
  <c r="C27" i="43"/>
  <c r="C19" i="67"/>
  <c r="C20" i="67" s="1"/>
  <c r="J24" i="67"/>
  <c r="J26" i="67"/>
  <c r="J29" i="67" s="1"/>
  <c r="K4" i="4"/>
  <c r="B46" i="48" s="1"/>
  <c r="B4" i="72" s="1"/>
  <c r="B4" i="62"/>
  <c r="B71" i="72" s="1"/>
  <c r="C46" i="68"/>
  <c r="C45" i="68" s="1"/>
  <c r="C39" i="69"/>
  <c r="C53" i="15"/>
  <c r="C48" i="15" s="1"/>
  <c r="C10" i="15"/>
  <c r="C5" i="15" s="1"/>
  <c r="J24" i="15"/>
  <c r="J26" i="15"/>
  <c r="J29" i="15" s="1"/>
  <c r="C53" i="67"/>
  <c r="C48" i="67" s="1"/>
  <c r="C10" i="67"/>
  <c r="C5" i="67" s="1"/>
  <c r="C20" i="15"/>
  <c r="F22" i="11"/>
  <c r="F24" i="67"/>
  <c r="C24" i="67" s="1"/>
  <c r="F24" i="15"/>
  <c r="C24" i="15" s="1"/>
  <c r="F25" i="12"/>
  <c r="F22" i="69"/>
  <c r="C42" i="69" s="1"/>
  <c r="F22" i="68"/>
  <c r="C43" i="68" s="1"/>
  <c r="E6" i="76"/>
  <c r="B6" i="76"/>
  <c r="C49" i="21" l="1"/>
  <c r="B3" i="21" s="1"/>
  <c r="AC11" i="39"/>
  <c r="V47" i="39" s="1"/>
  <c r="I47" i="39" s="1"/>
  <c r="I51" i="39" s="1"/>
  <c r="J51" i="39" s="1"/>
  <c r="W11" i="39"/>
  <c r="AA11" i="39"/>
  <c r="R47" i="39" s="1"/>
  <c r="E47" i="39" s="1"/>
  <c r="I52" i="39" s="1"/>
  <c r="J52" i="39" s="1"/>
  <c r="S11" i="39"/>
  <c r="R48" i="39"/>
  <c r="C48" i="39" s="1"/>
  <c r="G51" i="39"/>
  <c r="H51" i="39" s="1"/>
  <c r="E2" i="76"/>
  <c r="B2" i="76"/>
  <c r="E52" i="39"/>
  <c r="F52" i="39" s="1"/>
  <c r="E51" i="39"/>
  <c r="F51" i="39" s="1"/>
  <c r="B3" i="43"/>
  <c r="C23" i="15"/>
  <c r="C38" i="67"/>
  <c r="C66" i="15"/>
  <c r="C60" i="15"/>
  <c r="C26" i="67"/>
  <c r="C26" i="68"/>
  <c r="D22" i="68" s="1"/>
  <c r="C44" i="68"/>
  <c r="D41" i="68" s="1"/>
  <c r="F41" i="68"/>
  <c r="C23" i="68"/>
  <c r="C25" i="68"/>
  <c r="C24" i="68"/>
  <c r="C42" i="68"/>
  <c r="C41" i="68" s="1"/>
  <c r="C26" i="12"/>
  <c r="D25" i="12" s="1"/>
  <c r="C27" i="12"/>
  <c r="C25" i="12" s="1"/>
  <c r="C26" i="69"/>
  <c r="D22" i="69" s="1"/>
  <c r="C44" i="69"/>
  <c r="D41" i="69" s="1"/>
  <c r="F41" i="69"/>
  <c r="C24" i="69"/>
  <c r="C43" i="11"/>
  <c r="C25" i="11"/>
  <c r="C23" i="11"/>
  <c r="C44" i="11"/>
  <c r="D41" i="11" s="1"/>
  <c r="C42" i="11"/>
  <c r="C41" i="11" s="1"/>
  <c r="C26" i="11"/>
  <c r="D22" i="11" s="1"/>
  <c r="C24" i="11"/>
  <c r="C26" i="15"/>
  <c r="C66" i="67"/>
  <c r="C60" i="67"/>
  <c r="C38" i="15"/>
  <c r="C43" i="69"/>
  <c r="C41" i="69" s="1"/>
  <c r="C46" i="69"/>
  <c r="C45" i="69" s="1"/>
  <c r="C23" i="67"/>
  <c r="J22" i="9" l="1"/>
  <c r="L22" i="9" s="1"/>
  <c r="B2" i="21"/>
  <c r="G52" i="39"/>
  <c r="H52" i="39" s="1"/>
  <c r="C47" i="39"/>
  <c r="B3" i="76"/>
  <c r="B60" i="39"/>
  <c r="F60" i="39" s="1"/>
  <c r="B58" i="39"/>
  <c r="F58" i="39" s="1"/>
  <c r="B56" i="39"/>
  <c r="F56" i="39" s="1"/>
  <c r="C6" i="69"/>
  <c r="D30" i="69" s="1"/>
  <c r="B65" i="39"/>
  <c r="F65" i="39" s="1"/>
  <c r="B64" i="39"/>
  <c r="F64" i="39" s="1"/>
  <c r="B63" i="39"/>
  <c r="F63" i="39" s="1"/>
  <c r="B62" i="39"/>
  <c r="F62" i="39" s="1"/>
  <c r="B61" i="39"/>
  <c r="F61" i="39" s="1"/>
  <c r="B59" i="39"/>
  <c r="F59" i="39" s="1"/>
  <c r="B57" i="39"/>
  <c r="F57" i="39" s="1"/>
  <c r="C49" i="39"/>
  <c r="C50" i="39" s="1"/>
  <c r="C29" i="67"/>
  <c r="C57" i="67" s="1"/>
  <c r="C49" i="69"/>
  <c r="C51" i="69" s="1"/>
  <c r="P3" i="78" s="1"/>
  <c r="P10" i="78" s="1"/>
  <c r="C29" i="15"/>
  <c r="Q49" i="15" s="1"/>
  <c r="C32" i="12"/>
  <c r="B2" i="12" s="1"/>
  <c r="B3" i="12" s="1"/>
  <c r="C49" i="68"/>
  <c r="C51" i="68" s="1"/>
  <c r="C49" i="11"/>
  <c r="C51" i="11" s="1"/>
  <c r="C22" i="11"/>
  <c r="C31" i="11" s="1"/>
  <c r="C22" i="68"/>
  <c r="C31" i="68" s="1"/>
  <c r="C50" i="21" s="1"/>
  <c r="D20" i="9" s="1"/>
  <c r="D103" i="9" s="1"/>
  <c r="D19" i="9"/>
  <c r="D102" i="9" l="1"/>
  <c r="D21" i="9"/>
  <c r="C7" i="69"/>
  <c r="C5" i="69" s="1"/>
  <c r="F66" i="39"/>
  <c r="B2" i="39" s="1"/>
  <c r="B3" i="39" s="1"/>
  <c r="J59" i="15"/>
  <c r="J60" i="15" s="1"/>
  <c r="Q48" i="15" s="1"/>
  <c r="J59" i="67"/>
  <c r="J60" i="67" s="1"/>
  <c r="Q48" i="67" s="1"/>
  <c r="C36" i="15"/>
  <c r="C36" i="67"/>
  <c r="J14" i="15"/>
  <c r="J22" i="15" s="1"/>
  <c r="C33" i="15"/>
  <c r="C31" i="15" s="1"/>
  <c r="J14" i="67"/>
  <c r="J22" i="67" s="1"/>
  <c r="C33" i="67"/>
  <c r="C31" i="67" s="1"/>
  <c r="C52" i="68"/>
  <c r="B2" i="68" s="1"/>
  <c r="B3" i="68" s="1"/>
  <c r="C13" i="15"/>
  <c r="C75" i="15" s="1"/>
  <c r="J19" i="15"/>
  <c r="J17" i="15" s="1"/>
  <c r="C57" i="15"/>
  <c r="C61" i="15" s="1"/>
  <c r="C59" i="15" s="1"/>
  <c r="C13" i="67"/>
  <c r="C75" i="67" s="1"/>
  <c r="J19" i="67"/>
  <c r="J17" i="67" s="1"/>
  <c r="Q49" i="67"/>
  <c r="C52" i="11"/>
  <c r="B2" i="11" s="1"/>
  <c r="B3" i="11" s="1"/>
  <c r="C57" i="68"/>
  <c r="C56" i="68" s="1"/>
  <c r="C64" i="67"/>
  <c r="C61" i="67"/>
  <c r="C59" i="67" s="1"/>
  <c r="J13" i="67" l="1"/>
  <c r="J23" i="67" s="1"/>
  <c r="J16" i="67" s="1"/>
  <c r="J25" i="67" s="1"/>
  <c r="L46" i="15"/>
  <c r="C20" i="69"/>
  <c r="C25" i="69" s="1"/>
  <c r="C23" i="69"/>
  <c r="J13" i="15"/>
  <c r="J23" i="15" s="1"/>
  <c r="J16" i="15" s="1"/>
  <c r="J25" i="15" s="1"/>
  <c r="C56" i="15"/>
  <c r="C65" i="15" s="1"/>
  <c r="L46" i="67"/>
  <c r="C64" i="15"/>
  <c r="C58" i="15" s="1"/>
  <c r="C67" i="15" s="1"/>
  <c r="C68" i="15" s="1"/>
  <c r="Q70" i="15"/>
  <c r="C56" i="11"/>
  <c r="C57" i="11" s="1"/>
  <c r="C37" i="15"/>
  <c r="C30" i="15" s="1"/>
  <c r="C39" i="15" s="1"/>
  <c r="Q69" i="15" s="1"/>
  <c r="C37" i="67"/>
  <c r="C30" i="67" s="1"/>
  <c r="C39" i="67" s="1"/>
  <c r="Q69" i="67" s="1"/>
  <c r="Q70" i="67"/>
  <c r="C56" i="67"/>
  <c r="C65" i="67" s="1"/>
  <c r="C58" i="67" s="1"/>
  <c r="C67" i="67" s="1"/>
  <c r="C68" i="67" s="1"/>
  <c r="L51" i="15"/>
  <c r="Q68" i="15" l="1"/>
  <c r="C22" i="69"/>
  <c r="C28" i="69"/>
  <c r="C27" i="69" s="1"/>
  <c r="C80" i="15"/>
  <c r="C79" i="15" s="1"/>
  <c r="C40" i="15"/>
  <c r="Q56" i="15" s="1"/>
  <c r="C40" i="67"/>
  <c r="C45" i="67" s="1"/>
  <c r="C46" i="67" s="1"/>
  <c r="Q68" i="67"/>
  <c r="C80" i="67"/>
  <c r="C79" i="67" s="1"/>
  <c r="C71" i="67"/>
  <c r="Q67" i="15"/>
  <c r="L57" i="15"/>
  <c r="L60" i="15" s="1"/>
  <c r="C71" i="15"/>
  <c r="L51" i="67"/>
  <c r="Q67" i="67" l="1"/>
  <c r="L57" i="67"/>
  <c r="L60" i="67" s="1"/>
  <c r="Q57" i="67" s="1"/>
  <c r="C43" i="15"/>
  <c r="C31" i="69"/>
  <c r="C52" i="69" s="1"/>
  <c r="C57" i="69" s="1"/>
  <c r="C56" i="69" s="1"/>
  <c r="B2" i="15"/>
  <c r="B3" i="15" s="1"/>
  <c r="Q65" i="15"/>
  <c r="Q65" i="67"/>
  <c r="D2" i="67"/>
  <c r="B2" i="67" s="1"/>
  <c r="Q47" i="67"/>
  <c r="Q53" i="67" s="1"/>
  <c r="C46" i="15"/>
  <c r="C83" i="15"/>
  <c r="C82" i="15" s="1"/>
  <c r="Q47" i="15"/>
  <c r="Q53" i="15" s="1"/>
  <c r="C83" i="67"/>
  <c r="C82" i="67" s="1"/>
  <c r="Q56" i="67"/>
  <c r="C43" i="67"/>
  <c r="Q57" i="15"/>
  <c r="Q62" i="15" s="1"/>
  <c r="Q66" i="15"/>
  <c r="Q66" i="67"/>
  <c r="B3" i="67" l="1"/>
  <c r="Q75" i="15"/>
  <c r="B2" i="69"/>
  <c r="C20" i="9"/>
  <c r="D22" i="9" s="1"/>
  <c r="J21" i="9"/>
  <c r="L21" i="9" s="1"/>
  <c r="L23" i="9" s="1"/>
  <c r="L25" i="9" s="1"/>
  <c r="Q75" i="67"/>
  <c r="Q62" i="67"/>
  <c r="C19" i="9"/>
  <c r="B3" i="69"/>
  <c r="C21" i="9" l="1"/>
  <c r="G19" i="9"/>
  <c r="G21" i="9" s="1"/>
  <c r="C102" i="9"/>
  <c r="C103" i="9"/>
  <c r="G20" i="9"/>
  <c r="C32" i="9" s="1"/>
  <c r="D34" i="9" s="1"/>
  <c r="D35" i="9" l="1"/>
  <c r="I118" i="9"/>
  <c r="H102" i="9" s="1"/>
  <c r="D7" i="53" s="1"/>
  <c r="B21" i="72" s="1"/>
  <c r="H118" i="9" l="1"/>
  <c r="H101" i="9" s="1"/>
  <c r="C105" i="9"/>
  <c r="I4" i="52"/>
  <c r="C104" i="9" l="1"/>
  <c r="D14" i="74"/>
  <c r="E14" i="74" s="1"/>
  <c r="H4" i="52"/>
  <c r="H119" i="9"/>
  <c r="H5" i="52" s="1"/>
  <c r="M48" i="9"/>
  <c r="D5" i="53"/>
  <c r="H109" i="9"/>
  <c r="D45" i="9"/>
  <c r="B5" i="74" l="1"/>
  <c r="C5" i="74" s="1"/>
  <c r="F14" i="74"/>
  <c r="D124" i="9"/>
  <c r="D16" i="53"/>
  <c r="M49" i="9"/>
  <c r="H110" i="9"/>
  <c r="D18" i="53" s="1"/>
  <c r="B35" i="72" s="1"/>
  <c r="C85" i="9"/>
  <c r="C64" i="9"/>
  <c r="C63" i="9" s="1"/>
  <c r="C67" i="9" s="1"/>
  <c r="D53" i="9"/>
  <c r="D52" i="9"/>
  <c r="C93" i="9"/>
  <c r="C86" i="9" s="1"/>
  <c r="C72" i="9"/>
  <c r="D55" i="9"/>
  <c r="M53" i="9" s="1"/>
  <c r="C78" i="9"/>
  <c r="C73" i="9" s="1"/>
  <c r="B20" i="72"/>
  <c r="D6" i="53"/>
  <c r="B22" i="72" s="1"/>
  <c r="D5" i="74" l="1"/>
  <c r="C79" i="9"/>
  <c r="D59" i="9"/>
  <c r="M55" i="9" s="1"/>
  <c r="C68" i="9"/>
  <c r="D54" i="9" s="1"/>
  <c r="D17" i="53"/>
  <c r="B36" i="72" s="1"/>
  <c r="B34" i="72"/>
  <c r="C95" i="9"/>
  <c r="L68" i="9"/>
  <c r="M68" i="9" s="1"/>
  <c r="L63" i="9"/>
  <c r="M63" i="9" s="1"/>
  <c r="L65" i="9"/>
  <c r="M65" i="9" s="1"/>
  <c r="L67" i="9"/>
  <c r="M67" i="9" s="1"/>
  <c r="L66" i="9"/>
  <c r="M66" i="9" s="1"/>
  <c r="L64" i="9"/>
  <c r="M64" i="9" s="1"/>
  <c r="D125" i="9"/>
  <c r="D11" i="52" s="1"/>
  <c r="D10" i="52"/>
  <c r="H14" i="74"/>
  <c r="B7" i="74" s="1"/>
  <c r="M69" i="9" l="1"/>
  <c r="N69" i="9" s="1"/>
  <c r="C96" i="9"/>
  <c r="E96" i="9" s="1"/>
  <c r="E97" i="9" s="1"/>
  <c r="C7" i="74"/>
  <c r="D7" i="74"/>
  <c r="C80" i="9"/>
  <c r="E80" i="9" s="1"/>
  <c r="E81" i="9" s="1"/>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<sst xmlns="http://schemas.openxmlformats.org/spreadsheetml/2006/main" count="9267" uniqueCount="3213">
  <si>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</si>
  <si>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</si>
  <si>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</si>
  <si>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</si>
  <si>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</si>
  <si>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</si>
  <si>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</si>
  <si>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</si>
  <si>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</si>
  <si>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</si>
  <si>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</si>
  <si>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</si>
  <si>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</si>
  <si>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</si>
  <si>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</si>
  <si>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</si>
  <si>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</si>
  <si>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</si>
  <si>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</si>
  <si>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</si>
  <si>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</si>
  <si>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</si>
  <si>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</si>
  <si>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</si>
  <si>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</si>
  <si>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</si>
  <si>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</si>
  <si>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</si>
  <si>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</si>
  <si>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</si>
  <si>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</si>
  <si>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</si>
  <si>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</si>
  <si>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</si>
  <si>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</si>
  <si>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</si>
  <si>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</si>
  <si>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</si>
  <si>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</si>
  <si>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</si>
  <si>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</si>
  <si>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</si>
  <si>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</si>
  <si>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</si>
  <si>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</si>
  <si>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</si>
  <si>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</si>
  <si>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</si>
  <si>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</si>
  <si>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</si>
  <si>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</si>
  <si>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</si>
  <si>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</si>
  <si>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</si>
  <si>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</si>
  <si>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</si>
  <si>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</si>
  <si>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</si>
  <si>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</si>
  <si>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</si>
  <si>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</si>
  <si>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</si>
  <si>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</si>
  <si>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</si>
  <si>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</si>
  <si>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</si>
  <si>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</si>
  <si>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</si>
  <si>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</si>
  <si>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</si>
  <si>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</si>
  <si>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</si>
  <si>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</si>
  <si>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</si>
  <si>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</si>
  <si>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</si>
  <si>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</si>
  <si>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</si>
  <si>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</si>
  <si>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</si>
  <si>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</si>
  <si>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</si>
  <si>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</si>
  <si>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</si>
  <si>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</si>
  <si>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</si>
  <si>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</si>
  <si>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</si>
  <si>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</si>
  <si>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</si>
  <si>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</si>
  <si>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</si>
  <si>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</si>
  <si>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</si>
  <si>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</si>
  <si>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</si>
  <si>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</si>
  <si>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</si>
  <si>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</si>
  <si>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</si>
  <si>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</si>
  <si>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</si>
  <si>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</si>
  <si>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</si>
  <si>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</si>
  <si>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</si>
  <si>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</si>
  <si>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</si>
  <si>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</si>
  <si>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</si>
  <si>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</si>
  <si>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</si>
  <si>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</si>
  <si>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</si>
  <si>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</si>
  <si>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</si>
  <si>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</si>
  <si>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</si>
  <si>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</si>
  <si>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</si>
  <si>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</si>
  <si>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</si>
  <si>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</si>
  <si>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</si>
  <si>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</si>
  <si>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</si>
  <si>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</si>
  <si>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</si>
  <si>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</si>
  <si>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</si>
  <si>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</si>
  <si>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</si>
  <si>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</si>
  <si>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</si>
  <si>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</si>
  <si>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</si>
  <si>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</si>
  <si>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</si>
  <si>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</si>
  <si>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</si>
  <si>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</si>
  <si>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</si>
  <si>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</si>
  <si>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</si>
  <si>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</si>
  <si>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</si>
  <si>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</si>
  <si>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</si>
  <si>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</si>
  <si>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</si>
  <si>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</si>
  <si>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</si>
  <si>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</si>
  <si>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</si>
  <si>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</si>
  <si>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</si>
  <si>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</si>
  <si>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</si>
  <si>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</si>
  <si>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</si>
  <si>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</si>
  <si>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</si>
  <si>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</si>
  <si>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</si>
  <si>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</si>
  <si>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</si>
  <si>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</si>
  <si>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</si>
  <si>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</si>
  <si>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</si>
  <si>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</si>
  <si>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</si>
  <si>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</si>
  <si>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</si>
  <si>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</si>
  <si>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</si>
  <si>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</si>
  <si>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</si>
  <si>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</si>
  <si>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</si>
  <si>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</si>
  <si>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</si>
  <si>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</si>
  <si>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</si>
  <si>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</si>
  <si>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</si>
  <si>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</si>
  <si>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</si>
  <si>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</si>
  <si>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</si>
  <si>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</si>
  <si>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</si>
  <si>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</si>
  <si>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</si>
  <si>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</si>
  <si>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</si>
  <si>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</si>
  <si>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</si>
  <si>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</si>
  <si>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</si>
  <si>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</si>
  <si>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</si>
  <si>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</si>
  <si>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</si>
  <si>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</si>
  <si>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</si>
  <si>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</si>
  <si>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</si>
  <si>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</si>
  <si>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</si>
  <si>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</si>
  <si>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</si>
  <si>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</si>
  <si>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</si>
  <si>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</si>
  <si>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</si>
  <si>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</si>
  <si>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</si>
  <si>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</si>
  <si>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</si>
  <si>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</si>
  <si>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</si>
  <si>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</si>
  <si>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</si>
  <si>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</si>
  <si>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</si>
  <si>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</si>
  <si>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</si>
  <si>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</si>
  <si>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</si>
  <si>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</si>
  <si>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</si>
  <si>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</si>
  <si>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</si>
  <si>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</si>
  <si>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</si>
  <si>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</si>
  <si>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</si>
  <si>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</si>
  <si>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</si>
  <si>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</si>
  <si>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</si>
  <si>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</si>
  <si>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</si>
  <si>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</si>
  <si>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</si>
  <si>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</si>
  <si>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</si>
  <si>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</si>
  <si>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</si>
  <si>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</si>
  <si>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</si>
  <si>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</si>
  <si>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</si>
  <si>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</si>
  <si>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</si>
  <si>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</si>
  <si>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</si>
  <si>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</si>
  <si>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</si>
  <si>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</si>
  <si>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</si>
  <si>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</si>
  <si>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</si>
  <si>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</si>
  <si>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</si>
  <si>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</si>
  <si>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</si>
  <si>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</si>
  <si>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</si>
  <si>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</si>
  <si>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</si>
  <si>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</si>
  <si>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</si>
  <si>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</si>
  <si>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</si>
  <si>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</si>
  <si>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</si>
  <si>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</si>
  <si>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</si>
  <si>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</si>
  <si>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</si>
  <si>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</si>
  <si>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</si>
  <si>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</si>
  <si>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</si>
  <si>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</si>
  <si>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</si>
  <si>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</si>
  <si>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</si>
  <si>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</si>
  <si>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</si>
  <si>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</si>
  <si>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</si>
  <si>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</si>
  <si>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</si>
  <si>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</si>
  <si>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</si>
  <si>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</si>
  <si>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</si>
  <si>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</si>
  <si>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</si>
  <si>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</si>
  <si>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</si>
  <si>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</si>
  <si>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</si>
  <si>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</si>
  <si>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</si>
  <si>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</si>
  <si>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</si>
  <si>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</si>
  <si>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</si>
  <si>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</si>
  <si>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</si>
  <si>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</si>
  <si>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</si>
  <si>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</si>
  <si>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</si>
  <si>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</si>
  <si>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</si>
  <si>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</si>
  <si>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</si>
  <si>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</si>
  <si>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</si>
  <si>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</si>
  <si>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</si>
  <si>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</si>
  <si>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</si>
  <si>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</si>
  <si>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</si>
  <si>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</si>
  <si>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</si>
  <si>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</si>
  <si>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</si>
  <si>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</si>
  <si>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</si>
  <si>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</si>
  <si>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</si>
  <si>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</si>
  <si>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</si>
  <si>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</si>
  <si>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</si>
  <si>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</si>
  <si>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</si>
  <si>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</si>
  <si>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</si>
  <si>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</si>
  <si>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</si>
  <si>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</si>
  <si>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</si>
  <si>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</si>
  <si>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</si>
  <si>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</si>
  <si>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</si>
  <si>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</si>
  <si>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</si>
  <si>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</si>
  <si>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</si>
  <si>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</si>
  <si>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</si>
  <si>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</si>
  <si>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</si>
  <si>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</si>
  <si>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</si>
  <si>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</si>
  <si>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</si>
  <si>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</si>
  <si>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</si>
  <si>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</si>
  <si>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</si>
  <si>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</si>
  <si>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</si>
  <si>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</si>
  <si>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</si>
  <si>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</si>
  <si>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</si>
  <si>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</si>
  <si>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</si>
  <si>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</si>
  <si>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</si>
  <si>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</si>
  <si>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</si>
  <si>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</si>
  <si>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</si>
  <si>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</si>
  <si>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</si>
  <si>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</si>
  <si>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</si>
  <si>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</si>
  <si>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</si>
  <si>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</si>
  <si>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</si>
  <si>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</si>
  <si>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</si>
  <si>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</si>
  <si>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</si>
  <si>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</si>
  <si>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</si>
  <si>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</si>
  <si>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</si>
  <si>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</si>
  <si>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</si>
  <si>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</si>
  <si>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</si>
  <si>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</si>
  <si>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</si>
  <si>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</si>
  <si>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</si>
  <si>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</si>
  <si>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</si>
  <si>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</si>
  <si>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</si>
  <si>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</si>
  <si>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</si>
  <si>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</si>
  <si>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</si>
  <si>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</si>
  <si>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</si>
  <si>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</si>
  <si>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</si>
  <si>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</si>
  <si>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</si>
  <si>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</si>
  <si>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</si>
  <si>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</si>
  <si>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</si>
  <si>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</si>
  <si>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</si>
  <si>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</si>
  <si>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</si>
  <si>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</si>
  <si>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</si>
  <si>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</si>
  <si>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</si>
  <si>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</si>
  <si>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</si>
  <si>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</si>
  <si>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</si>
  <si>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</si>
  <si>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</si>
  <si>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</si>
  <si>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</si>
  <si>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</si>
  <si>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</si>
  <si>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</si>
  <si>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</si>
  <si>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</si>
  <si>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</si>
  <si>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</si>
  <si>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</si>
  <si>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</si>
  <si>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</si>
  <si>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</si>
  <si>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</si>
  <si>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</si>
  <si>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</si>
  <si>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</si>
  <si>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</si>
  <si>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</si>
  <si>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</si>
  <si>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</si>
  <si>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</si>
  <si>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</si>
  <si>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</si>
  <si>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</si>
  <si>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</si>
  <si>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</si>
  <si>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</si>
  <si>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</si>
  <si>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</si>
  <si>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</si>
  <si>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</si>
  <si>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</si>
  <si>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</si>
  <si>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</si>
  <si>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</si>
  <si>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</si>
  <si>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</si>
  <si>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</si>
  <si>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</si>
  <si>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</si>
  <si>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</si>
  <si>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</si>
  <si>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</si>
  <si>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</si>
  <si>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</si>
  <si>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</si>
  <si>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</si>
  <si>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</si>
  <si>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</si>
  <si>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</si>
  <si>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</si>
  <si>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</si>
  <si>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</si>
  <si>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</si>
  <si>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</si>
  <si>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</si>
  <si>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</si>
  <si>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</si>
  <si>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</si>
  <si>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</si>
  <si>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</si>
  <si>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</si>
  <si>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</si>
  <si>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</si>
  <si>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</si>
  <si>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</si>
  <si>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</si>
  <si>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</si>
  <si>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</si>
  <si>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</si>
  <si>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</si>
  <si>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</si>
  <si>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</si>
  <si>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</si>
  <si>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</si>
  <si>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</si>
  <si>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</si>
  <si>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</si>
  <si>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</si>
  <si>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</si>
  <si>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</si>
  <si>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</si>
  <si>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</si>
  <si>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</si>
  <si>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</si>
  <si>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</si>
  <si>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</si>
  <si>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</si>
  <si>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</si>
  <si>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</si>
  <si>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</si>
  <si>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</si>
  <si>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</si>
  <si>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</si>
  <si>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</si>
  <si>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</si>
  <si>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</si>
  <si>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</si>
  <si>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</si>
  <si>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</si>
  <si>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</si>
  <si>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</si>
  <si>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</si>
  <si>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</si>
  <si>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</si>
  <si>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</si>
  <si>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</si>
  <si>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</si>
  <si>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</si>
  <si>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</si>
  <si>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</si>
  <si>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</si>
  <si>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</si>
  <si>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</si>
  <si>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</si>
  <si>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</si>
  <si>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</si>
  <si>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</si>
  <si>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</si>
  <si>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</si>
  <si>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</si>
  <si>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</si>
  <si>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</si>
  <si>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</si>
  <si>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</si>
  <si>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</si>
  <si>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</si>
  <si>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</si>
  <si>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</si>
  <si>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</si>
  <si>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</si>
  <si>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</si>
  <si>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</si>
  <si>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</si>
  <si>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</si>
  <si>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</si>
  <si>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</si>
  <si>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</si>
  <si>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</si>
  <si>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</si>
  <si>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</si>
  <si>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</si>
  <si>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</si>
  <si>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</si>
  <si>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</si>
  <si>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</si>
  <si>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</si>
  <si>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</si>
  <si>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</si>
  <si>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</si>
  <si>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</si>
  <si>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</si>
  <si>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</si>
  <si>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</si>
  <si>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</si>
  <si>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</si>
  <si>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</si>
  <si>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</si>
  <si>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</si>
  <si>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</si>
  <si>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</si>
  <si>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</si>
  <si>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</si>
  <si>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</si>
  <si>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</si>
  <si>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</si>
  <si>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</si>
  <si>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</si>
  <si>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</si>
  <si>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</si>
  <si>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</si>
  <si>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</si>
  <si>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</si>
  <si>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</si>
  <si>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</si>
  <si>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</si>
  <si>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</si>
  <si>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</si>
  <si>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</si>
  <si>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</si>
  <si>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</si>
  <si>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</si>
  <si>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</si>
  <si>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</si>
  <si>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</si>
  <si>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</si>
  <si>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</si>
  <si>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</si>
  <si>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</si>
  <si>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</si>
  <si>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</si>
  <si>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</si>
  <si>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</si>
  <si>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</si>
  <si>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</si>
  <si>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</si>
  <si>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</si>
  <si>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</si>
  <si>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</si>
  <si>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</si>
  <si>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</si>
  <si>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</si>
  <si>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</si>
  <si>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</si>
  <si>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</si>
  <si>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</si>
  <si>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</si>
  <si>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</si>
  <si>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</si>
  <si>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</si>
  <si>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</si>
  <si>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</si>
  <si>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估价对象周边有欧亚花园、昌平区双拥大院、力天嘉苑等住宅小区、居住小区规模较大，入住率较高，综合评价居住社区成熟度较好。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</si>
  <si>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</si>
  <si>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</si>
  <si>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</si>
  <si>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周边商业氛围成熟，人流量大，商业繁华度较好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</si>
  <si>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</si>
  <si>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</si>
  <si>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</si>
  <si>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，周边办公楼项目一般，入驻率高，办公集聚程度一般</t>
  </si>
  <si>
    <r>
      <rPr>
        <sz val="10"/>
        <color theme="9" tint="-0.249977111117893"/>
        <rFont val="宋体"/>
        <family val="3"/>
        <charset val="134"/>
      </rPr>
      <t>估价对象所在区域公共配套设施齐备情况</t>
    </r>
  </si>
  <si>
    <t>估价对象紧邻城市支路-东环路、附近有公交车站昌平南大街站，停靠线路有493路、昌52路、昌66路等，附近600米范围内有地铁昌平线昌平站合评价交通便捷度较好。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</si>
  <si>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</si>
  <si>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</si>
  <si>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有北京昌平卫生学校、城北中心东关小学、昌平区第二中学、中国石油大学、中国政法大学、昌平区中医医院、昌平区医院、昌平区妇幼保健院、中国民生银行、北京银行等，公共配套设施状况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</si>
  <si>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</si>
  <si>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</si>
  <si>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估价对象所在区域基础设施水平为七通一平</t>
  </si>
  <si>
    <r>
      <rPr>
        <sz val="10"/>
        <color indexed="8"/>
        <rFont val="宋体"/>
        <family val="3"/>
        <charset val="134"/>
      </rPr>
      <t>自然及人文环境</t>
    </r>
  </si>
  <si>
    <t>估计对象周边有昌平公园、学府等自然环境景观，有北京昌平卫生学校、中国石油大学等人文环境；综合评价环境状况较好。</t>
  </si>
  <si>
    <r>
      <rPr>
        <sz val="10"/>
        <color indexed="8"/>
        <rFont val="宋体"/>
        <family val="3"/>
        <charset val="134"/>
      </rPr>
      <t>毗邻道路的类型与等级</t>
    </r>
  </si>
  <si>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东环路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</si>
  <si>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</si>
  <si>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</si>
  <si>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</si>
  <si>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</si>
  <si>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</si>
  <si>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</si>
  <si>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</si>
  <si>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</si>
  <si>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</si>
  <si>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</si>
  <si>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</si>
  <si>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</si>
  <si>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</si>
  <si>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</si>
  <si>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</si>
  <si>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</si>
  <si>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</si>
  <si>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</si>
  <si>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</si>
  <si>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</si>
  <si>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</si>
  <si>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</si>
  <si>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</si>
  <si>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</si>
  <si>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</si>
  <si>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</si>
  <si>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</si>
  <si>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</si>
  <si>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</si>
  <si>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</si>
  <si>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</si>
  <si>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</si>
  <si>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</si>
  <si>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</si>
  <si>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</si>
  <si>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</si>
  <si>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</si>
  <si>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</si>
  <si>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</si>
  <si>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</si>
  <si>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</si>
  <si>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</si>
  <si>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</si>
  <si>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</si>
  <si>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</si>
  <si>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</si>
  <si>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</si>
  <si>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</si>
  <si>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</si>
  <si>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</si>
  <si>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</si>
  <si>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</si>
  <si>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</si>
  <si>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</si>
  <si>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</si>
  <si>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</si>
  <si>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</si>
  <si>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</si>
  <si>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</si>
  <si>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</si>
  <si>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</si>
  <si>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</si>
  <si>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</si>
  <si>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</si>
  <si>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</si>
  <si>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</si>
  <si>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</si>
  <si>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</si>
  <si>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</si>
  <si>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</si>
  <si>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2018</t>
    </r>
    <r>
      <rPr>
        <sz val="10"/>
        <color indexed="8"/>
        <rFont val="宋体"/>
        <family val="3"/>
        <charset val="134"/>
      </rPr>
      <t>年评估值</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</si>
  <si>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</si>
  <si>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</si>
  <si>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</si>
  <si>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</si>
  <si>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</si>
  <si>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</si>
  <si>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</si>
  <si>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</si>
  <si>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</si>
  <si>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</si>
  <si>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</si>
  <si>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</si>
  <si>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</si>
  <si>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</si>
  <si>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</si>
  <si>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</si>
  <si>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</si>
  <si>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</si>
  <si>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</si>
  <si>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</si>
  <si>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</si>
  <si>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</si>
  <si>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</si>
  <si>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</si>
  <si>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</si>
  <si>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</si>
  <si>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</si>
  <si>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</si>
  <si>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</si>
  <si>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</si>
  <si>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</si>
  <si>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</si>
  <si>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</si>
  <si>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</si>
  <si>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</si>
  <si>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</si>
  <si>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</si>
  <si>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</si>
  <si>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</si>
  <si>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</si>
  <si>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</si>
  <si>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</si>
  <si>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</si>
  <si>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</si>
  <si>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</si>
  <si>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</si>
  <si>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</si>
  <si>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</si>
  <si>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</si>
  <si>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</si>
  <si>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</si>
  <si>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</si>
  <si>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</si>
  <si>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</si>
  <si>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</si>
  <si>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</si>
  <si>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</si>
  <si>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</si>
  <si>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</si>
  <si>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</si>
  <si>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</si>
  <si>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</si>
  <si>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</si>
  <si>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</si>
  <si>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</si>
  <si>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</si>
  <si>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</si>
  <si>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</si>
  <si>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</si>
  <si>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</si>
  <si>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</si>
  <si>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</si>
  <si>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</si>
  <si>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</si>
  <si>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</si>
  <si>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</si>
  <si>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</si>
  <si>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</si>
  <si>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</si>
  <si>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</si>
  <si>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</si>
  <si>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</si>
  <si>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</si>
  <si>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</si>
  <si>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</si>
  <si>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</si>
  <si>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</si>
  <si>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</si>
  <si>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</si>
  <si>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</si>
  <si>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</si>
  <si>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</si>
  <si>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</si>
  <si>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</si>
  <si>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</si>
  <si>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</si>
  <si>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</si>
  <si>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</si>
  <si>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</si>
  <si>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</si>
  <si>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</si>
  <si>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</si>
  <si>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</si>
  <si>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</si>
  <si>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</si>
  <si>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</si>
  <si>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</si>
  <si>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</si>
  <si>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</si>
  <si>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</si>
  <si>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</si>
  <si>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</si>
  <si>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</si>
  <si>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</si>
  <si>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</si>
  <si>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</si>
  <si>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</si>
  <si>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</si>
  <si>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</si>
  <si>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</si>
  <si>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</si>
  <si>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</si>
  <si>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</si>
  <si>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</si>
  <si>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</si>
  <si>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</si>
  <si>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</si>
  <si>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</si>
  <si>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</si>
  <si>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</si>
  <si>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</si>
  <si>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</si>
  <si>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</si>
  <si>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</si>
  <si>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</si>
  <si>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</si>
  <si>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</si>
  <si>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</si>
  <si>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</si>
  <si>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</si>
  <si>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</si>
  <si>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</si>
  <si>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</si>
  <si>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</si>
  <si>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</si>
  <si>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</si>
  <si>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</si>
  <si>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</si>
  <si>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</si>
  <si>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</si>
  <si>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</si>
  <si>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</si>
  <si>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</si>
  <si>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</si>
  <si>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</si>
  <si>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</si>
  <si>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</si>
  <si>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</si>
  <si>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</si>
  <si>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</si>
  <si>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</si>
  <si>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</si>
  <si>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</si>
  <si>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</si>
  <si>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</si>
  <si>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</si>
  <si>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</si>
  <si>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</si>
  <si>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</si>
  <si>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</si>
  <si>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</si>
  <si>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</si>
  <si>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</si>
  <si>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</si>
  <si>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</si>
  <si>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</si>
  <si>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</si>
  <si>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</si>
  <si>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</si>
  <si>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</si>
  <si>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</si>
  <si>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</si>
  <si>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</si>
  <si>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</si>
  <si>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</si>
  <si>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</si>
  <si>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</si>
  <si>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</si>
  <si>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</si>
  <si>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</si>
  <si>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</si>
  <si>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</si>
  <si>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</si>
  <si>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</si>
  <si>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</si>
  <si>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</si>
  <si>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</si>
  <si>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</si>
  <si>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</si>
  <si>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</si>
  <si>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</si>
  <si>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</si>
  <si>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</si>
  <si>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</si>
  <si>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</si>
  <si>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</si>
  <si>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</si>
  <si>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</si>
  <si>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</si>
  <si>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</si>
  <si>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</si>
  <si>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</si>
  <si>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</si>
  <si>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</si>
  <si>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</si>
  <si>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</si>
  <si>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</si>
  <si>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</si>
  <si>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</si>
  <si>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</si>
  <si>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</si>
  <si>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</si>
  <si>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</si>
  <si>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</si>
  <si>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</si>
  <si>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</si>
  <si>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</si>
  <si>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</si>
  <si>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</si>
  <si>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</si>
  <si>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</si>
  <si>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</si>
  <si>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</si>
  <si>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</si>
  <si>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</si>
  <si>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</si>
  <si>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</si>
  <si>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</si>
  <si>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</si>
  <si>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</si>
  <si>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</si>
  <si>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</si>
  <si>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</si>
  <si>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</si>
  <si>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</si>
  <si>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</si>
  <si>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</si>
  <si>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</si>
  <si>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</si>
  <si>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</si>
  <si>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</si>
  <si>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</si>
  <si>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</si>
  <si>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</si>
  <si>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</si>
  <si>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</si>
  <si>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</si>
  <si>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</si>
  <si>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</si>
  <si>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</si>
  <si>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</si>
  <si>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</si>
  <si>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</si>
  <si>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</si>
  <si>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</si>
  <si>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</si>
  <si>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</si>
  <si>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</si>
  <si>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</si>
  <si>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</si>
  <si>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</si>
  <si>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</si>
  <si>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</si>
  <si>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</si>
  <si>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</si>
  <si>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</si>
  <si>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</si>
  <si>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</si>
  <si>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</si>
  <si>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</si>
  <si>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</si>
  <si>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</si>
  <si>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</si>
  <si>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</si>
  <si>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</si>
  <si>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</si>
  <si>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</si>
  <si>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</si>
  <si>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</si>
  <si>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</si>
  <si>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</si>
  <si>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</si>
  <si>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</si>
  <si>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</si>
  <si>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</si>
  <si>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</si>
  <si>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</si>
  <si>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</si>
  <si>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</si>
  <si>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共有产权住房</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</si>
  <si>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</si>
  <si>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</si>
  <si>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</si>
  <si>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</si>
  <si>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</si>
  <si>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t>否</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</si>
  <si>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</si>
  <si>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</si>
  <si>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</si>
  <si>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</si>
  <si>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</si>
  <si>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</si>
  <si>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</si>
  <si>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</si>
  <si>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</si>
  <si>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好</t>
  </si>
  <si>
    <r>
      <rPr>
        <sz val="11"/>
        <color indexed="8"/>
        <rFont val="宋体"/>
        <family val="3"/>
        <charset val="134"/>
      </rPr>
      <t>楼层</t>
    </r>
    <r>
      <rPr>
        <sz val="11"/>
        <color indexed="8"/>
        <rFont val="Arial"/>
        <family val="2"/>
      </rPr>
      <t>-1</t>
    </r>
  </si>
  <si>
    <t>中区</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</si>
  <si>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</si>
  <si>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</si>
  <si>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</si>
  <si>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</si>
  <si>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高层板楼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</si>
  <si>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</si>
  <si>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</si>
  <si>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</si>
  <si>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</si>
  <si>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</si>
  <si>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</si>
  <si>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</si>
  <si>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</si>
  <si>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专业物业公司管理</t>
  </si>
  <si>
    <r>
      <rPr>
        <sz val="11"/>
        <color indexed="8"/>
        <rFont val="宋体"/>
        <family val="3"/>
        <charset val="134"/>
      </rPr>
      <t>市政基础设施</t>
    </r>
  </si>
  <si>
    <t>七通一平</t>
  </si>
  <si>
    <t>三通一平</t>
  </si>
  <si>
    <t>五通一平</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</si>
  <si>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</si>
  <si>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</si>
  <si>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</si>
  <si>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</si>
  <si>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全装修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</si>
  <si>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</si>
  <si>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</si>
  <si>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</si>
  <si>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</si>
  <si>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</si>
  <si>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</si>
  <si>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</si>
  <si>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</si>
  <si>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</si>
  <si>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</si>
  <si>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</si>
  <si>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</si>
  <si>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</si>
  <si>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</si>
  <si>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</si>
  <si>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</si>
  <si>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</si>
  <si>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</si>
  <si>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</si>
  <si>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</si>
  <si>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</si>
  <si>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</si>
  <si>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</si>
  <si>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</si>
  <si>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</si>
  <si>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</si>
  <si>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</si>
  <si>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</si>
  <si>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高层住宅</t>
  </si>
  <si>
    <t>高档</t>
  </si>
  <si>
    <t>普通</t>
  </si>
  <si>
    <t>普通装修</t>
  </si>
  <si>
    <t>专业</t>
  </si>
  <si>
    <t>六通一平</t>
  </si>
  <si>
    <t>四通一平</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</si>
  <si>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</si>
  <si>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</si>
  <si>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</si>
  <si>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</si>
  <si>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</si>
  <si>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</si>
  <si>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</si>
  <si>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</si>
  <si>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</si>
  <si>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</si>
  <si>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</si>
  <si>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</si>
  <si>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</si>
  <si>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</si>
  <si>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</si>
  <si>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</si>
  <si>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</si>
  <si>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</si>
  <si>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</si>
  <si>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</si>
  <si>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</si>
  <si>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已包含在土地购买价格中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</si>
  <si>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</si>
  <si>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</si>
  <si>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</si>
  <si>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</si>
  <si>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</si>
  <si>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</si>
  <si>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</si>
  <si>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</si>
  <si>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</si>
  <si>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</si>
  <si>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</si>
  <si>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</si>
  <si>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</si>
  <si>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</si>
  <si>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</si>
  <si>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</si>
  <si>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</si>
  <si>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</si>
  <si>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</si>
  <si>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</si>
  <si>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</si>
  <si>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</si>
  <si>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</si>
  <si>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</si>
  <si>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</si>
  <si>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</si>
  <si>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</si>
  <si>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</si>
  <si>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</si>
  <si>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</si>
  <si>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</si>
  <si>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</si>
  <si>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</si>
  <si>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</si>
  <si>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</si>
  <si>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</si>
  <si>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</si>
  <si>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</si>
  <si>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</si>
  <si>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</si>
  <si>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</si>
  <si>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</si>
  <si>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</si>
  <si>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</si>
  <si>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</si>
  <si>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</si>
  <si>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</si>
  <si>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</si>
  <si>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</si>
  <si>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</si>
  <si>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</si>
  <si>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</si>
  <si>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</si>
  <si>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</si>
  <si>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</si>
  <si>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</si>
  <si>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</si>
  <si>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</si>
  <si>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</si>
  <si>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</si>
  <si>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</si>
  <si>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</si>
  <si>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</si>
  <si>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</si>
  <si>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</si>
  <si>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</si>
  <si>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</si>
  <si>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</si>
  <si>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</si>
  <si>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</si>
  <si>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</si>
  <si>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</si>
  <si>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</si>
  <si>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</si>
  <si>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</si>
  <si>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</si>
  <si>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</si>
  <si>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</si>
  <si>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</si>
  <si>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</si>
  <si>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</si>
  <si>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</si>
  <si>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</si>
  <si>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</si>
  <si>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</si>
  <si>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</si>
  <si>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</si>
  <si>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</si>
  <si>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</si>
  <si>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</si>
  <si>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</si>
  <si>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</si>
  <si>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</si>
  <si>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</si>
  <si>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</si>
  <si>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</si>
  <si>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</si>
  <si>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</si>
  <si>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</si>
  <si>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</si>
  <si>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</si>
  <si>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</si>
  <si>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</si>
  <si>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</si>
  <si>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</si>
  <si>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</si>
  <si>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</si>
  <si>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</si>
  <si>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</si>
  <si>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</si>
  <si>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</si>
  <si>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</si>
  <si>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</si>
  <si>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</si>
  <si>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</si>
  <si>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</si>
  <si>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</si>
  <si>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</si>
  <si>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</si>
  <si>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</si>
  <si>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</si>
  <si>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</si>
  <si>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</si>
  <si>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</si>
  <si>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</si>
  <si>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</si>
  <si>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</si>
  <si>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</si>
  <si>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</si>
  <si>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</si>
  <si>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</si>
  <si>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</si>
  <si>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</si>
  <si>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</si>
  <si>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</si>
  <si>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</si>
  <si>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</si>
  <si>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</si>
  <si>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</si>
  <si>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</si>
  <si>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</si>
  <si>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</si>
  <si>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</si>
  <si>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</si>
  <si>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</si>
  <si>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</si>
  <si>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</si>
  <si>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</si>
  <si>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</si>
  <si>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</si>
  <si>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</si>
  <si>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</si>
  <si>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</si>
  <si>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</si>
  <si>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</si>
  <si>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</si>
  <si>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</si>
  <si>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</si>
  <si>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</si>
  <si>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</si>
  <si>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</si>
  <si>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</si>
  <si>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</si>
  <si>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</si>
  <si>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</si>
  <si>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</si>
  <si>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</si>
  <si>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</si>
  <si>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</si>
  <si>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</si>
  <si>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</si>
  <si>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</si>
  <si>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</si>
  <si>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</si>
  <si>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</si>
  <si>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</si>
  <si>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</si>
  <si>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</si>
  <si>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</si>
  <si>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</si>
  <si>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</si>
  <si>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</si>
  <si>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</si>
  <si>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</si>
  <si>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</si>
  <si>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</si>
  <si>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</si>
  <si>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</si>
  <si>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</si>
  <si>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</si>
  <si>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</si>
  <si>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</si>
  <si>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</si>
  <si>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</si>
  <si>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</si>
  <si>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</si>
  <si>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</si>
  <si>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</si>
  <si>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</si>
  <si>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</si>
  <si>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</si>
  <si>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</si>
  <si>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</si>
  <si>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</si>
  <si>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</si>
  <si>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</si>
  <si>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</si>
  <si>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</si>
  <si>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</si>
  <si>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</si>
  <si>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</si>
  <si>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</si>
  <si>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</si>
  <si>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</si>
  <si>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</si>
  <si>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</si>
  <si>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</si>
  <si>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</si>
  <si>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</si>
  <si>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</si>
  <si>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</si>
  <si>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</si>
  <si>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</si>
  <si>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</si>
  <si>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</si>
  <si>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</si>
  <si>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</si>
  <si>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</si>
  <si>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</si>
  <si>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</si>
  <si>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</si>
  <si>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</si>
  <si>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</si>
  <si>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</si>
  <si>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</si>
  <si>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</si>
  <si>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</si>
  <si>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</si>
  <si>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</si>
  <si>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</si>
  <si>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</si>
  <si>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</si>
  <si>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</si>
  <si>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</si>
  <si>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</si>
  <si>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</si>
  <si>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</si>
  <si>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</si>
  <si>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</si>
  <si>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</si>
  <si>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</si>
  <si>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</si>
  <si>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</si>
  <si>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</si>
  <si>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</si>
  <si>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</si>
  <si>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</si>
  <si>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</si>
  <si>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</si>
  <si>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</si>
  <si>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</si>
  <si>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</si>
  <si>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</si>
  <si>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</si>
  <si>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</si>
  <si>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</si>
  <si>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</si>
  <si>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</si>
  <si>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</si>
  <si>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</si>
  <si>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</si>
  <si>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</si>
  <si>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</si>
  <si>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</si>
  <si>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</si>
  <si>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</si>
  <si>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</si>
  <si>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</si>
  <si>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</si>
  <si>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</si>
  <si>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</si>
  <si>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</si>
  <si>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</si>
  <si>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</si>
  <si>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</si>
  <si>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</si>
  <si>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</si>
  <si>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</si>
  <si>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</si>
  <si>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</si>
  <si>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</si>
  <si>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</si>
  <si>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</si>
  <si>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</si>
  <si>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</si>
  <si>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</si>
  <si>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</si>
  <si>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</si>
  <si>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</si>
  <si>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</si>
  <si>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</si>
  <si>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</si>
  <si>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</si>
  <si>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</si>
  <si>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</si>
  <si>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</si>
  <si>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</si>
  <si>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</si>
  <si>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</si>
  <si>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</si>
  <si>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</si>
  <si>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</si>
  <si>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</si>
  <si>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</si>
  <si>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</si>
  <si>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</si>
  <si>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</si>
  <si>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</si>
  <si>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</si>
  <si>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</si>
  <si>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</si>
  <si>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</si>
  <si>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</si>
  <si>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</si>
  <si>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</si>
  <si>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</si>
  <si>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</si>
  <si>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</si>
  <si>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</si>
  <si>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</si>
  <si>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</si>
  <si>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</si>
  <si>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</si>
  <si>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</si>
  <si>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</si>
  <si>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</si>
  <si>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</si>
  <si>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</si>
  <si>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</si>
  <si>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</si>
  <si>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</si>
  <si>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</si>
  <si>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</si>
  <si>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</si>
  <si>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</si>
  <si>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</si>
  <si>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</si>
  <si>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</si>
  <si>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</si>
  <si>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</si>
  <si>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</si>
  <si>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</si>
  <si>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</si>
  <si>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</si>
  <si>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</si>
  <si>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</si>
  <si>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</si>
  <si>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</si>
  <si>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</si>
  <si>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</si>
  <si>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</si>
  <si>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</si>
  <si>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</si>
  <si>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</si>
  <si>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</si>
  <si>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</si>
  <si>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</si>
  <si>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</si>
  <si>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</si>
  <si>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</si>
  <si>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R2二类居住用地</t>
  </si>
  <si>
    <t>招标、拍卖修正？？</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</si>
  <si>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</si>
  <si>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</si>
  <si>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</si>
  <si>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</si>
  <si>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</si>
  <si>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</si>
  <si>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</si>
  <si>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</si>
  <si>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</si>
  <si>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宗地规划限制</t>
  </si>
  <si>
    <t>无</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</si>
  <si>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</si>
  <si>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</si>
  <si>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</si>
  <si>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</si>
  <si>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</si>
  <si>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</si>
  <si>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</si>
  <si>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</si>
  <si>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</si>
  <si>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</si>
  <si>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</si>
  <si>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</si>
  <si>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</si>
  <si>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</si>
  <si>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</si>
  <si>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</si>
  <si>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</si>
  <si>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</si>
  <si>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</si>
  <si>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</si>
  <si>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</si>
  <si>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</si>
  <si>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</si>
  <si>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</si>
  <si>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</si>
  <si>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</si>
  <si>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</si>
  <si>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2018-1</t>
  </si>
  <si>
    <r>
      <rPr>
        <b/>
        <sz val="11"/>
        <color indexed="8"/>
        <rFont val="宋体"/>
        <family val="3"/>
        <charset val="134"/>
      </rPr>
      <t>住宅</t>
    </r>
  </si>
  <si>
    <r>
      <rPr>
        <sz val="11"/>
        <rFont val="Arial"/>
        <family val="2"/>
      </rPr>
      <t>F1</t>
    </r>
    <r>
      <rPr>
        <sz val="11"/>
        <rFont val="宋体"/>
        <family val="3"/>
        <charset val="134"/>
      </rPr>
      <t>住宅混合公建</t>
    </r>
  </si>
  <si>
    <r>
      <rPr>
        <sz val="11"/>
        <rFont val="Arial"/>
        <family val="2"/>
      </rPr>
      <t>F81</t>
    </r>
    <r>
      <rPr>
        <sz val="11"/>
        <rFont val="宋体"/>
        <family val="3"/>
        <charset val="134"/>
      </rPr>
      <t>绿隔产业用地</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</si>
  <si>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</si>
  <si>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</si>
  <si>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</si>
  <si>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</si>
  <si>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</si>
  <si>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城市主干道</t>
  </si>
  <si>
    <t>城市次干道</t>
  </si>
  <si>
    <t>城市支路</t>
  </si>
  <si>
    <t>规划道路</t>
  </si>
  <si>
    <t>规则</t>
  </si>
  <si>
    <t>较不规则</t>
  </si>
  <si>
    <t>不规则</t>
  </si>
  <si>
    <t>较差</t>
  </si>
  <si>
    <t>有</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</si>
  <si>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</si>
  <si>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</si>
  <si>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</si>
  <si>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</si>
  <si>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</si>
  <si>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</si>
  <si>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</si>
  <si>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</si>
  <si>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</si>
  <si>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</si>
  <si>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</si>
  <si>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</si>
  <si>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</si>
  <si>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</si>
  <si>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</si>
  <si>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</si>
  <si>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</si>
  <si>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</si>
  <si>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</si>
  <si>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</si>
  <si>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</si>
  <si>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</si>
  <si>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</si>
  <si>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</si>
  <si>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</si>
  <si>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</si>
  <si>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</si>
  <si>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</si>
  <si>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</si>
  <si>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</si>
  <si>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</si>
  <si>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</si>
  <si>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</si>
  <si>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</si>
  <si>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</si>
  <si>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</si>
  <si>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</si>
  <si>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</si>
  <si>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</si>
  <si>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</si>
  <si>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</si>
  <si>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</si>
  <si>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</si>
  <si>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</si>
  <si>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</si>
  <si>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</si>
  <si>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</si>
  <si>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</si>
  <si>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</si>
  <si>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</si>
  <si>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</si>
  <si>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</si>
  <si>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</si>
  <si>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</si>
  <si>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</si>
  <si>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</si>
  <si>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</si>
  <si>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</si>
  <si>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</si>
  <si>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</si>
  <si>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</si>
  <si>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</si>
  <si>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</si>
  <si>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</si>
  <si>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</si>
  <si>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</si>
  <si>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</si>
  <si>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</si>
  <si>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</si>
  <si>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</si>
  <si>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</si>
  <si>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</si>
  <si>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</si>
  <si>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</si>
  <si>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</si>
  <si>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</si>
  <si>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</si>
  <si>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</si>
  <si>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</si>
  <si>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</si>
  <si>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</si>
  <si>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</si>
  <si>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</si>
  <si>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</si>
  <si>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</si>
  <si>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</si>
  <si>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</si>
  <si>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</si>
  <si>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</si>
  <si>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</si>
  <si>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</si>
  <si>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</si>
  <si>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</si>
  <si>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</si>
  <si>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</si>
  <si>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</si>
  <si>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</si>
  <si>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</si>
  <si>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</si>
  <si>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</si>
  <si>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</si>
  <si>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</si>
  <si>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</si>
  <si>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</si>
  <si>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</si>
  <si>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</si>
  <si>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</si>
  <si>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</si>
  <si>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</si>
  <si>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</si>
  <si>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</si>
  <si>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</si>
  <si>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</si>
  <si>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</si>
  <si>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</si>
  <si>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</si>
  <si>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</si>
  <si>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</si>
  <si>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</si>
  <si>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</si>
  <si>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</si>
  <si>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</si>
  <si>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</si>
  <si>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</si>
  <si>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</si>
  <si>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</si>
  <si>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</si>
  <si>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</si>
  <si>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</si>
  <si>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</si>
  <si>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</si>
  <si>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</si>
  <si>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</si>
  <si>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</si>
  <si>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</si>
  <si>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</si>
  <si>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</si>
  <si>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</si>
  <si>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</si>
  <si>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</si>
  <si>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</si>
  <si>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</si>
  <si>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</si>
  <si>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</si>
  <si>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</si>
  <si>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</si>
  <si>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</si>
  <si>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</si>
  <si>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</si>
  <si>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</si>
  <si>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</si>
  <si>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</si>
  <si>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</si>
  <si>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</si>
  <si>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</si>
  <si>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</si>
  <si>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</si>
  <si>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</si>
  <si>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</si>
  <si>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</si>
  <si>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</si>
  <si>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</si>
  <si>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</si>
  <si>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</si>
  <si>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</si>
  <si>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</si>
  <si>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</si>
  <si>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</si>
  <si>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</si>
  <si>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</si>
  <si>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</si>
  <si>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</si>
  <si>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</si>
  <si>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</si>
  <si>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</si>
  <si>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</si>
  <si>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</si>
  <si>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</si>
  <si>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</si>
  <si>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</si>
  <si>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</si>
  <si>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</si>
  <si>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</si>
  <si>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</si>
  <si>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</si>
  <si>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</si>
  <si>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</si>
  <si>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</si>
  <si>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</si>
  <si>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</si>
  <si>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</si>
  <si>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</si>
  <si>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</si>
  <si>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</si>
  <si>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</si>
  <si>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</si>
  <si>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</si>
  <si>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</si>
  <si>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</si>
  <si>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</si>
  <si>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</si>
  <si>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</si>
  <si>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</si>
  <si>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</si>
  <si>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</si>
  <si>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</si>
  <si>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</si>
  <si>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</si>
  <si>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</si>
  <si>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</si>
  <si>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</si>
  <si>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</si>
  <si>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</si>
  <si>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</si>
  <si>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</si>
  <si>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</si>
  <si>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</si>
  <si>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</si>
  <si>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</si>
  <si>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</si>
  <si>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</si>
  <si>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</si>
  <si>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</si>
  <si>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</si>
  <si>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</si>
  <si>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</si>
  <si>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</si>
  <si>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</si>
  <si>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</si>
  <si>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</si>
  <si>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</si>
  <si>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</si>
  <si>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</si>
  <si>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</si>
  <si>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</si>
  <si>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</si>
  <si>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</si>
  <si>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</si>
  <si>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</si>
  <si>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</si>
  <si>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</si>
  <si>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</si>
  <si>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</si>
  <si>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</si>
  <si>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</si>
  <si>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</si>
  <si>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</si>
  <si>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</si>
  <si>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</si>
  <si>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</si>
  <si>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</si>
  <si>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</si>
  <si>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</si>
  <si>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</si>
  <si>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</si>
  <si>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</si>
  <si>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</si>
  <si>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</si>
  <si>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</si>
  <si>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</si>
  <si>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</si>
  <si>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</si>
  <si>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</si>
  <si>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</si>
  <si>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</si>
  <si>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</si>
  <si>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</si>
  <si>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</si>
  <si>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</si>
  <si>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</si>
  <si>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</si>
  <si>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</si>
  <si>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</si>
  <si>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</si>
  <si>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</si>
  <si>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</si>
  <si>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</si>
  <si>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</si>
  <si>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</si>
  <si>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</si>
  <si>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</si>
  <si>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</si>
  <si>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</si>
  <si>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</si>
  <si>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</si>
  <si>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</si>
  <si>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</si>
  <si>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</si>
  <si>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</si>
  <si>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</si>
  <si>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</si>
  <si>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</si>
  <si>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</si>
  <si>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</si>
  <si>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</si>
  <si>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</si>
  <si>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</si>
  <si>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</si>
  <si>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</si>
  <si>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</si>
  <si>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</si>
  <si>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</si>
  <si>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</si>
  <si>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</si>
  <si>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</si>
  <si>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</si>
  <si>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</si>
  <si>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</si>
  <si>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</si>
  <si>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</si>
  <si>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</si>
  <si>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</si>
  <si>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</si>
  <si>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</si>
  <si>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</si>
  <si>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</si>
  <si>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</si>
  <si>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</si>
  <si>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</si>
  <si>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</si>
  <si>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</si>
  <si>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</si>
  <si>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</si>
  <si>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</si>
  <si>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</si>
  <si>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</si>
  <si>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</si>
  <si>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</si>
  <si>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</si>
  <si>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</si>
  <si>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</si>
  <si>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</si>
  <si>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</si>
  <si>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</si>
  <si>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</si>
  <si>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</si>
  <si>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</si>
  <si>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</si>
  <si>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</si>
  <si>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</si>
  <si>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</si>
  <si>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</si>
  <si>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</si>
  <si>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</si>
  <si>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</si>
  <si>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</si>
  <si>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</si>
  <si>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</si>
  <si>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</si>
  <si>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</si>
  <si>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</si>
  <si>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</si>
  <si>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</si>
  <si>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</si>
  <si>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</si>
  <si>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</si>
  <si>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</si>
  <si>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</si>
  <si>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</si>
  <si>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</si>
  <si>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</si>
  <si>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</si>
  <si>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</si>
  <si>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</si>
  <si>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</si>
  <si>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</si>
  <si>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</si>
  <si>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</si>
  <si>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</si>
  <si>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</si>
  <si>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</si>
  <si>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</si>
  <si>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</si>
  <si>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</si>
  <si>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</si>
  <si>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</si>
  <si>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</si>
  <si>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</si>
  <si>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</si>
  <si>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</si>
  <si>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</si>
  <si>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</si>
  <si>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</si>
  <si>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</si>
  <si>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</si>
  <si>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</si>
  <si>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</si>
  <si>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</si>
  <si>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</si>
  <si>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</si>
  <si>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</si>
  <si>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</si>
  <si>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</si>
  <si>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</si>
  <si>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</si>
  <si>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</si>
  <si>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</si>
  <si>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</si>
  <si>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</si>
  <si>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</si>
  <si>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</si>
  <si>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</si>
  <si>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</si>
  <si>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</si>
  <si>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</si>
  <si>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</si>
  <si>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</si>
  <si>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</si>
  <si>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</si>
  <si>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</si>
  <si>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</si>
  <si>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</si>
  <si>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</si>
  <si>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</si>
  <si>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</si>
  <si>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</si>
  <si>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</si>
  <si>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</si>
  <si>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</si>
  <si>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</si>
  <si>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</si>
  <si>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</si>
  <si>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</si>
  <si>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</si>
  <si>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</si>
  <si>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</si>
  <si>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</si>
  <si>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</si>
  <si>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</si>
  <si>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</si>
  <si>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</si>
  <si>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</si>
  <si>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</si>
  <si>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</si>
  <si>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</si>
  <si>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</si>
  <si>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</si>
  <si>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</si>
  <si>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</si>
  <si>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</si>
  <si>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</si>
  <si>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</si>
  <si>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</si>
  <si>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</si>
  <si>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</si>
  <si>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</si>
  <si>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</si>
  <si>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</si>
  <si>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</si>
  <si>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</si>
  <si>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</si>
  <si>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</si>
  <si>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</si>
  <si>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</si>
  <si>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</si>
  <si>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</si>
  <si>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</si>
  <si>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</si>
  <si>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</si>
  <si>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</si>
  <si>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</si>
  <si>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</si>
  <si>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</si>
  <si>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</si>
  <si>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</si>
  <si>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</si>
  <si>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</si>
  <si>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</si>
  <si>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</si>
  <si>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</si>
  <si>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</si>
  <si>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</si>
  <si>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</si>
  <si>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</si>
  <si>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</si>
  <si>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</si>
  <si>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</si>
  <si>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</si>
  <si>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</si>
  <si>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</si>
  <si>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</si>
  <si>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</si>
  <si>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</si>
  <si>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</si>
  <si>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</si>
  <si>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</si>
  <si>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</si>
  <si>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</si>
  <si>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</si>
  <si>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</si>
  <si>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</si>
  <si>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</si>
  <si>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</si>
  <si>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</si>
  <si>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</si>
  <si>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</si>
  <si>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</si>
  <si>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</si>
  <si>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</si>
  <si>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</si>
  <si>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</si>
  <si>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</si>
  <si>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</si>
  <si>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</si>
  <si>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</si>
  <si>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</si>
  <si>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</si>
  <si>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</si>
  <si>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</si>
  <si>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</si>
  <si>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</si>
  <si>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</si>
  <si>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</si>
  <si>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</si>
  <si>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</si>
  <si>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</si>
  <si>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</si>
  <si>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</si>
  <si>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</si>
  <si>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</si>
  <si>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</si>
  <si>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</si>
  <si>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</si>
  <si>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</si>
  <si>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</si>
  <si>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</si>
  <si>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</si>
  <si>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</si>
  <si>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</si>
  <si>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</si>
  <si>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</si>
  <si>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</si>
  <si>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</si>
  <si>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</si>
  <si>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</si>
  <si>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</si>
  <si>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</si>
  <si>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</si>
  <si>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</si>
  <si>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</si>
  <si>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</si>
  <si>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</si>
  <si>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</si>
  <si>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</si>
  <si>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</si>
  <si>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</si>
  <si>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</si>
  <si>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</si>
  <si>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</si>
  <si>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</si>
  <si>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</si>
  <si>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</si>
  <si>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</si>
  <si>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</si>
  <si>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</si>
  <si>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</si>
  <si>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</si>
  <si>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</si>
  <si>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</si>
  <si>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</si>
  <si>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</si>
  <si>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</si>
  <si>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</si>
  <si>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</si>
  <si>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</si>
  <si>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</si>
  <si>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</si>
  <si>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</si>
  <si>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</si>
  <si>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</si>
  <si>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</si>
  <si>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</si>
  <si>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</si>
  <si>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</si>
  <si>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</si>
  <si>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</si>
  <si>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</si>
  <si>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</si>
  <si>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</si>
  <si>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</si>
  <si>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</si>
  <si>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</si>
  <si>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</si>
  <si>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</si>
  <si>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</si>
  <si>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</si>
  <si>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</si>
  <si>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</si>
  <si>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</si>
  <si>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</si>
  <si>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</si>
  <si>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</si>
  <si>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</si>
  <si>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</si>
  <si>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</si>
  <si>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</si>
  <si>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</si>
  <si>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</si>
  <si>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</si>
  <si>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</si>
  <si>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</si>
  <si>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</si>
  <si>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</si>
  <si>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</si>
  <si>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</si>
  <si>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</si>
  <si>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</si>
  <si>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</si>
  <si>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</si>
  <si>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</si>
  <si>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</si>
  <si>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</si>
  <si>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</si>
  <si>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</si>
  <si>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</si>
  <si>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</si>
  <si>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</si>
  <si>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</si>
  <si>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</si>
  <si>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</si>
  <si>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</si>
  <si>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</si>
  <si>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</si>
  <si>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</si>
  <si>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</si>
  <si>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</si>
  <si>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</si>
  <si>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</si>
  <si>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</si>
  <si>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</si>
  <si>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</si>
  <si>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</si>
  <si>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</si>
  <si>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</si>
  <si>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</si>
  <si>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</si>
  <si>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</si>
  <si>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</si>
  <si>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</si>
  <si>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</si>
  <si>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</si>
  <si>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</si>
  <si>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</si>
  <si>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</si>
  <si>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</si>
  <si>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</si>
  <si>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</si>
  <si>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</si>
  <si>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</si>
  <si>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</si>
  <si>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</si>
  <si>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</si>
  <si>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</si>
  <si>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</si>
  <si>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</si>
  <si>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</si>
  <si>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</si>
  <si>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</si>
  <si>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</si>
  <si>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</si>
  <si>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</si>
  <si>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</si>
  <si>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</si>
  <si>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</si>
  <si>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</si>
  <si>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</si>
  <si>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</si>
  <si>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</si>
  <si>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</si>
  <si>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</si>
  <si>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</si>
  <si>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</si>
  <si>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</si>
  <si>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</si>
  <si>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</si>
  <si>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</si>
  <si>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</si>
  <si>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</si>
  <si>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</si>
  <si>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</si>
  <si>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</si>
  <si>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</si>
  <si>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</si>
  <si>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</si>
  <si>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</si>
  <si>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</si>
  <si>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</si>
  <si>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</si>
  <si>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</si>
  <si>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</si>
  <si>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</si>
  <si>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</si>
  <si>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</si>
  <si>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</si>
  <si>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</si>
  <si>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</si>
  <si>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</si>
  <si>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</si>
  <si>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</si>
  <si>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</si>
  <si>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</si>
  <si>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</si>
  <si>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</si>
  <si>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</si>
  <si>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</si>
  <si>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</si>
  <si>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</si>
  <si>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</si>
  <si>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</si>
  <si>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</si>
  <si>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</si>
  <si>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</si>
  <si>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</si>
  <si>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</si>
  <si>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</si>
  <si>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</si>
  <si>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</si>
  <si>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</si>
  <si>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</si>
  <si>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</si>
  <si>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</si>
  <si>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</si>
  <si>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</si>
  <si>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</si>
  <si>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</si>
  <si>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</si>
  <si>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</si>
  <si>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</si>
  <si>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</si>
  <si>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</si>
  <si>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</si>
  <si>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</si>
  <si>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</si>
  <si>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</si>
  <si>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</si>
  <si>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</si>
  <si>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</si>
  <si>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</si>
  <si>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</si>
  <si>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</si>
  <si>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</si>
  <si>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</si>
  <si>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</si>
  <si>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</si>
  <si>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</si>
  <si>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</si>
  <si>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</si>
  <si>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</si>
  <si>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</si>
  <si>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</si>
  <si>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</si>
  <si>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</si>
  <si>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</si>
  <si>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</si>
  <si>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</si>
  <si>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</si>
  <si>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</si>
  <si>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</si>
  <si>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</si>
  <si>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</si>
  <si>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</si>
  <si>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</si>
  <si>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</si>
  <si>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</si>
  <si>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</si>
  <si>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</si>
  <si>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</si>
  <si>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</si>
  <si>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</si>
  <si>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</si>
  <si>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</si>
  <si>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</si>
  <si>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</si>
  <si>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</si>
  <si>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</si>
  <si>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</si>
  <si>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</si>
  <si>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</si>
  <si>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</si>
  <si>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</si>
  <si>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</si>
  <si>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</si>
  <si>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</si>
  <si>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</si>
  <si>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</si>
  <si>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</si>
  <si>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</si>
  <si>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</si>
  <si>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</si>
  <si>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</si>
  <si>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</si>
  <si>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</si>
  <si>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</si>
  <si>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</si>
  <si>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</si>
  <si>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</si>
  <si>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</si>
  <si>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</si>
  <si>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</si>
  <si>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</si>
  <si>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</si>
  <si>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</si>
  <si>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</si>
  <si>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</si>
  <si>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</si>
  <si>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</si>
  <si>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</si>
  <si>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</si>
  <si>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</si>
  <si>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</si>
  <si>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</si>
  <si>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</si>
  <si>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</si>
  <si>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</si>
  <si>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</si>
  <si>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</si>
  <si>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</si>
  <si>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</si>
  <si>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</si>
  <si>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</si>
  <si>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</si>
  <si>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</si>
  <si>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</si>
  <si>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</si>
  <si>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</si>
  <si>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</si>
  <si>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</si>
  <si>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</si>
  <si>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</si>
  <si>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</si>
  <si>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</si>
  <si>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</si>
  <si>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</si>
  <si>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</si>
  <si>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</si>
  <si>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</si>
  <si>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</si>
  <si>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</si>
  <si>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</si>
  <si>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</si>
  <si>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</si>
  <si>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</si>
  <si>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</si>
  <si>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</si>
  <si>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</si>
  <si>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</si>
  <si>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</si>
  <si>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</si>
  <si>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</si>
  <si>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</si>
  <si>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</si>
  <si>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</si>
  <si>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</si>
  <si>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</si>
  <si>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</si>
  <si>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</si>
  <si>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</si>
  <si>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</si>
  <si>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</si>
  <si>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</si>
  <si>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</si>
  <si>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</si>
  <si>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</si>
  <si>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</si>
  <si>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</si>
  <si>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</si>
  <si>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</si>
  <si>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</si>
  <si>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</si>
  <si>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</si>
  <si>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</si>
  <si>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</si>
  <si>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</si>
  <si>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</si>
  <si>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</si>
  <si>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</si>
  <si>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</si>
  <si>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</si>
  <si>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</si>
  <si>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</si>
  <si>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</si>
  <si>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</si>
  <si>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</si>
  <si>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</si>
  <si>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</si>
  <si>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</si>
  <si>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</si>
  <si>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</si>
  <si>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</si>
  <si>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</si>
  <si>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</si>
  <si>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</si>
  <si>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</si>
  <si>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</si>
  <si>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</si>
  <si>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</si>
  <si>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</si>
  <si>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</si>
  <si>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</si>
  <si>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</si>
  <si>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</si>
  <si>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</si>
  <si>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</si>
  <si>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</si>
  <si>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</si>
  <si>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</si>
  <si>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</si>
  <si>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</si>
  <si>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</si>
  <si>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</si>
  <si>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</si>
  <si>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</si>
  <si>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</si>
  <si>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</si>
  <si>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</si>
  <si>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</si>
  <si>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</si>
  <si>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</si>
  <si>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</si>
  <si>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</si>
  <si>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</si>
  <si>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</si>
  <si>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</si>
  <si>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</si>
  <si>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</si>
  <si>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</si>
  <si>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</si>
  <si>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</si>
  <si>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</si>
  <si>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</si>
  <si>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</si>
  <si>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</si>
  <si>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</si>
  <si>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</si>
  <si>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</si>
  <si>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</si>
  <si>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</si>
  <si>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</si>
  <si>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</si>
  <si>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</si>
  <si>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</si>
  <si>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</si>
  <si>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</si>
  <si>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</si>
  <si>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</si>
  <si>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</si>
  <si>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</si>
  <si>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</si>
  <si>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</si>
  <si>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</si>
  <si>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</si>
  <si>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</si>
  <si>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</si>
  <si>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</si>
  <si>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</si>
  <si>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</si>
  <si>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</si>
  <si>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</si>
  <si>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</si>
  <si>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</si>
  <si>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</si>
  <si>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</si>
  <si>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</si>
  <si>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</si>
  <si>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</si>
  <si>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</si>
  <si>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</si>
  <si>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</si>
  <si>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</si>
  <si>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</si>
  <si>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</si>
  <si>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</si>
  <si>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</si>
  <si>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</si>
  <si>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</si>
  <si>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</si>
  <si>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</si>
  <si>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</si>
  <si>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</si>
  <si>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</si>
  <si>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</si>
  <si>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</si>
  <si>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</si>
  <si>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</si>
  <si>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</si>
  <si>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</si>
  <si>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</si>
  <si>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</si>
  <si>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</si>
  <si>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</si>
  <si>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</si>
  <si>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</si>
  <si>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</si>
  <si>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</si>
  <si>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</si>
  <si>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</si>
  <si>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</si>
  <si>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底色标黄的为2018年至今全部共有产权土地案例，字体标红为此次选用土地案例</t>
  </si>
  <si>
    <t>地块名称</t>
  </si>
  <si>
    <t>城市</t>
  </si>
  <si>
    <t>用地性质</t>
  </si>
  <si>
    <t>建设用地面积(㎡)</t>
  </si>
  <si>
    <t>规划建筑面积(㎡)</t>
  </si>
  <si>
    <t>出让方式</t>
  </si>
  <si>
    <t>详细规划</t>
  </si>
  <si>
    <t>集中供地</t>
  </si>
  <si>
    <t>成交保障房面积(㎡)</t>
  </si>
  <si>
    <t>成交特殊政策</t>
  </si>
  <si>
    <t>成交日期</t>
  </si>
  <si>
    <t>受让单位</t>
  </si>
  <si>
    <t>成交价(万元)</t>
  </si>
  <si>
    <t>成交每亩价(万元/亩)</t>
  </si>
  <si>
    <t>成交楼面价(元/㎡)</t>
  </si>
  <si>
    <t>溢价率</t>
  </si>
  <si>
    <t>土地星级</t>
  </si>
  <si>
    <r>
      <rPr>
        <sz val="10"/>
        <rFont val="宋体"/>
        <family val="3"/>
        <charset val="134"/>
      </rPr>
      <t>综合容积率</t>
    </r>
  </si>
  <si>
    <t>共产房售价</t>
  </si>
  <si>
    <t>北京市昌平区中关村生命科学园三期及北四村棚户区改造和环境整治项目CP00-1805-6001、6002地块R2二类居住用地、CP00-1805-6009地块A33基础教育用地(配建“公共租赁住房”)</t>
  </si>
  <si>
    <t>综合用地(含住宅)</t>
  </si>
  <si>
    <t>6001≤2.2,6002≤2.5,6009≤0.9</t>
  </si>
  <si>
    <t>挂牌</t>
  </si>
  <si>
    <t>R2二类居住用地、A33基础教育用地</t>
  </si>
  <si>
    <t>第一批</t>
  </si>
  <si>
    <t>限地价,限房价,竞配建,90/70,含保障房用地</t>
  </si>
  <si>
    <t>2021-05-11</t>
  </si>
  <si>
    <t>华通置业有限公司、北京领华房地产开发有限公司、北京嘉晨置业合伙企业(有限合伙)</t>
  </si>
  <si>
    <t>4星</t>
  </si>
  <si>
    <t>北京市昌平区东小口镇马连店1803-610地块R2二类居住用地</t>
  </si>
  <si>
    <t>住宅用地</t>
  </si>
  <si>
    <t>≤2.8</t>
  </si>
  <si>
    <t>5星</t>
  </si>
  <si>
    <t>北京市昌平区北七家镇中心起步区(暨海鶄落新村建设)土地一级开发项目一期HQL-09地块R2二类居住用地</t>
  </si>
  <si>
    <t>≤1.6</t>
  </si>
  <si>
    <t>限地价,限房价,竞配建,含保障房用地</t>
  </si>
  <si>
    <t>北京天时汤山房地产投资发展有限公司</t>
  </si>
  <si>
    <t>3星</t>
  </si>
  <si>
    <t>北京市大兴区大兴新城核心区H组团DX00-0106-001a、001b地块R2二类居住用地、A334基础教育用地</t>
  </si>
  <si>
    <t>≤2.0</t>
  </si>
  <si>
    <t>R2二类居住用地、A334基础教育用地</t>
  </si>
  <si>
    <t>中冶置业集团有限公司、宁波雨航企业管理合伙企业(有限合伙)</t>
  </si>
  <si>
    <t>北京市大兴区旧宫镇DX05-0102-6101、6102、YZ00-0801-0015、0016地块B4综合性商业金融服务业用地、U17邮政设施用地、R2二类居住用地(配建“公共租赁住房”)国有建设用地使用权出让</t>
  </si>
  <si>
    <t>6101≤1.5;6102≤1;0015;0016≤2.5</t>
  </si>
  <si>
    <t>B4综合性商业金融服务业用地、U17邮政设施用地、R2二类居住用地</t>
  </si>
  <si>
    <t>限地价,竞配建,90/70,含保障房用地</t>
  </si>
  <si>
    <t>北京住总房地产开发有限责任公司、北京首都开发股份有限公司</t>
  </si>
  <si>
    <t>北京市大兴区大兴新城核心区D、K组团土地一级开发DX00-0102-6006、6010、6018、6024、6026地块R2二类居住用地等</t>
  </si>
  <si>
    <t>≤2.42</t>
  </si>
  <si>
    <t>R2二类居住用地、F3其他类多功能用地、B1商业设施用地、A334基础教育用地</t>
  </si>
  <si>
    <t>限地价</t>
  </si>
  <si>
    <t>2021-05-08</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</si>
  <si>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</si>
  <si>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</si>
  <si>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≤1.1</t>
  </si>
  <si>
    <t>R2二类居住用地、S4社会停车场用地</t>
  </si>
  <si>
    <t>北京雅盛房地产开发有限公司</t>
  </si>
  <si>
    <t>2星</t>
  </si>
  <si>
    <t>北京市大兴区榆垡镇中心区DX09-0102-0027、0044地块R2二类居住用地</t>
  </si>
  <si>
    <t>保利(北京)房地产开发有限公司、北京新航城建设实业发展有限公司、北京首都开发股份有限公司</t>
  </si>
  <si>
    <t>北京市房山区长阳镇04街区FS10-0104-6001、6002地块R2二类居住用地、A334基础教育用地</t>
  </si>
  <si>
    <t>r2≤2.5;a334≤0.8</t>
  </si>
  <si>
    <t>招标</t>
  </si>
  <si>
    <t>限房价,含自住房/共有产权住房</t>
  </si>
  <si>
    <t>2021-04-22</t>
  </si>
  <si>
    <t>北京首都开发股份有限公司</t>
  </si>
  <si>
    <t>集体建设用地区级统筹大兴区瀛海镇YZ00-0803-2009、2012A、2012B、2015地块</t>
  </si>
  <si>
    <t>f81≤2.5</t>
  </si>
  <si>
    <t>F81绿隔产业用地</t>
  </si>
  <si>
    <t>2021-02-10</t>
  </si>
  <si>
    <t>中建三局房地产开发有限公司、湖北省鄂旅投置业集团有限公司</t>
  </si>
  <si>
    <t>北京市顺义新城第23街区新国展三期项目(原22街区南部)22-02-007-1、22-02-007-2地块R2二类居住用地</t>
  </si>
  <si>
    <t>≤2.5</t>
  </si>
  <si>
    <t>限地价,竞自持,竞配建</t>
  </si>
  <si>
    <t>2021-02-02</t>
  </si>
  <si>
    <t>北京润置商业运营管理有限公司、保利(北京)房地产开发有限公司</t>
  </si>
  <si>
    <t>北京市顺义区顺义新城第13街区SY00-0013-6055、6056地块二类居住用地</t>
  </si>
  <si>
    <t>二类居住用地</t>
  </si>
  <si>
    <t>2021-01-26</t>
  </si>
  <si>
    <t>北京宏远泰业科技有限公司、保利(北京)房地产开发有限公司联合体</t>
  </si>
  <si>
    <t>北京市大兴区旧宫镇南郊农场棚户区改造项目DX05-0200-0037、0038、6002等地块R2二类居住用地</t>
  </si>
  <si>
    <t>≤2.3</t>
  </si>
  <si>
    <t>北京盛宏辰悦房地产开发有限公司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</si>
  <si>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</si>
  <si>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</si>
  <si>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</si>
  <si>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</si>
  <si>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北京市房山区拱辰街道FS00-LX04-0087、0093、0092、0085地块R2二类居住用地、B1商业用地、A33基础教育用地</t>
  </si>
  <si>
    <t>fs00-lx04-0087、fs00-lx04-0093≤1.6;fs00-lx04-0092≤1.5;fs00-lx04-0085≤0.8</t>
  </si>
  <si>
    <t>R2二类居住用地、B1商业用地、A33基础教育用地</t>
  </si>
  <si>
    <t>2021-01-13</t>
  </si>
  <si>
    <t>北京鑫汇房地产开发有限公司</t>
  </si>
  <si>
    <t>集体建设用地区级统筹大兴区瀛海镇YZ00-0803-2003、2004、2005A、2005B、2008地块</t>
  </si>
  <si>
    <t>F81绿隔产业用地(建设共有产权房)</t>
  </si>
  <si>
    <t>2020-12-25</t>
  </si>
  <si>
    <t>北京北投如郡房地产开发有限公司</t>
  </si>
  <si>
    <t>北京市大兴区黄村镇狼垡地区集体产业用地2号地DX00-1002-L06地块</t>
  </si>
  <si>
    <t>含人才住房</t>
  </si>
  <si>
    <t>2020-12-22</t>
  </si>
  <si>
    <t>北京兴业恒盛置业有限公司</t>
  </si>
  <si>
    <t>北京市昌平区沙河镇七里渠南北村土地一级开发项目CP00-1804-0002地块R2二类居住用地、CP00-1804-0012地块F3其他类多功能用地</t>
  </si>
  <si>
    <t>r2≤2.8,f3≤4.5</t>
  </si>
  <si>
    <t>R2二类居住用地、F3其他类多功能用地</t>
  </si>
  <si>
    <t>限地价,限房价,90/70</t>
  </si>
  <si>
    <t>2020-12-02</t>
  </si>
  <si>
    <t>北京中公未来教育科技有限公司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</si>
  <si>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</si>
  <si>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</si>
  <si>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</si>
  <si>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</si>
  <si>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</si>
  <si>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</si>
  <si>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</si>
  <si>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</si>
  <si>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</si>
  <si>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</si>
  <si>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</si>
  <si>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二类居住用地、托幼用地</t>
  </si>
  <si>
    <t>北京路劲隽御房地产开发有限公司</t>
  </si>
  <si>
    <t>北京经济技术开发区河西区X46R1、X46R2地块R2二类居住用地、A334托幼用地国有建设用地</t>
  </si>
  <si>
    <t>r2≤2.5,a33≤0.8</t>
  </si>
  <si>
    <t>R2二类居住用地、A334托幼用地</t>
  </si>
  <si>
    <t>2020-08-03</t>
  </si>
  <si>
    <t>北京中海地产有限公司</t>
  </si>
  <si>
    <t>北京市门头沟区龙泉镇门头沟新城05街区MC00-0005-6002、6003、6010、6011、6007、6008、6012地块R2二类居住用地、S4社会停车场用地、A33基础教育用地</t>
  </si>
  <si>
    <t>r2≤1.4,a33≤0.8</t>
  </si>
  <si>
    <t>R2二类居住用地、S4社会停车场用地、A33基础教育用地</t>
  </si>
  <si>
    <t>2020-07-24</t>
  </si>
  <si>
    <t>京能置业股份有限公司</t>
  </si>
  <si>
    <t>北京市门头沟区新城04街区MC00-0004-6022地块R2二类居住用地</t>
  </si>
  <si>
    <t>2020-07-14</t>
  </si>
  <si>
    <t>北京鼎泰佳业房地产开发有限公司</t>
  </si>
  <si>
    <t>北京市房山区轨道交通房山线稻田站02-5-09地块R2二类居住用地</t>
  </si>
  <si>
    <t>≤2.4</t>
  </si>
  <si>
    <t>北京市门头沟区永定镇南区MC00-0015-6057、MC00-0015-0090等地块R2二类居住用地</t>
  </si>
  <si>
    <t>6057地块≤1.5,0097地块≤1.4</t>
  </si>
  <si>
    <t>2020-06-10</t>
  </si>
  <si>
    <t>中建方程投资发展集团有限公司、中建信和地产有限公司联合体</t>
  </si>
  <si>
    <t>北京市房山区拱辰街道办事处FS00-LX05-0046、0056地块R2二类居住用地</t>
  </si>
  <si>
    <t>限地价,限房价,含自住房/共有产权住房</t>
  </si>
  <si>
    <t>2020-05-19</t>
  </si>
  <si>
    <t>中建一局集团房地产开发有限公司、北京市城投嘉业房地产开发有限责任公司联合体</t>
  </si>
  <si>
    <t>北京市大兴区采育镇01-0129地块R2二类居住用地、01-0115地块R53托幼用地</t>
  </si>
  <si>
    <t>r2≤1.05,a53≤0.8</t>
  </si>
  <si>
    <t>R2二类居住用地、R53托幼用地</t>
  </si>
  <si>
    <t>2020-05-15</t>
  </si>
  <si>
    <t>北京路劲隽御房地产开发有限公司、北京首都开发股份有限公司联合体</t>
  </si>
  <si>
    <t>北京市顺义区顺义新城第13街区SY00-0013-6039等地块二类居住用地、康复护理用地和医院用地</t>
  </si>
  <si>
    <t>r2、医院≤1.6,康复≤0.8</t>
  </si>
  <si>
    <t>二类居住用地、康复护理、医院用地</t>
  </si>
  <si>
    <t>2020-05-09</t>
  </si>
  <si>
    <t>中建一局集团房地产开发有限公司</t>
  </si>
  <si>
    <t>北京市顺义区顺义新城第13街区SY00-0013-6028等地块二类居住用地、托幼用地、文化活动用地和综合性商业金融服务业用地</t>
  </si>
  <si>
    <t>r2≤1.6,幼托≤0.8,文化活动≤1.2,商业金融≤1.8</t>
  </si>
  <si>
    <t>二类居住用地、托幼用地、文化活动用地、综合性商业金融服务业用地</t>
  </si>
  <si>
    <t>北京恒世投资有限公司</t>
  </si>
  <si>
    <t>北京市大兴区西红门镇B1-05-(3)地块R2二类居住用地</t>
  </si>
  <si>
    <t>≤2.1</t>
  </si>
  <si>
    <t>2020-04-29</t>
  </si>
  <si>
    <t>北京尚恒龙端商业运营管理有限公司、北京首都开发股份有限公司联合体</t>
  </si>
  <si>
    <t>北京市大兴区西红门镇B1-05-(2)地块R2二类居住用地、B2-02地块S4社会停车场用地</t>
  </si>
  <si>
    <t>r2≤2.1</t>
  </si>
  <si>
    <t>北京新城万隆房地产开发有限公司</t>
  </si>
  <si>
    <t>北京市房山区良乡镇FS04-0100-6056等地块R2二类居住用地、B11零售商业用地</t>
  </si>
  <si>
    <t>6056地块≤2,6058、6053地块≤2.5</t>
  </si>
  <si>
    <t>R2二类居住用地、B11零售商业用地</t>
  </si>
  <si>
    <t>2020-04-23</t>
  </si>
  <si>
    <t>北京市大兴区采育镇DX10-0001-6004地块R2二类居住用地</t>
  </si>
  <si>
    <t>2020-02-18</t>
  </si>
  <si>
    <t>北京住总房地产开发有限责任公司、北京兴创置地房地产开发有限公司联合体</t>
  </si>
  <si>
    <t>北京市大兴区旧宫镇YZ00-0801-0018、0019、0024、0025、0026地块二类居住用地、基础教育用地</t>
  </si>
  <si>
    <t>基础教育≤0.8,二类居住≤2.5</t>
  </si>
  <si>
    <t>二类居住用地、基础教育用地</t>
  </si>
  <si>
    <t>北京昱意房地产开发有限公司</t>
  </si>
  <si>
    <t>北京市昌平区东小口镇HC-022、HC-027地块R2二类居住用地</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</si>
  <si>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</si>
  <si>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</si>
  <si>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</si>
  <si>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</si>
  <si>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</si>
  <si>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北京市大兴区采育镇01-0042地块R2二类居住用地</t>
  </si>
  <si>
    <t>≤1.05</t>
  </si>
  <si>
    <t>2020-02-11</t>
  </si>
  <si>
    <t>北京市房山区良乡镇FS04-0100-6076等地块R2二类居住用地、A33基础教育用地、F3其他类多功能用地</t>
  </si>
  <si>
    <t>fs04-0100-6076、6077、6078≤2.3,6084、6085≤2.2,a33≤0.8,f3≤3</t>
  </si>
  <si>
    <t>R2二类居住用地、A33基础教育用地、F3其他类多功能用地</t>
  </si>
  <si>
    <t>2019-12-12</t>
  </si>
  <si>
    <t>北京骏祥企业管理咨询有限公司</t>
  </si>
  <si>
    <t>北京市房山区拱辰街道FS00-LX09-6001地块R2二类居住用地、FS00-LX09-6003地块A33基础教育用地</t>
  </si>
  <si>
    <t>r2≤2.15,a33≤0.8</t>
  </si>
  <si>
    <t>2019-11-18</t>
  </si>
  <si>
    <t>北京茂越企业管理有限公司</t>
  </si>
  <si>
    <t>北京经济技术开发区路东区E9R2、E9A2地块R2二类居住用地、A33基础教育用地</t>
  </si>
  <si>
    <t>2019-11-13</t>
  </si>
  <si>
    <t>山西通建房地产开发有限公司</t>
  </si>
  <si>
    <t>北京经济技术开发区路东区E9R3、E9R4地块R2二类居住用地</t>
  </si>
  <si>
    <t>招商局地产(北京)有限公司</t>
  </si>
  <si>
    <t>北京市大兴区黄村镇孙村组团DX00-0009-6010地块R2二类居住用地、DX00-0009-6009地块A33基础教育用地</t>
  </si>
  <si>
    <t>r2≤1.8,a33≤0.8</t>
  </si>
  <si>
    <t>2019-10-15</t>
  </si>
  <si>
    <t>北京融创恒基地产有限公司、北京昌政大道实业有限公司联合体</t>
  </si>
  <si>
    <t>北京市大兴区地铁亦庄线旧宫东站2号地项目DX05-0102-6003、6004、6005地块R2居住用地、A334基础教育用地及S1城市道路用地</t>
  </si>
  <si>
    <t>r2≤2.5,幼儿园≤0.8,a33≤0.8</t>
  </si>
  <si>
    <t>R2居住用地及A334基础教育用地及S1城市道路用地</t>
  </si>
  <si>
    <t>中国电建地产集团有限公司、京能置业股份有限公司联合体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</si>
  <si>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</si>
  <si>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</si>
  <si>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</si>
  <si>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</si>
  <si>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</si>
  <si>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</si>
  <si>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</si>
  <si>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集体建设用地区级统筹大兴区瀛海镇YZ00-0803-2010、2013A、2013B、2014、2016地块</t>
  </si>
  <si>
    <t>2019-09-12</t>
  </si>
  <si>
    <t>北京上瑞置业有限公司</t>
  </si>
  <si>
    <t>北京市顺义区北小营镇顺义新城第30街区30-01-02地块R2二类居住用地、30-01-04地块A33基础教育用地</t>
  </si>
  <si>
    <t>2019-08-29</t>
  </si>
  <si>
    <t>天津北方彤茂企业管理有限公司、北京城建投资发展股份有限公司联合体</t>
  </si>
  <si>
    <t>北京市顺义区高丽营镇SY02-0102-6001、SY02-0102-6002地块R2二类居住用地</t>
  </si>
  <si>
    <t>≤1.5</t>
  </si>
  <si>
    <t>限地价,限房价</t>
  </si>
  <si>
    <t>2019-06-27</t>
  </si>
  <si>
    <t>北京首都开发股份有限公司、富力瑞康有限公司联合体</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</si>
  <si>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</si>
  <si>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</si>
  <si>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</si>
  <si>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</si>
  <si>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</si>
  <si>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北京市门头沟区永定镇MC00-0016-0055、0056、0066地块A334基础教育用地、F1住宅混合公建用地、F2公建混合住宅用地</t>
  </si>
  <si>
    <t>a334=0.8,f1、f2=2.5</t>
  </si>
  <si>
    <t>A334基础教育用地、F1住宅混合公建用地、F2公建混合住宅用地</t>
  </si>
  <si>
    <t>2019-04-04</t>
  </si>
  <si>
    <t>北京凯竣商务服务有限公司</t>
  </si>
  <si>
    <t>北京市大兴区瀛海镇YZ00-0803-6024、6025、6032、6035、6038地块F1住宅混合公建用地、A33基础教育用地、S32公交场站设施用地</t>
  </si>
  <si>
    <t>f1=2.5,a33=0.8</t>
  </si>
  <si>
    <t>F1住宅混合公建用地、A33基础教育用地、S32公交场站设施用地</t>
  </si>
  <si>
    <t>2019-02-25</t>
  </si>
  <si>
    <t>北京市大兴区黄村镇三合庄村DX00-0202-6009地块F1住宅混合公建用地</t>
  </si>
  <si>
    <t>F1住宅混合公建用地</t>
  </si>
  <si>
    <t>北京金地达远企业管理咨询有限公司</t>
  </si>
  <si>
    <t>北京市门头沟区永定镇曹各庄桥户营村MC00-0016-061地块R2二类居住用地、MC16-041地块T6区域综合交通枢纽用地、MC16-048地块S4社会停车场用地</t>
  </si>
  <si>
    <t>r2=2.8,t6=3.5</t>
  </si>
  <si>
    <t>R2二类居住用地、T6区域综合交通枢纽用地、S4社会停车场用地</t>
  </si>
  <si>
    <t>2019-02-01</t>
  </si>
  <si>
    <t>北京骏乐企业管理咨询有限公司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</si>
  <si>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</si>
  <si>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</si>
  <si>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</si>
  <si>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</si>
  <si>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</si>
  <si>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</si>
  <si>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</si>
  <si>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</si>
  <si>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</si>
  <si>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</si>
  <si>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</si>
  <si>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</si>
  <si>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</si>
  <si>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R2二类居住用地、A61机构养老设施用地、A33基础教育用地</t>
  </si>
  <si>
    <t>北京新城金郡房地产开发有限公司</t>
  </si>
  <si>
    <t>北京市大兴区采育镇区01-0119地块R2二类居住用地</t>
  </si>
  <si>
    <t>2018-11-26</t>
  </si>
  <si>
    <t>北京城建新城投资开发有限公司</t>
  </si>
  <si>
    <t>北京市顺义区顺义新城第13街区SY00-0013-6010地块R2二类居住用地</t>
  </si>
  <si>
    <t>北京恒意房地产开发有限公司</t>
  </si>
  <si>
    <t>北京市大兴区采育镇区01-0128A地块R2二类居住用地</t>
  </si>
  <si>
    <t>限地价,限房价,竞自持</t>
  </si>
  <si>
    <t>北京住总房地产开发有限责任公司</t>
  </si>
  <si>
    <t>北京市顺义区后沙峪镇顺义新城第19街区SY00-0019-0075地块R2二类居住用地</t>
  </si>
  <si>
    <t>深圳市威卓投资咨询有限公司、北京首都开发股份有限公司联合体</t>
  </si>
  <si>
    <t>北京市顺义区后沙峪镇SY00-0019-6014地块R2二类居住用地、SY00-0019-6013地块A33基础教育用地</t>
  </si>
  <si>
    <t>中建一局集团建设发展有限公司</t>
  </si>
  <si>
    <t>北京市房山区拱辰街道17-02-10地块F1住宅混合公建用地、17-02-09地块A33基础教育用地</t>
  </si>
  <si>
    <t>F1住宅混合公建用地、A33基础教育用地</t>
  </si>
  <si>
    <t>北京华发创盛置业有限公司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</si>
  <si>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</si>
  <si>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</si>
  <si>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</si>
  <si>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北京市昌平区沙河镇七里渠南北村土地一级开发项目CP00-1600-0016、CP00-1804-0007地块F2公建混合住宅用地</t>
  </si>
  <si>
    <t>F2公建混合住宅用地</t>
  </si>
  <si>
    <t>限地价,限房价,90/70,含租赁用地</t>
  </si>
  <si>
    <t>2018-11-05</t>
  </si>
  <si>
    <t>广州小米通讯技术有限公司、北京润置商业运营管理有限公司联合体</t>
  </si>
  <si>
    <t>北京市房山区青龙湖镇中心区01-0010、0021地块R2二类居住用地、01-0015地块B4综合性商业金融服务业用地</t>
  </si>
  <si>
    <t>2018-10-19</t>
  </si>
  <si>
    <t>中铁建设集团房地产有限公司</t>
  </si>
  <si>
    <t>1星</t>
  </si>
  <si>
    <t>北京经济技术开发区河西区X89R1地块R2二类居住用地</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</si>
  <si>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</si>
  <si>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</si>
  <si>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</si>
  <si>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</si>
  <si>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</si>
  <si>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</si>
  <si>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北京市大兴区魏善庄镇DX07-0102-6013地块R2二类居住用地、DX07-0102-6016地块A33基础教育用地</t>
  </si>
  <si>
    <t>2018-08-23</t>
  </si>
  <si>
    <t>北京喜茂置业有限公司</t>
  </si>
  <si>
    <t>北京市大兴区魏善庄镇DX07-0102-6015地块R2二类居住用地</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</si>
  <si>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</si>
  <si>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</si>
  <si>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</si>
  <si>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</si>
  <si>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</si>
  <si>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</si>
  <si>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</si>
  <si>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</si>
  <si>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北京市门头沟区永定镇曹各庄桥户营村MC00-0016-063地块F1住宅混合公建用地、MC00-0016-064地块</t>
  </si>
  <si>
    <t>F1住宅混合公建用地、R2二类居住用地</t>
  </si>
  <si>
    <t>限房价,含自住房/共有产权住房,含租赁用地</t>
  </si>
  <si>
    <t>2018-02-06</t>
  </si>
  <si>
    <t>北京市门头沟区永定镇岢罗坨、秋坡、石佛村MC00-0500-0009、0010、0013地块R2二类居住用地</t>
  </si>
  <si>
    <t>2018-02-02</t>
  </si>
  <si>
    <t>中国电建地产集团有限公司、山西建设投资集团有限公司、北京金地驰创投资咨询有限公司、隆泰实业(北京)有限公司联合体</t>
  </si>
  <si>
    <t>北京市大兴区庞各庄镇PGZ02-21地块R2二类居住用地</t>
  </si>
  <si>
    <t>北京市门头沟区永定镇岢罗坨、秋坡、石佛村MC00-0500-0004、0007、0011、0008、0012、0014、MC00-0600-0004、0006、0008、0009、0031地块B1商业用地、F3其他类多功能用地、R2二类居住用地、A334基础教育用地</t>
  </si>
  <si>
    <t>B1商业用地、F3其他类多功能用地、R2二类居住用地、A334基础教育用地</t>
  </si>
  <si>
    <t>限地价,限房价,含租赁用地</t>
  </si>
  <si>
    <t>隆泰实业(北京)有限公司、中国电建地产集团有限公司联合体</t>
  </si>
  <si>
    <t>北京市大兴区黄村镇三合庄0202-0206、0202-0208地块F1住宅混合公建用地</t>
  </si>
  <si>
    <t>2018-01-30</t>
  </si>
  <si>
    <t>招商局地产(北京)有限公司、北京永世同创信息咨询有限公司联合体</t>
  </si>
  <si>
    <t>北京市大兴区黄村镇DX00-0103-1304地块R2二类居住用地</t>
  </si>
  <si>
    <t>2018-01-18</t>
  </si>
  <si>
    <t>北京三元德宏房地产开发有限公司</t>
  </si>
  <si>
    <t>北京市昌平区沙河镇丽春湖LCH-010等地块R2二类居住用地、F1住宅混合公建用地、B4综合性商业金融服务业用地、A33基础教育用地</t>
  </si>
  <si>
    <t>R2二类居住用地、F1住宅混合公建用地、B4综合性商业金融服务业用地、A33基础教育用地</t>
  </si>
  <si>
    <t>2018-01-17</t>
  </si>
  <si>
    <t>北京市昌平区北七家镇（未来科学城南区）C-16、CP07-0600-0023-2、0024、0025、0041-2、0042、0043地块R2二类居住用地、F3其他类多功能用地</t>
  </si>
  <si>
    <t>限房价、含自住房/共有产权住房</t>
  </si>
  <si>
    <t xml:space="preserve"> 北京未来科学城昌泰置业有限公司</t>
  </si>
  <si>
    <t>土地案例A</t>
  </si>
  <si>
    <t>土地案例B</t>
  </si>
  <si>
    <t>土地案例C</t>
  </si>
  <si>
    <t>估价对象与土地案例位置图</t>
  </si>
  <si>
    <t>其他土地案例</t>
  </si>
  <si>
    <r>
      <rPr>
        <sz val="10"/>
        <rFont val="Arial"/>
        <family val="2"/>
      </rPr>
      <t>F81</t>
    </r>
    <r>
      <rPr>
        <sz val="10"/>
        <rFont val="宋体"/>
        <family val="3"/>
        <charset val="134"/>
      </rPr>
      <t>绿隔产业用地</t>
    </r>
  </si>
  <si>
    <r>
      <rPr>
        <sz val="10"/>
        <rFont val="Arial"/>
        <family val="2"/>
      </rPr>
      <t>R2</t>
    </r>
    <r>
      <rPr>
        <sz val="10"/>
        <rFont val="宋体"/>
        <family val="3"/>
        <charset val="134"/>
      </rPr>
      <t>二类居住用地、</t>
    </r>
    <r>
      <rPr>
        <sz val="10"/>
        <rFont val="Arial"/>
        <family val="2"/>
      </rPr>
      <t>S4</t>
    </r>
    <r>
      <rPr>
        <sz val="10"/>
        <rFont val="宋体"/>
        <family val="3"/>
        <charset val="134"/>
      </rPr>
      <t>社会停车场用地、</t>
    </r>
    <r>
      <rPr>
        <sz val="10"/>
        <rFont val="Arial"/>
        <family val="2"/>
      </rPr>
      <t>A33</t>
    </r>
    <r>
      <rPr>
        <sz val="10"/>
        <rFont val="宋体"/>
        <family val="3"/>
        <charset val="134"/>
      </rPr>
      <t>基础教育用地</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</si>
  <si>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SY00-0013-6010</t>
    </r>
    <r>
      <rPr>
        <sz val="10"/>
        <rFont val="宋体"/>
        <family val="3"/>
        <charset val="134"/>
      </rPr>
      <t>地块</t>
    </r>
    <r>
      <rPr>
        <sz val="10"/>
        <rFont val="Arial"/>
        <family val="2"/>
      </rPr>
      <t>R2</t>
    </r>
    <r>
      <rPr>
        <sz val="10"/>
        <rFont val="宋体"/>
        <family val="3"/>
        <charset val="134"/>
      </rPr>
      <t>二类居住用地</t>
    </r>
  </si>
  <si>
    <t>土地案例</t>
  </si>
  <si>
    <t>建设用地面积</t>
  </si>
  <si>
    <t>总建筑面积</t>
  </si>
  <si>
    <t>成交总价</t>
  </si>
  <si>
    <t>成交每亩价</t>
  </si>
  <si>
    <t>成交楼面价</t>
  </si>
  <si>
    <t>售价</t>
  </si>
  <si>
    <t>其中商品住宅面积</t>
  </si>
  <si>
    <t>公租房面积</t>
  </si>
  <si>
    <t>共有产权面积</t>
  </si>
  <si>
    <t>其他面积</t>
  </si>
  <si>
    <t>经营性加总</t>
  </si>
  <si>
    <t>拆分后单价</t>
  </si>
  <si>
    <t>备注</t>
  </si>
  <si>
    <t>基础教育用地4051㎡，FS10-0104-6001地块内含社区卫生服务中心630平方米；本次出让宗地FS10-0104-6001地块中配建建筑规模25775.56平方米的公共租赁住房，公共租赁住房将由中标人完成建设，建成后由北投公司整体回购，回购价格8380元/平方米（含精装修费用）</t>
  </si>
  <si>
    <t>本次出让宗地中的 6003 地块 A33 基础教育用地需由竞得人代建 并无偿移交房山区教委。</t>
  </si>
  <si>
    <t>年度</t>
  </si>
  <si>
    <t>会期</t>
  </si>
  <si>
    <t>月份</t>
  </si>
  <si>
    <t>供地方式</t>
  </si>
  <si>
    <t>开发主体</t>
  </si>
  <si>
    <t>项目类型</t>
  </si>
  <si>
    <t>规划用途</t>
  </si>
  <si>
    <t>市政条件</t>
  </si>
  <si>
    <t>总用地面积（公顷）</t>
  </si>
  <si>
    <t>建筑规模</t>
  </si>
  <si>
    <t>土地开发成本</t>
  </si>
  <si>
    <t>土地开发成本构成情况</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</si>
  <si>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</si>
  <si>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</si>
  <si>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</si>
  <si>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</si>
  <si>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</si>
  <si>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</si>
  <si>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</si>
  <si>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</si>
  <si>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</si>
  <si>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公开出让</t>
  </si>
  <si>
    <t>北京市土地整理储备中心</t>
  </si>
  <si>
    <t>企业利用自有用地建设共有产权房</t>
  </si>
  <si>
    <t xml:space="preserve">二类居住
</t>
  </si>
  <si>
    <t xml:space="preserve"> 
市政建设程度为项目红线范围内城市支路的临时三通（通施工临时用水、通施工临时用电、通可供施工车辆通行的道路）和场地自然平整，以上工作由首钢集团有限公司负责于项目入市前完成。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</si>
  <si>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</si>
  <si>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本项目尚未完成地上物拆迁。</t>
  </si>
  <si>
    <t>石景山区首钢园区东南区土地一级开发项目1612-757、1612-759等地块</t>
  </si>
  <si>
    <t>北京首钢建设投资有限公司</t>
  </si>
  <si>
    <t>一级开发</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</si>
  <si>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</si>
  <si>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</si>
  <si>
    <t>本次审核地块部分征地未完成，待核发征地批复；拆迁已完成约95%。</t>
  </si>
  <si>
    <t xml:space="preserve">北京市土地整理储备中心
</t>
  </si>
  <si>
    <t>二类居住</t>
  </si>
  <si>
    <t>市政建设程度为项目红线范围内城市支路的临时三通（通施工临时用水、通施工临时用电、通可供施工车辆通行的道路）和场地自然平整，以上工作由首钢总公司负责于项目入市前完成。</t>
  </si>
  <si>
    <t xml:space="preserve"> 
一、石景山区首钢铸造村一区共有产权房项目土地开发成本为53088.68万元，其中，土地收购补偿款53078.68万元，评估费10.00万元。
二、本次审核的土地开发成本为53088.68万元，其中，土地收购补偿53078.68款万元，评估费10.00万元。</t>
  </si>
  <si>
    <t xml:space="preserve">本次审核地块已完成地上物拆除。
</t>
  </si>
  <si>
    <t>石景山</t>
  </si>
  <si>
    <t xml:space="preserve">石景山首钢园区东南区土地一级开发项目
1612-761、1612-764等地块
</t>
  </si>
  <si>
    <t>居住、商业及多功能用地</t>
  </si>
  <si>
    <t xml:space="preserve">
市政建设程度为项目红线范围内城市支路的六通（通路、通上水（自来水、中水）、通下水（雨水、污水）、通电（管沟、电缆）、通燃气、通热力）和场地自然平整，以上工作由北京首钢建设投资有限公司负责于二级竣工验收前完成。
</t>
  </si>
  <si>
    <t>39.14（容积率不足1.0的，按1.0计算规模分摊成本）</t>
  </si>
  <si>
    <t xml:space="preserve"> 
    一、经石景山区政府审核，石景山首钢园区东南区土地一级开发项目土地开发成本为 3231270.13 万元，其中，前期费用32415.16 万元，征地补偿及相关税费 49408.17  万元，拆迁补偿费及相关税费 2582997.25 万元，市政基础设施建设费 51647.51 万元，其他费用 3187.93  万元，财务费用 129212.27 万元，利润380751.84万元，审计费 950 万元，委托入市交易服务费 700 万元。
    二、本次审核地块土地开发成本958099.23 万元。其中，1612-761地块成本为150756.87万元，1612-764地块成本为139764.52万元，1612-768地块成本为259971.97万元，1612-806地块成本为113405.12万元，1612-813地块成本为100672.46万元，1612-819地块成本为77488.01万元，1612-820地块成本为108620.01万元，1612-756地块成本为314.24万元，1612-828地块成本为314.24万元，1612-832地块成本为785.60万元,1612-760地块成本为1283.15万元，1612-808地块成本为3361.33万元，1612-811地块成本为1361.71万元。</t>
  </si>
  <si>
    <t>本次审核地块不涉及征地，拆迁工作已完成。</t>
  </si>
  <si>
    <t>石景山区五里坨建设组团土地一级开发项目03A、04C等地块</t>
  </si>
  <si>
    <t>市中心、分中心</t>
  </si>
  <si>
    <t>居住、混合用地等</t>
  </si>
  <si>
    <t>市政建设程度为项目红线范围内城市支路的六通（通路、通上水（自来水）、通下水（雨水、污水）、通电（管沟）、通燃气、通热力）和场地自然平整,以上工作由北京市土地整理储备中心石景山区分中心负责于二级竣工验收前完成。</t>
  </si>
  <si>
    <t xml:space="preserve">    一、经石景山区政府审核，五里坨建设组团项目土地开发总成本为1634966.79万元，其中，前期费用44905.62万元，征地补偿及相关税费197179.87万元，拆迁补偿及相关费用823790.97万元，市政基础设施建设费84271.16万元，其他费用7965.46万元，财务费用452177.39万元，管理费23162.26万元，审计费、委托入市交易费、地价评估费1514.07万元。
    二、扣除可收回成本1244501.31万元，剩余地块土地开发成本390465.48万元。
    三、本次审核的03A、04C及非经营地块土地开发成本为184818.82万元。其中03A（1602-001）地块土地开发成本为97668.48万元， 04C（1602-054）地块土地开发成本为82787.04万元，1602-061地块土地开发成本为520.13万元， 1602-086地块土地开发成本为635.71万元， 1601-025地块土地开发成本为216.72万元， 1601-026地块土地开发成本为809.09万元， 1601-044地块土地开发成本为115.58万元， 1601-049地块土地开发成本为505.68万元， 1602-056地块土地开发成本为1184.74万元， 1602-094地块土地开发成本为375.65万元。
</t>
  </si>
  <si>
    <t>本次审核地块征地批复文件、征地结案手续已全部取得，拆迁工作已基本完成。</t>
  </si>
  <si>
    <t>第3期</t>
  </si>
  <si>
    <t>4月</t>
  </si>
  <si>
    <t xml:space="preserve">    一、经石景山区政府审核，石景山首钢园区东南区土地一级开发项目土地开发成本为 3231270.13 万元，其中，前期费用32415.16 万元，征地补偿及相关税费 49408.17  万元，拆迁补偿费及相关税费 2582997.25 万元，市政基础设施建设费 51647.51 万元，其他费用 3187.93  万元，财务费用 129212.27 万元，利润380751.84万元，审计费 950 万元，委托入市交易服务费 700 万元。
    二、本次审核地块土地开发成本958099.23 万元。其中，1612-761地块成本为150756.87万元，1612-764地块成本为139764.52万元，1612-768地块成本为259971.97万元，1612-806地块成本为113405.12万元，1612-813地块成本为100672.46万元，1612-819地块成本为77488.01万元，1612-820地块成本为108620.01万元，1612-756地块成本为314.24万元，1612-828地块成本为314.24万元，1612-832地块成本为785.60万元,1612-760地块成本为1283.15万元，1612-808地块成本为3361.33万元，1612-811地块成本为1361.71万元。</t>
  </si>
  <si>
    <t>第2期</t>
  </si>
  <si>
    <t>3月</t>
  </si>
  <si>
    <t>x</t>
  </si>
  <si>
    <t>截止日期</t>
  </si>
  <si>
    <t>起始价(万元)</t>
  </si>
  <si>
    <t>共有产权销售均价</t>
  </si>
  <si>
    <t>北京市石景山区阜石路1603-616地块R2二类居住用地</t>
  </si>
  <si>
    <t>2019-01-24</t>
  </si>
  <si>
    <t>北京首钢房地产开发有限公司</t>
  </si>
  <si>
    <t>≤3</t>
  </si>
  <si>
    <t>2019-12-13</t>
  </si>
  <si>
    <t>北京首钢二通建设投资有限公司</t>
  </si>
  <si>
    <t>r2≤2.1,a33≤0.7</t>
  </si>
  <si>
    <t>2020-01-20</t>
  </si>
  <si>
    <t>北京海开房地产股份有限公司、北京建工地产有限责任公司联合体</t>
  </si>
  <si>
    <t>案例位置示意图</t>
  </si>
  <si>
    <t>位置</t>
  </si>
  <si>
    <t>套数</t>
  </si>
  <si>
    <t>销售均价</t>
  </si>
  <si>
    <t>评估购房人产权份额</t>
  </si>
  <si>
    <t>购房人产权份额比例</t>
  </si>
  <si>
    <t>装修情况</t>
  </si>
  <si>
    <t>开始申购时间</t>
  </si>
  <si>
    <t>玉景阳光</t>
  </si>
  <si>
    <t>北京市石景山区玉泉西一路（长安街以北），项目四至为：东至玉泉西一路，南至现状园林小区，西至规划X-18246地块规划绿地，北至现状北辛安交警大队</t>
  </si>
  <si>
    <t>不详</t>
  </si>
  <si>
    <t>西山荟景嘉园</t>
  </si>
  <si>
    <t>位于石景山区东下庄，项目四至为：东至规划东下庄中路西红线，南至规划疗养院北侧路北红线，西至八大处路东红线，北至规划东下庄北路南红线。</t>
  </si>
  <si>
    <t>瑞锦苑</t>
  </si>
  <si>
    <t>位于石景山区古城南街东侧，项目四至为：东至建隆街，南至康锦路，西至建泰街，北至康盛路</t>
  </si>
  <si>
    <t>金安雅筑嘉苑</t>
  </si>
  <si>
    <t>位于石景山区阜石路，四至范围为：东至首钢铸造厂南区限价房，南至阜石路，西至铸一区六栋高塔，北至铸造村幼儿园。</t>
  </si>
  <si>
    <t>土地开发建设补偿费（万元）</t>
  </si>
  <si>
    <t>北京市石景山区衙门口棚户区改造土地开发项目1615-708地块二类居住用地、1612-734地块基础教育用地</t>
  </si>
  <si>
    <t>≤2.7</t>
  </si>
  <si>
    <t>北京西斯马管理咨询有限公司、北京石泰鸿业置业有限公司</t>
  </si>
  <si>
    <t>北京市石景山区北辛安棚户区改造B区土地开发项目1608-673-A地块二类居住用地</t>
  </si>
  <si>
    <t>2021-01-14</t>
  </si>
  <si>
    <t>北京鑫安兴业房地产开发有限公司</t>
  </si>
  <si>
    <t>北京市石景山区刘娘府综合改造A2地块土地一级开发项目1604-663、1604-667地块二类居住用地、1604-676、1604-678地块综合性商业金融服务业用地、1604-666地块基础教育用地</t>
  </si>
  <si>
    <t>≤1.54</t>
  </si>
  <si>
    <t>二类居住用地、综合性商业金融服务业用地、基础教育用地</t>
  </si>
  <si>
    <t>2020-12-30</t>
  </si>
  <si>
    <t>北京远景中安置业有限公司</t>
  </si>
  <si>
    <t>北京市石景山区北辛安棚户区改造B区土地开发项目1608-658地块其他类多功能用地、1608-673-B地块二类居住用地、1608-676地块托幼用地</t>
  </si>
  <si>
    <t>r2≤2.8,多功能≤4.9,幼托≤0.8</t>
  </si>
  <si>
    <t>二类居住用地、其他类多功能用地、托幼用地</t>
  </si>
  <si>
    <t>2020-09-02</t>
  </si>
  <si>
    <t>北京市石景山区西黄村1606-646地块F2公建混合住宅用地</t>
  </si>
  <si>
    <t>≤3.07</t>
  </si>
  <si>
    <t>首金睿志(天津)置业发展有限公司</t>
  </si>
  <si>
    <t>北京市石景山区古城南街东侧(首钢园区东南区)1612-759地块R2二类居住用地</t>
  </si>
  <si>
    <t>2020-01-03</t>
  </si>
  <si>
    <t>深圳市海嘉投资有限公司</t>
  </si>
  <si>
    <t>北京市石景山区古城南街东侧(首钢园区东南区)1612-757地块R2二类居住用地</t>
  </si>
  <si>
    <t>厦门建益融房地产有限公司</t>
  </si>
  <si>
    <t>北京市石景山区古城南街东侧(首钢园区东南区)1612-805、812、823、822、811等地块R2二类居住用地、F3其他类多功能用地、A33基础教育用地</t>
  </si>
  <si>
    <t>805、812、822≤2.2.5,823≤2.8,811≤0.8</t>
  </si>
  <si>
    <t>R2二类居住用地、F3其他类多功能用地、A33基础教育用地</t>
  </si>
  <si>
    <t>2019-11-20</t>
  </si>
  <si>
    <t>中海企业发展集团有限公司、北京首钢房地产开发有限公司联合体</t>
  </si>
  <si>
    <t>北京市石景山区古城南街东侧1612-761、764等地块R2二类居住用地、1612-768地块B4综合性商业金融服务业用地、1612-760地块A33基础教育用地</t>
  </si>
  <si>
    <t>b4≤5,a33≤0.8,r2≤2.8</t>
  </si>
  <si>
    <t>R2二类居住用地、B4综合性商业金融服务业用地、A33基础教育用地</t>
  </si>
  <si>
    <t>北京润置商业运营管理有限公司、北京海赋丰业房地产开发有限公司、上海兴泷置业有限公司联合体</t>
  </si>
  <si>
    <t>北京市石景山区西黄村1606-641地块R2二类居住用地、1606-642地块A33基础教育用地</t>
  </si>
  <si>
    <t>2019-01-31</t>
  </si>
  <si>
    <t>首金盛创(天津)置业发展有限公司、北京新城万隆房地产开发有限公司联合体</t>
  </si>
  <si>
    <t>北京市石景山区古城南街东侧1612-806、813、819、820等地块R2二类居住用地</t>
  </si>
  <si>
    <t>2018-10-31</t>
  </si>
  <si>
    <t>中海地产集团有限公司、北京首钢房地产开发有限公司联合体</t>
  </si>
  <si>
    <t>北京市石景山区五里坨建设组团二1601-053地块等F3其他类多功能用地、R2二类居住用地、A334基础教育用地</t>
  </si>
  <si>
    <t>F3其他类多功能用地、R2二类居住用地、A334基础教育用地</t>
  </si>
  <si>
    <t>2017-11-14</t>
  </si>
  <si>
    <t>北京万湖企业管理有限公司、北京盛新置业有限公司、廊坊市卓越锦华房地产开发有限公司联合体</t>
  </si>
  <si>
    <t>北京市石景山区五里坨建设组团一(1601-029)等地块R2二类居住用地、F1住宅混合公建用地、F3其他类多功能用地、B4综合性商业金融服务业用地、A334基础教育用地</t>
  </si>
  <si>
    <t>R2二类居住用地、F1住宅混合公建用地、F3其他类多功能用地、A334基础教育用地、B4综合性商业金融服务业用地</t>
  </si>
  <si>
    <t>2017-11-07</t>
  </si>
  <si>
    <t>杭州胜拓投资有限公司</t>
  </si>
  <si>
    <t>2017-09-13</t>
  </si>
  <si>
    <t>北京建工地产有限责任公司、北京天恒正同资产管理有限公司联合体</t>
  </si>
  <si>
    <t>2017-04-24</t>
  </si>
  <si>
    <t>中铁二十二局集团房地产开发有限公司、北京实兴腾飞置业发展公司联合体</t>
  </si>
  <si>
    <t>石景山区北辛安棚户区改造A区项目前期工作及拟改造土地使用权</t>
  </si>
  <si>
    <t>≤3.38</t>
  </si>
  <si>
    <t>R2二类居住用地、混合住宅用地、其他类多功能用地</t>
  </si>
  <si>
    <t>2015-12-30</t>
  </si>
  <si>
    <t>中海地产集团有限公司</t>
  </si>
  <si>
    <t>石景山区老古城综合改造项目C等地块二类居住、综合性商业金融服务业及基础教育用地</t>
  </si>
  <si>
    <t>2014-11-02</t>
  </si>
  <si>
    <t>北京中海金石房地产开发有限公司</t>
  </si>
  <si>
    <t>石景山区刘娘府1604-659等地块(刘娘府综合改造项目A1地块一期)二类居住及商业金融用地</t>
  </si>
  <si>
    <t>R2二类居住用地、C2商业金融用地</t>
  </si>
  <si>
    <t>2014-09-28</t>
  </si>
  <si>
    <t>北京德俊置业有限公司、北京奥宸置业有限公司联合体</t>
  </si>
  <si>
    <t>石景山区八角第二水泥管厂1612-034、1612-042地块二类居住、托幼用地(配建&amp;quot限价商品住房&amp;quot)</t>
  </si>
  <si>
    <t>2014-07-17</t>
  </si>
  <si>
    <t>京汉置业集团股份有限公司、东方邦信置业有限公司联合体</t>
  </si>
  <si>
    <t>石景山区五里坨南宫住宅小区(A、B地块)保障性住房用地、京西商务中心(西区)商业金融用地</t>
  </si>
  <si>
    <t>南宫地块容积率为2.02,京西(西区)地块容积率为4.5</t>
  </si>
  <si>
    <t>南宫地块为R2二类居住用地,京西(西区)地块为C2商业金融用地</t>
  </si>
  <si>
    <t>2013-07-15</t>
  </si>
  <si>
    <t>金融街控股股份有限公司、北京实兴腾飞置业发展公司联合体</t>
  </si>
  <si>
    <t>石景山区五里坨建设组团02号地B地块保障性住房用地、京西商务中心(东区)商业金融用地</t>
  </si>
  <si>
    <t>五里坨地块容积率为2.41,京西(东区)地块容积率为4.5</t>
  </si>
  <si>
    <t>五里坨地块为R2二类居住用地、R53托幼用地,京西(东区)地块为C2商业金融用地</t>
  </si>
  <si>
    <t>石景山区老古城综合改造项目D、JB地块二类居住及商业金融项目(配建公共租赁住房)</t>
  </si>
  <si>
    <t>2013-01-10</t>
  </si>
  <si>
    <t>北京市石景山区五里坨住宅项目(原西山木材厂)用地(配建廉租房)</t>
  </si>
  <si>
    <t>R2二类居住</t>
  </si>
  <si>
    <t>2010-08-19</t>
  </si>
  <si>
    <t>北京住总正华开发建设集团有限公司、北京正华永兴房地产开发有限公司联合体</t>
  </si>
  <si>
    <t>石景山区石槽居住项目用地</t>
  </si>
  <si>
    <t>住宅及居住公共服务设施</t>
  </si>
  <si>
    <t>2009-07-06</t>
  </si>
  <si>
    <t>远洋地产有限公司</t>
  </si>
  <si>
    <t>石景山区衙门口东路北侧居住及配套项目用地</t>
  </si>
  <si>
    <t>2009-05-12</t>
  </si>
  <si>
    <t>京汉置业集团股份有限公司</t>
  </si>
  <si>
    <t>石景山区金顶街居住项目</t>
  </si>
  <si>
    <t>2009-03-06</t>
  </si>
  <si>
    <t>北京金隅嘉业房地产开发有限公司</t>
  </si>
  <si>
    <t>石景山区衙门口居住、公建用地</t>
  </si>
  <si>
    <t>≤2.55</t>
  </si>
  <si>
    <t>居住、商业金融</t>
  </si>
  <si>
    <t>2008-10-14</t>
  </si>
  <si>
    <t>金融街控股股份有限公司与北京石开房地产开发有限公司投标联合体</t>
  </si>
  <si>
    <t>石景山区石槽住宅、商业及配套用地</t>
  </si>
  <si>
    <t>居住、商业</t>
  </si>
  <si>
    <t>2008-01-17</t>
  </si>
  <si>
    <t>石景山区鲁谷G804居住用地</t>
  </si>
  <si>
    <t>居住用地</t>
  </si>
  <si>
    <t>2007-05-29</t>
  </si>
  <si>
    <t>北京金第房地产开发有限责任公司、北京成业行房地产开发有限公司联合</t>
  </si>
  <si>
    <t>石景山区金顶街三区住宅及配套项目用地</t>
  </si>
  <si>
    <t>居住(含基础教育)、公共设施、绿地</t>
  </si>
  <si>
    <t>2007-05-18</t>
  </si>
  <si>
    <t>石景山区金鼎商贸区用地</t>
  </si>
  <si>
    <t>住宅、商业</t>
  </si>
  <si>
    <t>2006-04-20</t>
  </si>
  <si>
    <t>北京实兴腾飞置业发展公司</t>
  </si>
  <si>
    <t>石景山区古城</t>
  </si>
  <si>
    <t>住宅可兼容底商</t>
  </si>
  <si>
    <t>2003-12-10</t>
  </si>
  <si>
    <t>上海昂内有限公司</t>
  </si>
  <si>
    <t>土地开发建设补偿费总额</t>
  </si>
  <si>
    <t>单价</t>
  </si>
  <si>
    <t>全部缴纳</t>
  </si>
  <si>
    <t>均价</t>
    <phoneticPr fontId="225" type="noConversion"/>
  </si>
  <si>
    <t>出让金</t>
    <phoneticPr fontId="225" type="noConversion"/>
  </si>
  <si>
    <t>扣出让金</t>
    <phoneticPr fontId="225" type="noConversion"/>
  </si>
  <si>
    <t>成本法-共产划拨</t>
  </si>
  <si>
    <t>成本法-共产划拨</t>
    <phoneticPr fontId="225" type="noConversion"/>
  </si>
  <si>
    <t>比较法-共产出让</t>
  </si>
  <si>
    <t>比较法-共产出让</t>
    <phoneticPr fontId="225" type="noConversion"/>
  </si>
  <si>
    <t>石景山区铸造村集资建房遗留项目面积表</t>
  </si>
  <si>
    <t>项目</t>
  </si>
  <si>
    <t>层数地上/地下</t>
  </si>
  <si>
    <t>总建筑面积（平方米）</t>
  </si>
  <si>
    <t>地上建筑面积（平方米）</t>
  </si>
  <si>
    <t>地下建筑面积（平方米）</t>
  </si>
  <si>
    <t>地上小计</t>
  </si>
  <si>
    <t>配套公建</t>
  </si>
  <si>
    <t>人防</t>
  </si>
  <si>
    <t>地下小计</t>
  </si>
  <si>
    <t>设备用房</t>
  </si>
  <si>
    <t>自行车库</t>
  </si>
  <si>
    <t>人防室外口及通道</t>
  </si>
  <si>
    <t>地下办公</t>
  </si>
  <si>
    <t>配套</t>
  </si>
  <si>
    <t>总宗地面积</t>
  </si>
  <si>
    <t>出让宗地面积</t>
  </si>
  <si>
    <t>总建面</t>
  </si>
  <si>
    <t>出让总建面</t>
  </si>
  <si>
    <t>出让地上建面</t>
  </si>
  <si>
    <t>出让地下建面</t>
  </si>
  <si>
    <t xml:space="preserve">集资房 </t>
  </si>
  <si>
    <t>公租房</t>
  </si>
  <si>
    <t>回迁房</t>
  </si>
  <si>
    <t>代征带路</t>
  </si>
  <si>
    <t>2#住宅</t>
  </si>
  <si>
    <t>14/-2</t>
  </si>
  <si>
    <t>出让合同</t>
  </si>
  <si>
    <t>3#住宅</t>
  </si>
  <si>
    <t>补充协议</t>
  </si>
  <si>
    <t>1#住宅</t>
  </si>
  <si>
    <t>15/-2</t>
  </si>
  <si>
    <t>5#住宅</t>
  </si>
  <si>
    <t>12/-1</t>
  </si>
  <si>
    <t>6#住宅</t>
  </si>
  <si>
    <t>12/-2</t>
  </si>
  <si>
    <t>8#住宅</t>
  </si>
  <si>
    <t>12#公建</t>
  </si>
  <si>
    <t>集资房</t>
  </si>
  <si>
    <t>13#公建</t>
  </si>
  <si>
    <t>1/-3</t>
  </si>
  <si>
    <t>9#共180套房其中150套回迁房剩余30套为共产</t>
  </si>
  <si>
    <t>14#幼儿园</t>
  </si>
  <si>
    <t>配套商业</t>
  </si>
  <si>
    <t>10#公建</t>
  </si>
  <si>
    <t>地上总出让面积</t>
  </si>
  <si>
    <t>总出让宗地面积</t>
  </si>
  <si>
    <t>11#公建</t>
  </si>
  <si>
    <t>4#公租房</t>
  </si>
  <si>
    <t>13/-2</t>
  </si>
  <si>
    <t>7#公租房</t>
  </si>
  <si>
    <t>地上总建筑面积(含人防）</t>
  </si>
  <si>
    <t>土地面积</t>
  </si>
  <si>
    <t>9#回迁房</t>
  </si>
  <si>
    <t>设备</t>
  </si>
  <si>
    <t>总计</t>
  </si>
  <si>
    <t>非住宅（不含人防）</t>
  </si>
  <si>
    <t>北京市石景山区阜石路1603-616地块R2二类居住用地</t>
    <phoneticPr fontId="225" type="noConversion"/>
  </si>
  <si>
    <t>石景山区玉泉西一路x-18160地块</t>
    <phoneticPr fontId="225" type="noConversion"/>
  </si>
  <si>
    <t>北京市石景山区东下庄1605-630地块R2二类居住用地</t>
    <phoneticPr fontId="225" type="noConversion"/>
  </si>
  <si>
    <t>北京市石景山区古城南街东侧1612-806、813、819、820等地块R2二类居住用地</t>
    <phoneticPr fontId="225" type="noConversion"/>
  </si>
  <si>
    <t>北京市石景山区阜石路1603-616地块R2二类居住用地</t>
    <phoneticPr fontId="225" type="noConversion"/>
  </si>
  <si>
    <t>住宅用地</t>
    <phoneticPr fontId="225" type="noConversion"/>
  </si>
  <si>
    <t>玉景阳光</t>
    <phoneticPr fontId="225" type="noConversion"/>
  </si>
  <si>
    <t>西山荟景嘉园</t>
    <phoneticPr fontId="225" type="noConversion"/>
  </si>
  <si>
    <t>瑞锦苑</t>
    <phoneticPr fontId="225" type="noConversion"/>
  </si>
  <si>
    <t>金安雅筑嘉苑</t>
    <phoneticPr fontId="225" type="noConversion"/>
  </si>
  <si>
    <t>石景山区首钢设备处企业利用自有用地建设共有产权房项目</t>
    <phoneticPr fontId="225" type="noConversion"/>
  </si>
  <si>
    <t>石景山区首钢铸造村一区共有产权房项目</t>
    <phoneticPr fontId="225" type="noConversion"/>
  </si>
  <si>
    <t>石景山区五里坨建设组团土地一级开发项目03A、04C等地块</t>
    <phoneticPr fontId="225" type="noConversion"/>
  </si>
  <si>
    <t>企业利用自有用地建设共有产权房</t>
    <phoneticPr fontId="225" type="noConversion"/>
  </si>
  <si>
    <t>一级开发</t>
    <phoneticPr fontId="225" type="noConversion"/>
  </si>
  <si>
    <t>R2二类居住用地、B4综合性商业金融服务业用地、F1住宅混合公建用地、F2公建混合住宅用地、F3其他类多功能用地、A4体育用地</t>
    <phoneticPr fontId="225" type="noConversion"/>
  </si>
  <si>
    <t>土地开发成本单价</t>
    <phoneticPr fontId="225" type="noConversion"/>
  </si>
  <si>
    <t>北京市丰台区吴家村梅市口路1615-761、1615-762地块R2二类居住用地</t>
    <phoneticPr fontId="225" type="noConversion"/>
  </si>
  <si>
    <t>北京市海淀区“海淀北部地区整体开发”永丰产业基地(新)HD00-0403-013、122地块R2二类居住用地、A33基础教育用地</t>
    <phoneticPr fontId="225" type="noConversion"/>
  </si>
  <si>
    <t>R2二类居住用地、A33基础教育用地</t>
    <phoneticPr fontId="225" type="noConversion"/>
  </si>
  <si>
    <t>成交价(万元)</t>
    <phoneticPr fontId="225" type="noConversion"/>
  </si>
  <si>
    <t>成交楼面价(元/㎡)</t>
    <phoneticPr fontId="225" type="noConversion"/>
  </si>
  <si>
    <t>成交日期</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</si>
</sst>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
    <numFmt numFmtId="178" formatCode="0.00_);[Red]\(0.00\)"/>
    <numFmt numFmtId="179" formatCode="yyyy&quot;年&quot;m&quot;月&quot;d&quot;日&quot;;@"/>
    <numFmt numFmtId="180" formatCode="0.0_ "/>
    <numFmt numFmtId="181" formatCode="yyyy/m/d;@"/>
    <numFmt numFmtId="182" formatCode="[$-F800]dddd\,\ mmmm\ dd\,\ yyyy"/>
    <numFmt numFmtId="183" formatCode="yyyy&quot;年&quot;m&quot;月&quot;;@"/>
    <numFmt numFmtId="184" formatCode="0_);[Red]\(0\)"/>
    <numFmt numFmtId="185" formatCode="0.0000_ "/>
    <numFmt numFmtId="186" formatCode="0.0%"/>
    <numFmt numFmtId="187" formatCode="0_ "/>
    <numFmt numFmtId="188" formatCode="0.0000%"/>
    <numFmt numFmtId="189" formatCode="0.00_ "/>
    <numFmt numFmtId="190" formatCode="[DBNum1][$-804]General"/>
    <numFmt numFmtId="191" formatCode="[DBNum2][$-804]General"/>
    <numFmt numFmtId="192" formatCode="0;_쐀"/>
    <numFmt numFmtId="193" formatCode="0.000_ "/>
    <numFmt numFmtId="194" formatCode="0_ ;[Red]\-0\ "/>
    <numFmt numFmtId="195" formatCode="0.0_);[Red]\(0.0\)"/>
    <numFmt numFmtId="196" formatCode="0.000_);[Red]\(0.000\)"/>
  </numFmts>
  <fonts count="229">
    <font>
      <sz val="11"/>
      <color theme="1"/>
      <name val="宋体"/>
      <charset val="134"/>
      <scheme val="minor"/>
    </font>
    <font>
      <sz val="11"/>
      <name val="宋体"/>
      <family val="3"/>
      <charset val="134"/>
      <scheme val="minor"/>
    </font>
    <font>
      <sz val="11"/>
      <color theme="1"/>
      <name val="宋体"/>
      <family val="3"/>
      <charset val="134"/>
      <scheme val="minor"/>
    </font>
    <font>
      <sz val="10"/>
      <color theme="1"/>
      <name val="宋体"/>
      <family val="3"/>
      <charset val="134"/>
      <scheme val="minor"/>
    </font>
    <font>
      <b/>
      <sz val="10"/>
      <color rgb="FFFF0000"/>
      <name val="宋体"/>
      <family val="3"/>
      <charset val="134"/>
      <scheme val="minor"/>
    </font>
    <font>
      <sz val="10"/>
      <color rgb="FFFF0000"/>
      <name val="宋体"/>
      <family val="3"/>
      <charset val="134"/>
      <scheme val="minor"/>
    </font>
    <font>
      <sz val="9"/>
      <name val="宋体"/>
      <family val="3"/>
      <charset val="134"/>
      <scheme val="minor"/>
    </font>
    <font>
      <sz val="9"/>
      <color theme="1"/>
      <name val="宋体"/>
      <family val="3"/>
      <charset val="134"/>
      <scheme val="minor"/>
    </font>
    <font>
      <sz val="9"/>
      <color indexed="8"/>
      <name val="宋体"/>
      <family val="3"/>
      <charset val="134"/>
    </font>
    <font>
      <b/>
      <sz val="9"/>
      <name val="宋体"/>
      <family val="3"/>
      <charset val="134"/>
      <scheme val="major"/>
    </font>
    <font>
      <sz val="9"/>
      <name val="宋体"/>
      <family val="3"/>
      <charset val="134"/>
    </font>
    <font>
      <sz val="9"/>
      <color rgb="FFFF0000"/>
      <name val="宋体"/>
      <family val="3"/>
      <charset val="134"/>
    </font>
    <font>
      <sz val="9"/>
      <color indexed="8"/>
      <name val="宋体"/>
      <family val="3"/>
      <charset val="134"/>
      <scheme val="minor"/>
    </font>
    <font>
      <b/>
      <sz val="9"/>
      <name val="宋体"/>
      <family val="3"/>
      <charset val="134"/>
      <scheme val="minor"/>
    </font>
    <font>
      <b/>
      <sz val="9"/>
      <color rgb="FFFF0000"/>
      <name val="宋体"/>
      <family val="3"/>
      <charset val="134"/>
    </font>
    <font>
      <b/>
      <sz val="9"/>
      <color rgb="FFFF0000"/>
      <name val="宋体"/>
      <family val="3"/>
      <charset val="134"/>
      <scheme val="minor"/>
    </font>
    <font>
      <sz val="9"/>
      <color rgb="FF000000"/>
      <name val="宋体"/>
      <family val="3"/>
      <charset val="134"/>
      <scheme val="minor"/>
    </font>
    <font>
      <b/>
      <sz val="9"/>
      <color rgb="FFFF0000"/>
      <name val="宋体"/>
      <family val="3"/>
      <charset val="134"/>
      <scheme val="major"/>
    </font>
    <font>
      <sz val="11"/>
      <color rgb="FFFF0000"/>
      <name val="宋体"/>
      <family val="3"/>
      <charset val="134"/>
      <scheme val="minor"/>
    </font>
    <font>
      <sz val="9"/>
      <name val="Arial"/>
      <family val="2"/>
    </font>
    <font>
      <sz val="10"/>
      <name val="Arial"/>
      <family val="2"/>
    </font>
    <font>
      <sz val="10"/>
      <color rgb="FFFF0000"/>
      <name val="Arial"/>
      <family val="2"/>
    </font>
    <font>
      <b/>
      <sz val="11"/>
      <color theme="1"/>
      <name val="宋体"/>
      <family val="3"/>
      <charset val="134"/>
      <scheme val="minor"/>
    </font>
    <font>
      <sz val="9"/>
      <color rgb="FF333333"/>
      <name val="Verdana"/>
      <family val="2"/>
    </font>
    <font>
      <b/>
      <sz val="11"/>
      <color theme="1"/>
      <name val="黑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color rgb="FFFF0000"/>
      <name val="宋体"/>
      <family val="3"/>
      <charset val="134"/>
    </font>
    <font>
      <sz val="1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2"/>
      <color indexed="1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8"/>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sz val="14"/>
      <name val="楷体_GB2312"/>
      <charset val="134"/>
    </font>
    <font>
      <b/>
      <sz val="9"/>
      <name val="宋体"/>
      <family val="3"/>
      <charset val="134"/>
    </font>
    <font>
      <sz val="9"/>
      <name val="宋体"/>
      <family val="3"/>
      <charset val="134"/>
      <scheme val="minor"/>
    </font>
    <font>
      <b/>
      <sz val="11"/>
      <name val="楷体_GB2312"/>
      <charset val="134"/>
    </font>
    <font>
      <b/>
      <sz val="11"/>
      <color theme="1"/>
      <name val="楷体_GB2312"/>
      <charset val="134"/>
    </font>
    <font>
      <b/>
      <sz val="11"/>
      <color rgb="FFFF0000"/>
      <name val="楷体_GB2312"/>
      <charset val="134"/>
    </font>
  </fonts>
  <fills count="3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7" tint="0.39988402966399123"/>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9" tint="0.79995117038483843"/>
        <bgColor indexed="64"/>
      </patternFill>
    </fill>
    <fill>
      <patternFill patternType="solid">
        <fgColor theme="8" tint="0.39988402966399123"/>
        <bgColor indexed="64"/>
      </patternFill>
    </fill>
    <fill>
      <patternFill patternType="solid">
        <fgColor rgb="FF57EF57"/>
        <bgColor indexed="64"/>
      </patternFill>
    </fill>
    <fill>
      <patternFill patternType="solid">
        <fgColor indexed="10"/>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7" tint="0.39997558519241921"/>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0" fontId="2" fillId="0" borderId="0"/>
    <xf numFmtId="9" fontId="103" fillId="0" borderId="0" applyFont="0" applyFill="0" applyBorder="0" applyAlignment="0" applyProtection="0">
      <alignment vertical="center"/>
    </xf>
    <xf numFmtId="0" fontId="126" fillId="0" borderId="0">
      <alignment vertical="center"/>
    </xf>
    <xf numFmtId="0" fontId="126" fillId="0" borderId="0">
      <alignment vertical="center"/>
    </xf>
    <xf numFmtId="0" fontId="2" fillId="0" borderId="0">
      <alignment vertical="center"/>
    </xf>
    <xf numFmtId="0" fontId="2" fillId="0" borderId="0">
      <alignment vertical="center"/>
    </xf>
    <xf numFmtId="0" fontId="126" fillId="0" borderId="0">
      <alignment vertical="center"/>
    </xf>
    <xf numFmtId="0" fontId="126" fillId="0" borderId="0">
      <alignment vertical="center"/>
    </xf>
    <xf numFmtId="0" fontId="126" fillId="0" borderId="0">
      <alignment vertical="center"/>
    </xf>
    <xf numFmtId="0" fontId="2" fillId="0" borderId="0">
      <alignment vertical="center"/>
    </xf>
    <xf numFmtId="0" fontId="2" fillId="0" borderId="0">
      <alignment vertical="center"/>
    </xf>
    <xf numFmtId="0" fontId="20" fillId="0" borderId="0"/>
    <xf numFmtId="0" fontId="2" fillId="0" borderId="0">
      <alignment vertical="center"/>
    </xf>
    <xf numFmtId="0" fontId="2" fillId="0" borderId="0"/>
    <xf numFmtId="0" fontId="103" fillId="0" borderId="0"/>
    <xf numFmtId="0" fontId="2" fillId="0" borderId="0">
      <alignment vertical="center"/>
    </xf>
    <xf numFmtId="0" fontId="2" fillId="0" borderId="0">
      <alignment vertical="center"/>
    </xf>
    <xf numFmtId="0" fontId="126" fillId="0" borderId="0">
      <alignment vertical="center"/>
    </xf>
    <xf numFmtId="0" fontId="2" fillId="0" borderId="0"/>
    <xf numFmtId="0" fontId="2" fillId="0" borderId="0"/>
  </cellStyleXfs>
  <cellXfs count="3583">
    <xf numFmtId="0" fontId="0" fillId="0" borderId="0" xfId="0">
      <alignment vertical="center"/>
    </xf>
    <xf numFmtId="0" fontId="1" fillId="0" borderId="0" xfId="0" applyFont="1" applyAlignment="1"/>
    <xf numFmtId="0" fontId="0" fillId="0" borderId="0" xfId="0" applyAlignment="1"/>
    <xf numFmtId="0" fontId="2" fillId="2" borderId="0" xfId="0" applyFont="1" applyFill="1" applyAlignment="1"/>
    <xf numFmtId="0" fontId="0" fillId="2" borderId="0" xfId="0" applyFill="1" applyAlignment="1"/>
    <xf numFmtId="0" fontId="1" fillId="2" borderId="0" xfId="0" applyFont="1" applyFill="1" applyAlignment="1"/>
    <xf numFmtId="0" fontId="3" fillId="0" borderId="1" xfId="0" applyFont="1" applyBorder="1" applyAlignment="1"/>
    <xf numFmtId="0" fontId="3" fillId="2" borderId="1" xfId="0" applyFont="1" applyFill="1" applyBorder="1" applyAlignment="1"/>
    <xf numFmtId="0" fontId="3" fillId="0" borderId="0" xfId="0" applyFont="1">
      <alignment vertical="center"/>
    </xf>
    <xf numFmtId="0" fontId="3" fillId="0" borderId="1" xfId="0" applyFont="1" applyBorder="1">
      <alignment vertical="center"/>
    </xf>
    <xf numFmtId="0" fontId="3" fillId="0" borderId="1" xfId="0" applyFont="1" applyBorder="1" applyAlignment="1">
      <alignment vertical="center" wrapText="1"/>
    </xf>
    <xf numFmtId="0" fontId="3" fillId="2" borderId="1" xfId="0" applyFont="1" applyFill="1" applyBorder="1" applyAlignment="1">
      <alignment vertical="center" wrapText="1"/>
    </xf>
    <xf numFmtId="10" fontId="3" fillId="0" borderId="1" xfId="0" applyNumberFormat="1" applyFont="1" applyBorder="1">
      <alignment vertical="center"/>
    </xf>
    <xf numFmtId="182" fontId="3" fillId="0" borderId="1" xfId="0" applyNumberFormat="1" applyFont="1" applyBorder="1">
      <alignment vertical="center"/>
    </xf>
    <xf numFmtId="0" fontId="4" fillId="2" borderId="1" xfId="0" applyFont="1" applyFill="1" applyBorder="1" applyAlignment="1"/>
    <xf numFmtId="0" fontId="3" fillId="0" borderId="0" xfId="0" applyFont="1" applyAlignment="1">
      <alignment wrapText="1"/>
    </xf>
    <xf numFmtId="0" fontId="3" fillId="3" borderId="0" xfId="0" applyFont="1" applyFill="1" applyAlignment="1">
      <alignment wrapText="1"/>
    </xf>
    <xf numFmtId="0" fontId="0" fillId="0" borderId="0" xfId="0" applyAlignment="1">
      <alignment horizontal="left" vertical="center" wrapText="1"/>
    </xf>
    <xf numFmtId="0" fontId="1" fillId="0" borderId="0" xfId="0" applyFont="1" applyFill="1" applyAlignment="1">
      <alignment horizontal="left" vertical="center" wrapText="1"/>
    </xf>
    <xf numFmtId="0" fontId="3" fillId="0" borderId="1" xfId="0" applyFont="1" applyBorder="1" applyAlignment="1">
      <alignment wrapText="1"/>
    </xf>
    <xf numFmtId="0" fontId="3" fillId="3" borderId="1" xfId="0" applyFont="1" applyFill="1" applyBorder="1" applyAlignment="1">
      <alignment wrapText="1"/>
    </xf>
    <xf numFmtId="0" fontId="0" fillId="0" borderId="0" xfId="0" applyFont="1" applyAlignment="1">
      <alignment horizontal="left" vertical="center" wrapText="1"/>
    </xf>
    <xf numFmtId="0" fontId="4" fillId="0" borderId="1" xfId="0" applyFont="1" applyBorder="1" applyAlignment="1">
      <alignment wrapText="1"/>
    </xf>
    <xf numFmtId="0" fontId="4" fillId="3" borderId="1" xfId="0" applyFont="1" applyFill="1" applyBorder="1" applyAlignment="1">
      <alignment wrapText="1"/>
    </xf>
    <xf numFmtId="0" fontId="5" fillId="0" borderId="1" xfId="0" applyFont="1" applyBorder="1" applyAlignment="1">
      <alignment wrapText="1"/>
    </xf>
    <xf numFmtId="0" fontId="5" fillId="3" borderId="1" xfId="0" applyFont="1" applyFill="1" applyBorder="1" applyAlignment="1">
      <alignment wrapText="1"/>
    </xf>
    <xf numFmtId="0" fontId="3" fillId="4" borderId="0" xfId="0" applyFont="1" applyFill="1" applyAlignment="1">
      <alignment wrapText="1"/>
    </xf>
    <xf numFmtId="0" fontId="6" fillId="4" borderId="0" xfId="0" applyFont="1" applyFill="1" applyBorder="1" applyAlignment="1">
      <alignment horizontal="center" vertical="center" wrapText="1"/>
    </xf>
    <xf numFmtId="0" fontId="7" fillId="2" borderId="0" xfId="0" applyFont="1" applyFill="1" applyAlignment="1">
      <alignment wrapText="1"/>
    </xf>
    <xf numFmtId="0" fontId="7" fillId="4" borderId="0" xfId="0" applyFont="1" applyFill="1" applyAlignment="1">
      <alignment wrapText="1"/>
    </xf>
    <xf numFmtId="178" fontId="8" fillId="4" borderId="0" xfId="0" applyNumberFormat="1" applyFont="1" applyFill="1" applyBorder="1" applyAlignment="1">
      <alignment vertical="center" wrapText="1"/>
    </xf>
    <xf numFmtId="0" fontId="7" fillId="0" borderId="0" xfId="0" applyFont="1" applyAlignment="1">
      <alignment vertical="center" wrapText="1"/>
    </xf>
    <xf numFmtId="0" fontId="9" fillId="4" borderId="1" xfId="12"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184" fontId="10" fillId="2" borderId="1" xfId="0" applyNumberFormat="1" applyFont="1" applyFill="1" applyBorder="1" applyAlignment="1">
      <alignment horizontal="center" vertical="center" wrapText="1"/>
    </xf>
    <xf numFmtId="178" fontId="10" fillId="2" borderId="1" xfId="0" applyNumberFormat="1" applyFont="1" applyFill="1" applyBorder="1" applyAlignment="1">
      <alignment horizontal="center" vertical="center" wrapText="1"/>
    </xf>
    <xf numFmtId="178" fontId="11" fillId="2"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184" fontId="10" fillId="4" borderId="1" xfId="0" applyNumberFormat="1" applyFont="1" applyFill="1" applyBorder="1" applyAlignment="1">
      <alignment horizontal="center" vertical="center" wrapText="1"/>
    </xf>
    <xf numFmtId="178" fontId="10" fillId="4"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178" fontId="12" fillId="4" borderId="1" xfId="0" applyNumberFormat="1" applyFont="1" applyFill="1" applyBorder="1" applyAlignment="1">
      <alignment horizontal="center" vertical="center" wrapText="1"/>
    </xf>
    <xf numFmtId="178" fontId="6" fillId="4"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wrapText="1"/>
    </xf>
    <xf numFmtId="178" fontId="14" fillId="2" borderId="1" xfId="0" applyNumberFormat="1" applyFont="1" applyFill="1" applyBorder="1" applyAlignment="1">
      <alignment horizontal="center" vertical="center" wrapText="1"/>
    </xf>
    <xf numFmtId="178" fontId="10" fillId="2" borderId="1" xfId="0" applyNumberFormat="1" applyFont="1" applyFill="1" applyBorder="1" applyAlignment="1">
      <alignment horizontal="left" vertical="center" wrapText="1"/>
    </xf>
    <xf numFmtId="178" fontId="10" fillId="4" borderId="1" xfId="0" applyNumberFormat="1" applyFont="1" applyFill="1" applyBorder="1" applyAlignment="1">
      <alignment horizontal="left" vertical="center" wrapText="1"/>
    </xf>
    <xf numFmtId="178" fontId="15" fillId="2" borderId="1" xfId="0" applyNumberFormat="1" applyFont="1" applyFill="1" applyBorder="1" applyAlignment="1">
      <alignment horizontal="center" vertical="center" wrapText="1"/>
    </xf>
    <xf numFmtId="178" fontId="8" fillId="4" borderId="1" xfId="0" applyNumberFormat="1" applyFont="1" applyFill="1" applyBorder="1" applyAlignment="1">
      <alignment horizontal="center" vertical="center" wrapText="1"/>
    </xf>
    <xf numFmtId="0" fontId="16" fillId="4" borderId="1" xfId="0" applyFont="1" applyFill="1" applyBorder="1" applyAlignment="1">
      <alignment horizontal="center" vertical="center" wrapText="1"/>
    </xf>
    <xf numFmtId="178" fontId="12" fillId="4" borderId="1" xfId="0" applyNumberFormat="1" applyFont="1" applyFill="1" applyBorder="1" applyAlignment="1">
      <alignment horizontal="left" vertical="center" wrapText="1"/>
    </xf>
    <xf numFmtId="0" fontId="17" fillId="4" borderId="1" xfId="12" applyFont="1" applyFill="1" applyBorder="1" applyAlignment="1">
      <alignment horizontal="center" vertical="center" wrapText="1"/>
    </xf>
    <xf numFmtId="0" fontId="7" fillId="2" borderId="1" xfId="0" applyFont="1" applyFill="1" applyBorder="1" applyAlignment="1">
      <alignment wrapText="1"/>
    </xf>
    <xf numFmtId="0" fontId="7" fillId="2" borderId="0" xfId="0" applyFont="1" applyFill="1" applyBorder="1" applyAlignment="1">
      <alignment wrapText="1"/>
    </xf>
    <xf numFmtId="0" fontId="7" fillId="4" borderId="1" xfId="0" applyFont="1" applyFill="1" applyBorder="1" applyAlignment="1">
      <alignment wrapText="1"/>
    </xf>
    <xf numFmtId="0" fontId="7" fillId="4" borderId="0" xfId="0" applyFont="1" applyFill="1" applyBorder="1" applyAlignment="1">
      <alignment wrapText="1"/>
    </xf>
    <xf numFmtId="0" fontId="6" fillId="4" borderId="1" xfId="0" applyFont="1" applyFill="1" applyBorder="1" applyAlignment="1">
      <alignment horizontal="center" vertical="center" wrapText="1"/>
    </xf>
    <xf numFmtId="178" fontId="12" fillId="4" borderId="0" xfId="0" applyNumberFormat="1" applyFont="1" applyFill="1" applyBorder="1" applyAlignment="1">
      <alignment horizontal="center" vertical="center" wrapText="1"/>
    </xf>
    <xf numFmtId="178" fontId="12" fillId="4" borderId="0" xfId="0" applyNumberFormat="1" applyFont="1" applyFill="1" applyAlignment="1">
      <alignment horizontal="center" vertical="center" wrapText="1"/>
    </xf>
    <xf numFmtId="0" fontId="18" fillId="3" borderId="0" xfId="0" applyFont="1" applyFill="1" applyAlignment="1">
      <alignment horizontal="left" vertical="center"/>
    </xf>
    <xf numFmtId="0" fontId="18" fillId="2" borderId="0" xfId="0" applyFont="1" applyFill="1" applyAlignment="1">
      <alignment horizontal="left" vertical="center"/>
    </xf>
    <xf numFmtId="0" fontId="0" fillId="3" borderId="0" xfId="0" applyFill="1" applyAlignment="1">
      <alignment vertical="center"/>
    </xf>
    <xf numFmtId="0" fontId="0" fillId="0" borderId="0" xfId="0" applyAlignment="1">
      <alignment vertical="center"/>
    </xf>
    <xf numFmtId="0" fontId="7" fillId="0" borderId="1" xfId="0" applyFont="1" applyBorder="1" applyAlignment="1">
      <alignment horizontal="left" vertical="center" wrapText="1"/>
    </xf>
    <xf numFmtId="0" fontId="10" fillId="0" borderId="1" xfId="13" applyFont="1" applyFill="1" applyBorder="1" applyAlignment="1">
      <alignment horizontal="left" vertical="center" wrapText="1"/>
    </xf>
    <xf numFmtId="0" fontId="6" fillId="3" borderId="1" xfId="0" applyFont="1" applyFill="1" applyBorder="1" applyAlignment="1">
      <alignment horizontal="left" vertical="center" wrapText="1"/>
    </xf>
    <xf numFmtId="0" fontId="19" fillId="3" borderId="1" xfId="13" applyFont="1" applyFill="1" applyBorder="1" applyAlignment="1">
      <alignment horizontal="left" vertical="center" wrapText="1"/>
    </xf>
    <xf numFmtId="0" fontId="6" fillId="0" borderId="1" xfId="0" applyFont="1" applyFill="1" applyBorder="1" applyAlignment="1">
      <alignment horizontal="left" vertical="center" wrapText="1"/>
    </xf>
    <xf numFmtId="0" fontId="19" fillId="0" borderId="1" xfId="13" applyFont="1" applyFill="1" applyBorder="1" applyAlignment="1">
      <alignment horizontal="left" vertical="center" wrapText="1"/>
    </xf>
    <xf numFmtId="0" fontId="0" fillId="0" borderId="0" xfId="0" applyFont="1" applyAlignment="1">
      <alignment vertical="center"/>
    </xf>
    <xf numFmtId="0" fontId="7" fillId="0" borderId="0" xfId="0" applyFont="1" applyBorder="1" applyAlignment="1">
      <alignment horizontal="left" vertical="center" wrapText="1"/>
    </xf>
    <xf numFmtId="0" fontId="19" fillId="3" borderId="0" xfId="13" applyFont="1" applyFill="1" applyBorder="1" applyAlignment="1">
      <alignment horizontal="left" vertical="center" wrapText="1"/>
    </xf>
    <xf numFmtId="0" fontId="19" fillId="0" borderId="0" xfId="13" applyFont="1" applyFill="1" applyBorder="1" applyAlignment="1">
      <alignment horizontal="left" vertical="center" wrapText="1"/>
    </xf>
    <xf numFmtId="0" fontId="19" fillId="3" borderId="2" xfId="13" applyFont="1" applyFill="1" applyBorder="1" applyAlignment="1">
      <alignment horizontal="left" vertical="center" wrapText="1"/>
    </xf>
    <xf numFmtId="0" fontId="1" fillId="3" borderId="0" xfId="0" applyFont="1" applyFill="1" applyAlignment="1">
      <alignment horizontal="left" vertical="center"/>
    </xf>
    <xf numFmtId="0" fontId="1" fillId="0" borderId="0" xfId="0" applyFont="1" applyFill="1" applyAlignment="1">
      <alignment horizontal="left" vertical="center"/>
    </xf>
    <xf numFmtId="0" fontId="18" fillId="0" borderId="0" xfId="0" applyFont="1" applyFill="1" applyAlignment="1">
      <alignment horizontal="left" vertical="center"/>
    </xf>
    <xf numFmtId="0" fontId="1" fillId="2" borderId="0" xfId="0" applyFont="1" applyFill="1" applyAlignment="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20" fillId="0" borderId="0" xfId="13" applyAlignment="1">
      <alignment horizontal="left"/>
    </xf>
    <xf numFmtId="0" fontId="21" fillId="2" borderId="0" xfId="13" applyFont="1" applyFill="1" applyAlignment="1">
      <alignment horizontal="left"/>
    </xf>
    <xf numFmtId="0" fontId="20" fillId="2" borderId="0" xfId="13" applyFont="1" applyFill="1" applyAlignment="1">
      <alignment horizontal="left"/>
    </xf>
    <xf numFmtId="0" fontId="20" fillId="2" borderId="0" xfId="13" applyFill="1" applyAlignment="1">
      <alignment horizontal="left"/>
    </xf>
    <xf numFmtId="0" fontId="0" fillId="2" borderId="0" xfId="0" applyFont="1" applyFill="1" applyAlignment="1">
      <alignment horizontal="left" vertical="center"/>
    </xf>
    <xf numFmtId="0" fontId="22" fillId="5" borderId="0" xfId="0" applyFont="1" applyFill="1" applyAlignment="1">
      <alignment horizontal="left" vertical="center"/>
    </xf>
    <xf numFmtId="14" fontId="23" fillId="2" borderId="0" xfId="0" applyNumberFormat="1" applyFont="1" applyFill="1">
      <alignment vertical="center"/>
    </xf>
    <xf numFmtId="0" fontId="0" fillId="5" borderId="0" xfId="0" applyFill="1" applyAlignment="1">
      <alignment horizontal="left" vertical="center"/>
    </xf>
    <xf numFmtId="0" fontId="20" fillId="0" borderId="0" xfId="13" applyFont="1" applyFill="1" applyAlignment="1">
      <alignment horizontal="left"/>
    </xf>
    <xf numFmtId="0" fontId="0" fillId="0" borderId="0" xfId="0" applyFont="1" applyAlignment="1">
      <alignment horizontal="left" vertical="center"/>
    </xf>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2" xfId="0" applyFont="1" applyBorder="1" applyAlignment="1">
      <alignment vertical="center"/>
    </xf>
    <xf numFmtId="0" fontId="26" fillId="0" borderId="3" xfId="0" applyFont="1" applyBorder="1" applyAlignment="1">
      <alignment vertical="center"/>
    </xf>
    <xf numFmtId="0" fontId="26" fillId="0" borderId="4"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9" fillId="0" borderId="1" xfId="0" applyFont="1" applyBorder="1" applyAlignment="1">
      <alignment horizontal="right" vertical="center" wrapText="1"/>
    </xf>
    <xf numFmtId="0" fontId="30" fillId="0" borderId="1" xfId="0" applyFont="1" applyBorder="1" applyAlignment="1">
      <alignment horizontal="right" vertical="center"/>
    </xf>
    <xf numFmtId="0" fontId="31" fillId="0" borderId="0" xfId="0" applyFont="1" applyAlignment="1"/>
    <xf numFmtId="0" fontId="0" fillId="0" borderId="0" xfId="0" applyFont="1" applyAlignment="1"/>
    <xf numFmtId="0" fontId="32" fillId="7" borderId="0" xfId="15" applyFont="1" applyFill="1"/>
    <xf numFmtId="0" fontId="32" fillId="0" borderId="0" xfId="15" applyFont="1"/>
    <xf numFmtId="0" fontId="33" fillId="7" borderId="5" xfId="15" applyFont="1" applyFill="1" applyBorder="1"/>
    <xf numFmtId="0" fontId="34" fillId="7" borderId="6" xfId="15" applyFont="1" applyFill="1" applyBorder="1" applyAlignment="1">
      <alignment horizontal="center"/>
    </xf>
    <xf numFmtId="14" fontId="33" fillId="7" borderId="6" xfId="15" applyNumberFormat="1" applyFont="1" applyFill="1" applyBorder="1" applyAlignment="1" applyProtection="1">
      <alignment horizontal="center"/>
    </xf>
    <xf numFmtId="0" fontId="33" fillId="7" borderId="6" xfId="15" applyFont="1" applyFill="1" applyBorder="1" applyAlignment="1" applyProtection="1">
      <alignment horizontal="center"/>
    </xf>
    <xf numFmtId="10" fontId="33" fillId="7" borderId="6" xfId="15" applyNumberFormat="1" applyFont="1" applyFill="1" applyBorder="1" applyAlignment="1">
      <alignment horizontal="center"/>
    </xf>
    <xf numFmtId="0" fontId="22" fillId="7" borderId="0" xfId="0" applyFont="1" applyFill="1" applyAlignment="1"/>
    <xf numFmtId="0" fontId="35" fillId="7" borderId="0" xfId="15" applyFont="1" applyFill="1"/>
    <xf numFmtId="0" fontId="32" fillId="7" borderId="7" xfId="15" applyFont="1" applyFill="1" applyBorder="1"/>
    <xf numFmtId="0" fontId="36" fillId="7" borderId="8" xfId="15" applyFont="1" applyFill="1" applyBorder="1" applyAlignment="1">
      <alignment horizontal="center" vertical="center" wrapText="1"/>
    </xf>
    <xf numFmtId="0" fontId="32" fillId="7" borderId="9" xfId="15" applyFont="1" applyFill="1" applyBorder="1" applyAlignment="1">
      <alignment horizontal="center"/>
    </xf>
    <xf numFmtId="0" fontId="36" fillId="7" borderId="7" xfId="15" applyFont="1" applyFill="1" applyBorder="1" applyAlignment="1">
      <alignment horizontal="center" vertical="center" wrapText="1"/>
    </xf>
    <xf numFmtId="0" fontId="32" fillId="7" borderId="8" xfId="15" applyNumberFormat="1" applyFont="1" applyFill="1" applyBorder="1" applyAlignment="1">
      <alignment horizontal="center"/>
    </xf>
    <xf numFmtId="0" fontId="32" fillId="7" borderId="10" xfId="15" applyFont="1" applyFill="1" applyBorder="1"/>
    <xf numFmtId="0" fontId="36" fillId="7" borderId="1" xfId="15" applyFont="1" applyFill="1" applyBorder="1" applyAlignment="1">
      <alignment horizontal="center" vertical="center" wrapText="1"/>
    </xf>
    <xf numFmtId="0" fontId="32" fillId="7" borderId="11" xfId="15" applyFont="1" applyFill="1" applyBorder="1" applyAlignment="1">
      <alignment horizontal="center"/>
    </xf>
    <xf numFmtId="0" fontId="36" fillId="7" borderId="10" xfId="15" applyFont="1" applyFill="1" applyBorder="1" applyAlignment="1">
      <alignment horizontal="center" vertical="center" wrapText="1"/>
    </xf>
    <xf numFmtId="0" fontId="32" fillId="7" borderId="1" xfId="15" applyNumberFormat="1" applyFont="1" applyFill="1" applyBorder="1" applyAlignment="1">
      <alignment horizontal="center"/>
    </xf>
    <xf numFmtId="0" fontId="32" fillId="7" borderId="12" xfId="15" applyFont="1" applyFill="1" applyBorder="1"/>
    <xf numFmtId="0" fontId="36" fillId="7" borderId="13" xfId="15" applyFont="1" applyFill="1" applyBorder="1" applyAlignment="1">
      <alignment horizontal="center" vertical="center" wrapText="1"/>
    </xf>
    <xf numFmtId="0" fontId="32" fillId="7" borderId="14" xfId="15" applyFont="1" applyFill="1" applyBorder="1" applyAlignment="1">
      <alignment horizontal="center"/>
    </xf>
    <xf numFmtId="0" fontId="36" fillId="7" borderId="12" xfId="15" applyFont="1" applyFill="1" applyBorder="1" applyAlignment="1">
      <alignment horizontal="center" vertical="center" wrapText="1"/>
    </xf>
    <xf numFmtId="0" fontId="32" fillId="7" borderId="13" xfId="15" applyNumberFormat="1" applyFont="1" applyFill="1" applyBorder="1" applyAlignment="1">
      <alignment horizontal="center"/>
    </xf>
    <xf numFmtId="0" fontId="32" fillId="7" borderId="0" xfId="15" applyNumberFormat="1" applyFont="1" applyFill="1" applyAlignment="1">
      <alignment horizontal="center"/>
    </xf>
    <xf numFmtId="0" fontId="32" fillId="7" borderId="0" xfId="15" applyFont="1" applyFill="1" applyAlignment="1">
      <alignment horizontal="right"/>
    </xf>
    <xf numFmtId="14" fontId="32" fillId="7" borderId="0" xfId="15" applyNumberFormat="1" applyFont="1" applyFill="1" applyAlignment="1">
      <alignment horizontal="center"/>
    </xf>
    <xf numFmtId="0" fontId="37" fillId="7" borderId="0" xfId="15" applyNumberFormat="1" applyFont="1" applyFill="1" applyAlignment="1">
      <alignment horizontal="center"/>
    </xf>
    <xf numFmtId="0" fontId="38" fillId="7" borderId="0" xfId="15" applyFont="1" applyFill="1" applyAlignment="1">
      <alignment horizontal="left"/>
    </xf>
    <xf numFmtId="14" fontId="37" fillId="7" borderId="0" xfId="15" applyNumberFormat="1" applyFont="1" applyFill="1" applyAlignment="1">
      <alignment horizontal="center"/>
    </xf>
    <xf numFmtId="0" fontId="37" fillId="7" borderId="0" xfId="15" applyFont="1" applyFill="1"/>
    <xf numFmtId="0" fontId="39" fillId="7" borderId="0" xfId="15" applyFont="1" applyFill="1"/>
    <xf numFmtId="0" fontId="40" fillId="7" borderId="0" xfId="15" applyFont="1" applyFill="1"/>
    <xf numFmtId="0" fontId="36" fillId="7" borderId="0" xfId="15" applyFont="1" applyFill="1" applyAlignment="1"/>
    <xf numFmtId="0" fontId="34" fillId="7" borderId="15" xfId="15" applyFont="1" applyFill="1" applyBorder="1" applyAlignment="1">
      <alignment horizontal="center" vertical="center"/>
    </xf>
    <xf numFmtId="0" fontId="34" fillId="7" borderId="15" xfId="15" applyFont="1" applyFill="1" applyBorder="1" applyAlignment="1">
      <alignment vertical="center"/>
    </xf>
    <xf numFmtId="0" fontId="34" fillId="7" borderId="2" xfId="15" applyFont="1" applyFill="1" applyBorder="1" applyAlignment="1">
      <alignment vertical="center"/>
    </xf>
    <xf numFmtId="0" fontId="34" fillId="7" borderId="4" xfId="15" applyFont="1" applyFill="1" applyBorder="1" applyAlignment="1">
      <alignment vertical="center"/>
    </xf>
    <xf numFmtId="0" fontId="34" fillId="7" borderId="3" xfId="15" applyFont="1" applyFill="1" applyBorder="1" applyAlignment="1">
      <alignment vertical="center"/>
    </xf>
    <xf numFmtId="0" fontId="36" fillId="7" borderId="0" xfId="15" applyFont="1" applyFill="1"/>
    <xf numFmtId="0" fontId="34" fillId="7" borderId="16" xfId="15" applyFont="1" applyFill="1" applyBorder="1" applyAlignment="1">
      <alignment horizontal="center" vertical="center" wrapText="1"/>
    </xf>
    <xf numFmtId="0" fontId="34" fillId="7" borderId="16" xfId="15" applyFont="1" applyFill="1" applyBorder="1" applyAlignment="1">
      <alignment vertical="center" wrapText="1"/>
    </xf>
    <xf numFmtId="0" fontId="32" fillId="7" borderId="1" xfId="15" applyFont="1" applyFill="1" applyBorder="1"/>
    <xf numFmtId="0" fontId="41" fillId="7" borderId="0" xfId="15" applyFont="1" applyFill="1" applyAlignment="1">
      <alignment vertical="center"/>
    </xf>
    <xf numFmtId="0" fontId="41" fillId="7" borderId="1" xfId="15" applyFont="1" applyFill="1" applyBorder="1" applyAlignment="1">
      <alignment horizontal="left" vertical="center" wrapText="1"/>
    </xf>
    <xf numFmtId="181" fontId="41" fillId="7" borderId="1" xfId="15" applyNumberFormat="1" applyFont="1" applyFill="1" applyBorder="1" applyAlignment="1">
      <alignment horizontal="center" vertical="center" wrapText="1"/>
    </xf>
    <xf numFmtId="0" fontId="41" fillId="7" borderId="1" xfId="15" applyFont="1" applyFill="1" applyBorder="1" applyAlignment="1">
      <alignment horizontal="center" vertical="center" wrapText="1"/>
    </xf>
    <xf numFmtId="0" fontId="32" fillId="7" borderId="1" xfId="15" applyFont="1" applyFill="1" applyBorder="1" applyAlignment="1">
      <alignment horizontal="center" wrapText="1"/>
    </xf>
    <xf numFmtId="14" fontId="32" fillId="7" borderId="1" xfId="15" applyNumberFormat="1" applyFont="1" applyFill="1" applyBorder="1" applyAlignment="1">
      <alignment horizontal="center" wrapText="1"/>
    </xf>
    <xf numFmtId="14" fontId="42" fillId="7" borderId="1" xfId="15" applyNumberFormat="1" applyFont="1" applyFill="1" applyBorder="1" applyAlignment="1">
      <alignment horizontal="center" wrapText="1"/>
    </xf>
    <xf numFmtId="0" fontId="42" fillId="7" borderId="1" xfId="15" applyFont="1" applyFill="1" applyBorder="1" applyAlignment="1">
      <alignment horizontal="center" wrapText="1"/>
    </xf>
    <xf numFmtId="0" fontId="43" fillId="7" borderId="0" xfId="15" applyFont="1" applyFill="1" applyAlignment="1">
      <alignment vertical="center"/>
    </xf>
    <xf numFmtId="0" fontId="43" fillId="7" borderId="1" xfId="15" applyFont="1" applyFill="1" applyBorder="1" applyAlignment="1">
      <alignment horizontal="left" vertical="center" wrapText="1"/>
    </xf>
    <xf numFmtId="14" fontId="36" fillId="7" borderId="1" xfId="15" applyNumberFormat="1" applyFont="1" applyFill="1" applyBorder="1" applyAlignment="1">
      <alignment horizontal="center" wrapText="1"/>
    </xf>
    <xf numFmtId="0" fontId="36" fillId="7" borderId="1" xfId="15" applyFont="1" applyFill="1" applyBorder="1" applyAlignment="1">
      <alignment horizontal="center" wrapText="1"/>
    </xf>
    <xf numFmtId="0" fontId="32" fillId="7" borderId="0" xfId="15" applyFont="1" applyFill="1" applyBorder="1" applyAlignment="1">
      <alignment horizontal="center" wrapText="1"/>
    </xf>
    <xf numFmtId="14" fontId="32" fillId="7" borderId="0" xfId="15" applyNumberFormat="1" applyFont="1" applyFill="1" applyBorder="1" applyAlignment="1">
      <alignment horizontal="center" wrapText="1"/>
    </xf>
    <xf numFmtId="187" fontId="34" fillId="7" borderId="5" xfId="15" applyNumberFormat="1" applyFont="1" applyFill="1" applyBorder="1" applyAlignment="1">
      <alignment horizontal="center"/>
    </xf>
    <xf numFmtId="0" fontId="34" fillId="7" borderId="1" xfId="15" applyFont="1" applyFill="1" applyBorder="1" applyAlignment="1">
      <alignment horizontal="center" vertical="center" wrapText="1"/>
    </xf>
    <xf numFmtId="14" fontId="41" fillId="7" borderId="1" xfId="15" applyNumberFormat="1" applyFont="1" applyFill="1" applyBorder="1" applyAlignment="1">
      <alignment horizontal="center" vertical="center" wrapText="1"/>
    </xf>
    <xf numFmtId="189" fontId="44" fillId="7" borderId="1" xfId="15" applyNumberFormat="1" applyFont="1" applyFill="1" applyBorder="1" applyAlignment="1">
      <alignment horizontal="center"/>
    </xf>
    <xf numFmtId="0" fontId="33" fillId="0" borderId="5" xfId="15" applyFont="1" applyBorder="1"/>
    <xf numFmtId="0" fontId="37" fillId="0" borderId="0" xfId="15" applyFont="1"/>
    <xf numFmtId="0" fontId="39" fillId="0" borderId="0" xfId="15" applyFont="1"/>
    <xf numFmtId="0" fontId="36" fillId="0" borderId="0" xfId="15" applyFont="1" applyAlignment="1"/>
    <xf numFmtId="0" fontId="36" fillId="0" borderId="0" xfId="15" applyFont="1"/>
    <xf numFmtId="0" fontId="41" fillId="2" borderId="0" xfId="15" applyFont="1" applyFill="1" applyAlignment="1">
      <alignment vertical="center"/>
    </xf>
    <xf numFmtId="0" fontId="31" fillId="0" borderId="5" xfId="0" applyFont="1" applyBorder="1" applyAlignment="1"/>
    <xf numFmtId="0" fontId="37" fillId="0" borderId="0" xfId="0" applyFont="1" applyAlignment="1"/>
    <xf numFmtId="0" fontId="45" fillId="0" borderId="0" xfId="0" applyFont="1" applyAlignment="1"/>
    <xf numFmtId="0" fontId="0" fillId="7" borderId="0" xfId="0" applyFill="1" applyAlignment="1" applyProtection="1">
      <alignment horizontal="center" vertical="center"/>
    </xf>
    <xf numFmtId="0" fontId="0" fillId="7" borderId="0" xfId="0" applyFill="1" applyProtection="1">
      <alignment vertical="center"/>
    </xf>
    <xf numFmtId="0" fontId="46" fillId="7" borderId="0" xfId="0" applyFont="1" applyFill="1" applyAlignment="1" applyProtection="1">
      <alignment horizontal="center" vertical="center"/>
    </xf>
    <xf numFmtId="0" fontId="47" fillId="7" borderId="17" xfId="0" applyFont="1" applyFill="1" applyBorder="1" applyAlignment="1" applyProtection="1">
      <alignment horizontal="center" vertical="center"/>
    </xf>
    <xf numFmtId="0" fontId="47" fillId="7" borderId="18" xfId="0" applyFont="1" applyFill="1" applyBorder="1" applyAlignment="1" applyProtection="1">
      <alignment vertical="center" wrapText="1"/>
    </xf>
    <xf numFmtId="0" fontId="47" fillId="7" borderId="15" xfId="0" applyFont="1" applyFill="1" applyBorder="1" applyAlignment="1" applyProtection="1">
      <alignment horizontal="center" vertical="center"/>
    </xf>
    <xf numFmtId="0" fontId="48" fillId="7" borderId="18" xfId="0" applyFont="1" applyFill="1" applyBorder="1" applyAlignment="1" applyProtection="1">
      <alignment vertical="center" wrapText="1"/>
    </xf>
    <xf numFmtId="0" fontId="48" fillId="7" borderId="8" xfId="0" applyFont="1" applyFill="1" applyBorder="1" applyAlignment="1" applyProtection="1">
      <alignment horizontal="center" vertical="center" wrapText="1"/>
    </xf>
    <xf numFmtId="10" fontId="30" fillId="0" borderId="8" xfId="0" applyNumberFormat="1" applyFont="1" applyBorder="1" applyAlignment="1">
      <alignment horizontal="center" vertical="center" wrapText="1"/>
    </xf>
    <xf numFmtId="10" fontId="30" fillId="0" borderId="9" xfId="0" applyNumberFormat="1" applyFont="1" applyBorder="1" applyAlignment="1">
      <alignment horizontal="center" vertical="center" wrapText="1"/>
    </xf>
    <xf numFmtId="0" fontId="48" fillId="7" borderId="1" xfId="0" applyFont="1" applyFill="1" applyBorder="1" applyAlignment="1" applyProtection="1">
      <alignment horizontal="center" vertical="center" wrapText="1"/>
    </xf>
    <xf numFmtId="10" fontId="30" fillId="0" borderId="1" xfId="0" applyNumberFormat="1" applyFont="1" applyBorder="1" applyAlignment="1">
      <alignment horizontal="center" vertical="center" wrapText="1"/>
    </xf>
    <xf numFmtId="10" fontId="30" fillId="0" borderId="11" xfId="0" applyNumberFormat="1" applyFont="1" applyBorder="1" applyAlignment="1">
      <alignment horizontal="center" vertical="center" wrapText="1"/>
    </xf>
    <xf numFmtId="0" fontId="48" fillId="7" borderId="16" xfId="0" applyFont="1" applyFill="1" applyBorder="1" applyAlignment="1" applyProtection="1">
      <alignment horizontal="center" vertical="center" wrapText="1"/>
    </xf>
    <xf numFmtId="0" fontId="48" fillId="7" borderId="19" xfId="0" applyFont="1" applyFill="1" applyBorder="1" applyAlignment="1" applyProtection="1">
      <alignment vertical="center" wrapText="1"/>
    </xf>
    <xf numFmtId="0" fontId="48" fillId="7" borderId="20" xfId="0" applyFont="1" applyFill="1" applyBorder="1" applyAlignment="1" applyProtection="1">
      <alignment horizontal="center" vertical="center" wrapText="1"/>
    </xf>
    <xf numFmtId="10" fontId="30"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48" fillId="7" borderId="13" xfId="0" applyFont="1" applyFill="1" applyBorder="1" applyAlignment="1" applyProtection="1">
      <alignment horizontal="center" vertical="center" wrapText="1"/>
    </xf>
    <xf numFmtId="10" fontId="30" fillId="0" borderId="14" xfId="0" applyNumberFormat="1" applyFont="1" applyBorder="1" applyAlignment="1">
      <alignment horizontal="center" vertical="center" wrapText="1"/>
    </xf>
    <xf numFmtId="0" fontId="48" fillId="7" borderId="15" xfId="0" applyFont="1" applyFill="1" applyBorder="1" applyAlignment="1" applyProtection="1">
      <alignment horizontal="center" vertical="center" wrapText="1"/>
    </xf>
    <xf numFmtId="10" fontId="30" fillId="0" borderId="15" xfId="0" applyNumberFormat="1" applyFont="1" applyBorder="1" applyAlignment="1">
      <alignment horizontal="center" vertical="center" wrapText="1"/>
    </xf>
    <xf numFmtId="0" fontId="48" fillId="7" borderId="24" xfId="0" applyFont="1" applyFill="1" applyBorder="1" applyAlignment="1" applyProtection="1">
      <alignment horizontal="center" vertical="center" wrapText="1"/>
    </xf>
    <xf numFmtId="10" fontId="0" fillId="0" borderId="25" xfId="0" applyNumberFormat="1" applyBorder="1">
      <alignment vertical="center"/>
    </xf>
    <xf numFmtId="10" fontId="30" fillId="0" borderId="26" xfId="0" applyNumberFormat="1" applyFont="1" applyBorder="1" applyAlignment="1">
      <alignment horizontal="center" vertical="center" wrapText="1"/>
    </xf>
    <xf numFmtId="0" fontId="48" fillId="7" borderId="27" xfId="0" applyFont="1" applyFill="1" applyBorder="1" applyAlignment="1" applyProtection="1">
      <alignment vertical="center" wrapText="1"/>
    </xf>
    <xf numFmtId="10" fontId="30" fillId="0" borderId="28" xfId="0" applyNumberFormat="1" applyFont="1" applyBorder="1" applyAlignment="1">
      <alignment horizontal="center" vertical="center" wrapText="1"/>
    </xf>
    <xf numFmtId="10" fontId="0" fillId="0" borderId="29" xfId="0" applyNumberFormat="1" applyBorder="1">
      <alignment vertical="center"/>
    </xf>
    <xf numFmtId="0" fontId="22" fillId="7" borderId="0" xfId="0" applyFont="1" applyFill="1" applyProtection="1">
      <alignment vertical="center"/>
    </xf>
    <xf numFmtId="0" fontId="0" fillId="7" borderId="30" xfId="0" applyFill="1" applyBorder="1" applyProtection="1">
      <alignment vertical="center"/>
    </xf>
    <xf numFmtId="0" fontId="0" fillId="7" borderId="18" xfId="0" applyFill="1" applyBorder="1" applyAlignment="1" applyProtection="1">
      <alignment horizontal="center" vertical="center"/>
    </xf>
    <xf numFmtId="0" fontId="48" fillId="7" borderId="10" xfId="0" applyFont="1" applyFill="1" applyBorder="1" applyAlignment="1" applyProtection="1">
      <alignment horizontal="center" vertical="center" wrapText="1"/>
    </xf>
    <xf numFmtId="0" fontId="22" fillId="7" borderId="31" xfId="0" applyFont="1" applyFill="1" applyBorder="1" applyProtection="1">
      <alignment vertical="center"/>
    </xf>
    <xf numFmtId="0" fontId="47" fillId="7" borderId="32" xfId="0" applyFont="1" applyFill="1" applyBorder="1" applyAlignment="1" applyProtection="1">
      <alignment horizontal="center" vertical="center"/>
    </xf>
    <xf numFmtId="0" fontId="22" fillId="7" borderId="30" xfId="0" applyFont="1" applyFill="1" applyBorder="1" applyProtection="1">
      <alignment vertical="center"/>
    </xf>
    <xf numFmtId="0" fontId="47" fillId="7" borderId="13" xfId="0" applyFont="1" applyFill="1" applyBorder="1" applyAlignment="1" applyProtection="1">
      <alignment horizontal="center" vertical="center"/>
    </xf>
    <xf numFmtId="0" fontId="47" fillId="7" borderId="33" xfId="0" applyFont="1" applyFill="1" applyBorder="1" applyAlignment="1" applyProtection="1">
      <alignment horizontal="center" vertical="center"/>
    </xf>
    <xf numFmtId="0" fontId="48" fillId="7" borderId="32" xfId="0" applyFont="1" applyFill="1" applyBorder="1" applyAlignment="1" applyProtection="1">
      <alignment horizontal="center" vertical="center" wrapText="1"/>
    </xf>
    <xf numFmtId="0" fontId="48" fillId="7" borderId="34" xfId="0" applyFont="1" applyFill="1" applyBorder="1" applyAlignment="1" applyProtection="1">
      <alignment horizontal="center" vertical="center" wrapText="1"/>
    </xf>
    <xf numFmtId="0" fontId="49" fillId="7" borderId="33" xfId="0" applyFont="1" applyFill="1" applyBorder="1" applyProtection="1">
      <alignment vertical="center"/>
    </xf>
    <xf numFmtId="0" fontId="48" fillId="7" borderId="2" xfId="0" applyFont="1" applyFill="1" applyBorder="1" applyAlignment="1" applyProtection="1">
      <alignment horizontal="center" vertical="center" wrapText="1"/>
    </xf>
    <xf numFmtId="0" fontId="49" fillId="7" borderId="2" xfId="0" applyFont="1" applyFill="1" applyBorder="1" applyProtection="1">
      <alignment vertical="center"/>
    </xf>
    <xf numFmtId="0" fontId="48" fillId="7" borderId="33" xfId="0" applyFont="1" applyFill="1" applyBorder="1" applyAlignment="1" applyProtection="1">
      <alignment horizontal="center" vertical="center" wrapText="1"/>
    </xf>
    <xf numFmtId="0" fontId="0" fillId="7" borderId="2" xfId="0" applyFill="1" applyBorder="1" applyProtection="1">
      <alignment vertical="center"/>
    </xf>
    <xf numFmtId="0" fontId="0" fillId="7" borderId="35" xfId="0" applyFill="1" applyBorder="1" applyAlignment="1" applyProtection="1">
      <alignment horizontal="center" vertical="center"/>
    </xf>
    <xf numFmtId="0" fontId="0" fillId="7" borderId="36" xfId="0" applyFill="1" applyBorder="1" applyAlignment="1" applyProtection="1">
      <alignment horizontal="center" vertical="center"/>
    </xf>
    <xf numFmtId="0" fontId="0" fillId="7" borderId="1" xfId="0" applyFill="1" applyBorder="1" applyProtection="1">
      <alignment vertical="center"/>
    </xf>
    <xf numFmtId="0" fontId="0" fillId="7" borderId="32" xfId="0" applyFill="1" applyBorder="1" applyProtection="1">
      <alignment vertical="center"/>
    </xf>
    <xf numFmtId="0" fontId="50" fillId="8" borderId="0" xfId="0" applyFont="1" applyFill="1" applyAlignment="1" applyProtection="1">
      <alignment vertical="center"/>
      <protection locked="0"/>
    </xf>
    <xf numFmtId="0" fontId="51" fillId="8" borderId="0" xfId="0" applyFont="1" applyFill="1" applyAlignment="1" applyProtection="1">
      <alignment vertical="center"/>
      <protection locked="0"/>
    </xf>
    <xf numFmtId="0" fontId="52" fillId="8"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8" borderId="0" xfId="0" applyFont="1" applyFill="1" applyAlignment="1" applyProtection="1">
      <alignment horizontal="left" vertical="center"/>
      <protection locked="0"/>
    </xf>
    <xf numFmtId="0" fontId="20" fillId="8" borderId="0" xfId="0" applyFont="1" applyFill="1" applyAlignment="1" applyProtection="1">
      <alignment vertical="center"/>
      <protection locked="0"/>
    </xf>
    <xf numFmtId="0" fontId="20" fillId="8" borderId="0" xfId="0" applyFont="1" applyFill="1" applyAlignment="1" applyProtection="1">
      <alignment horizontal="center" vertical="center"/>
      <protection locked="0"/>
    </xf>
    <xf numFmtId="0" fontId="53" fillId="7" borderId="37" xfId="14" applyFont="1" applyFill="1" applyBorder="1" applyAlignment="1" applyProtection="1">
      <alignment vertical="center"/>
    </xf>
    <xf numFmtId="0" fontId="51" fillId="7" borderId="38" xfId="14" applyFont="1" applyFill="1" applyBorder="1" applyAlignment="1" applyProtection="1">
      <alignment vertical="center"/>
    </xf>
    <xf numFmtId="0" fontId="51" fillId="7" borderId="31" xfId="14" applyFont="1" applyFill="1" applyBorder="1" applyAlignment="1" applyProtection="1">
      <alignment vertical="center"/>
    </xf>
    <xf numFmtId="0" fontId="51" fillId="7" borderId="0" xfId="14" applyFont="1" applyFill="1" applyBorder="1" applyAlignment="1" applyProtection="1">
      <alignment vertical="center"/>
    </xf>
    <xf numFmtId="0" fontId="51" fillId="7" borderId="1" xfId="14" applyFont="1" applyFill="1" applyBorder="1" applyAlignment="1" applyProtection="1">
      <alignment vertical="center"/>
    </xf>
    <xf numFmtId="187" fontId="51" fillId="7" borderId="1" xfId="14" applyNumberFormat="1" applyFont="1" applyFill="1" applyBorder="1" applyAlignment="1" applyProtection="1">
      <alignment horizontal="right" vertical="center"/>
    </xf>
    <xf numFmtId="0" fontId="54" fillId="7" borderId="0" xfId="14" applyFont="1" applyFill="1" applyBorder="1" applyAlignment="1" applyProtection="1">
      <alignment vertical="center"/>
    </xf>
    <xf numFmtId="0" fontId="51" fillId="7" borderId="15" xfId="14" applyFont="1" applyFill="1" applyBorder="1" applyAlignment="1" applyProtection="1">
      <alignment vertical="center"/>
    </xf>
    <xf numFmtId="0" fontId="51" fillId="7" borderId="15" xfId="14" applyFont="1" applyFill="1" applyBorder="1" applyAlignment="1" applyProtection="1">
      <alignment horizontal="right" vertical="center"/>
    </xf>
    <xf numFmtId="49" fontId="51" fillId="7" borderId="37" xfId="14" applyNumberFormat="1" applyFont="1" applyFill="1" applyBorder="1" applyAlignment="1" applyProtection="1"/>
    <xf numFmtId="49" fontId="51" fillId="7" borderId="38" xfId="14" applyNumberFormat="1" applyFont="1" applyFill="1" applyBorder="1" applyAlignment="1" applyProtection="1"/>
    <xf numFmtId="49" fontId="51" fillId="7" borderId="39" xfId="14" applyNumberFormat="1" applyFont="1" applyFill="1" applyBorder="1" applyAlignment="1" applyProtection="1"/>
    <xf numFmtId="49" fontId="52" fillId="7" borderId="10" xfId="14" applyNumberFormat="1" applyFont="1" applyFill="1" applyBorder="1" applyAlignment="1" applyProtection="1">
      <alignment horizontal="left"/>
    </xf>
    <xf numFmtId="0" fontId="52" fillId="7" borderId="2" xfId="14" applyFont="1" applyFill="1" applyBorder="1" applyAlignment="1" applyProtection="1"/>
    <xf numFmtId="187" fontId="52" fillId="7" borderId="1" xfId="14" applyNumberFormat="1" applyFont="1" applyFill="1" applyBorder="1" applyAlignment="1" applyProtection="1">
      <alignment horizontal="center"/>
    </xf>
    <xf numFmtId="0" fontId="52" fillId="7" borderId="1" xfId="14" applyFont="1" applyFill="1" applyBorder="1" applyAlignment="1" applyProtection="1">
      <alignment horizontal="center"/>
    </xf>
    <xf numFmtId="0" fontId="52" fillId="7" borderId="11" xfId="14" applyFont="1" applyFill="1" applyBorder="1" applyAlignment="1" applyProtection="1">
      <alignment horizontal="left"/>
    </xf>
    <xf numFmtId="49" fontId="20" fillId="7" borderId="10" xfId="14" applyNumberFormat="1" applyFont="1" applyFill="1" applyBorder="1" applyAlignment="1" applyProtection="1">
      <alignment horizontal="center"/>
    </xf>
    <xf numFmtId="0" fontId="20" fillId="7" borderId="2" xfId="14" applyFont="1" applyFill="1" applyBorder="1" applyAlignment="1" applyProtection="1"/>
    <xf numFmtId="187" fontId="20" fillId="0" borderId="1" xfId="14" applyNumberFormat="1" applyFont="1" applyFill="1" applyBorder="1" applyAlignment="1" applyProtection="1">
      <alignment horizontal="center"/>
      <protection locked="0"/>
    </xf>
    <xf numFmtId="189" fontId="20" fillId="7" borderId="1" xfId="14" applyNumberFormat="1" applyFont="1" applyFill="1" applyBorder="1" applyAlignment="1" applyProtection="1">
      <alignment horizontal="center"/>
    </xf>
    <xf numFmtId="0" fontId="20" fillId="7" borderId="1" xfId="14" applyFont="1" applyFill="1" applyBorder="1" applyAlignment="1" applyProtection="1">
      <alignment horizontal="center"/>
    </xf>
    <xf numFmtId="0" fontId="20" fillId="7" borderId="11" xfId="14" applyFont="1" applyFill="1" applyBorder="1" applyAlignment="1" applyProtection="1">
      <alignment horizontal="left"/>
    </xf>
    <xf numFmtId="187" fontId="20" fillId="7" borderId="1" xfId="14" applyNumberFormat="1" applyFont="1" applyFill="1" applyBorder="1" applyAlignment="1" applyProtection="1">
      <alignment horizontal="center"/>
    </xf>
    <xf numFmtId="10" fontId="20" fillId="7" borderId="1" xfId="14" applyNumberFormat="1" applyFont="1" applyFill="1" applyBorder="1" applyAlignment="1" applyProtection="1">
      <alignment horizontal="center"/>
    </xf>
    <xf numFmtId="187" fontId="20" fillId="7" borderId="1" xfId="14" applyNumberFormat="1" applyFont="1" applyFill="1" applyBorder="1" applyAlignment="1" applyProtection="1"/>
    <xf numFmtId="0" fontId="55" fillId="2" borderId="11" xfId="14" applyFont="1" applyFill="1" applyBorder="1" applyAlignment="1" applyProtection="1">
      <alignment horizontal="left" vertical="center"/>
      <protection locked="0"/>
    </xf>
    <xf numFmtId="0" fontId="56" fillId="7" borderId="10" xfId="14" applyFont="1" applyFill="1" applyBorder="1" applyAlignment="1" applyProtection="1">
      <alignment horizontal="right"/>
    </xf>
    <xf numFmtId="0" fontId="56" fillId="7" borderId="2" xfId="14" applyFont="1" applyFill="1" applyBorder="1" applyAlignment="1" applyProtection="1"/>
    <xf numFmtId="187" fontId="56" fillId="7" borderId="1" xfId="14" applyNumberFormat="1" applyFont="1" applyFill="1" applyBorder="1" applyAlignment="1" applyProtection="1">
      <alignment horizontal="center"/>
    </xf>
    <xf numFmtId="0" fontId="56" fillId="7" borderId="1" xfId="14" applyNumberFormat="1" applyFont="1" applyFill="1" applyBorder="1" applyAlignment="1" applyProtection="1"/>
    <xf numFmtId="0" fontId="20" fillId="7" borderId="11" xfId="14" applyFont="1" applyFill="1" applyBorder="1" applyAlignment="1" applyProtection="1">
      <alignment vertical="center" wrapText="1"/>
    </xf>
    <xf numFmtId="0" fontId="20" fillId="7" borderId="10" xfId="14" applyFont="1" applyFill="1" applyBorder="1" applyAlignment="1" applyProtection="1">
      <alignment horizontal="left"/>
    </xf>
    <xf numFmtId="0" fontId="20" fillId="7" borderId="1" xfId="14" applyNumberFormat="1" applyFont="1" applyFill="1" applyBorder="1" applyAlignment="1" applyProtection="1">
      <alignment horizontal="center"/>
    </xf>
    <xf numFmtId="0" fontId="20" fillId="7" borderId="0" xfId="14" applyFont="1" applyFill="1" applyBorder="1" applyAlignment="1" applyProtection="1">
      <alignment horizontal="center"/>
    </xf>
    <xf numFmtId="0" fontId="20" fillId="7" borderId="1" xfId="0" applyFont="1" applyFill="1" applyBorder="1" applyProtection="1">
      <alignment vertical="center"/>
    </xf>
    <xf numFmtId="0" fontId="20" fillId="7" borderId="1" xfId="0" applyNumberFormat="1" applyFont="1" applyFill="1" applyBorder="1" applyProtection="1">
      <alignment vertical="center"/>
    </xf>
    <xf numFmtId="49" fontId="35" fillId="7" borderId="10" xfId="14" applyNumberFormat="1" applyFont="1" applyFill="1" applyBorder="1" applyAlignment="1" applyProtection="1">
      <alignment horizontal="left"/>
    </xf>
    <xf numFmtId="0" fontId="52" fillId="7" borderId="1" xfId="14" applyNumberFormat="1" applyFont="1" applyFill="1" applyBorder="1" applyAlignment="1" applyProtection="1">
      <alignment horizontal="center"/>
    </xf>
    <xf numFmtId="9" fontId="52" fillId="7" borderId="2" xfId="14" applyNumberFormat="1" applyFont="1" applyFill="1" applyBorder="1" applyAlignment="1" applyProtection="1">
      <alignment horizontal="center"/>
    </xf>
    <xf numFmtId="0" fontId="52" fillId="7" borderId="1" xfId="0" applyFont="1" applyFill="1" applyBorder="1" applyAlignment="1" applyProtection="1">
      <alignment horizontal="center" vertical="center"/>
    </xf>
    <xf numFmtId="10" fontId="52" fillId="7" borderId="2" xfId="14" applyNumberFormat="1" applyFont="1" applyFill="1" applyBorder="1" applyAlignment="1" applyProtection="1">
      <alignment horizontal="center"/>
    </xf>
    <xf numFmtId="0" fontId="55" fillId="7" borderId="11" xfId="0" applyFont="1" applyFill="1" applyBorder="1" applyAlignment="1" applyProtection="1">
      <alignment vertical="center"/>
    </xf>
    <xf numFmtId="0" fontId="52" fillId="7" borderId="1" xfId="0" applyFont="1" applyFill="1" applyBorder="1" applyAlignment="1" applyProtection="1">
      <alignment horizontal="right" vertical="center"/>
    </xf>
    <xf numFmtId="0" fontId="52" fillId="7" borderId="1" xfId="0" applyFont="1" applyFill="1" applyBorder="1" applyAlignment="1" applyProtection="1">
      <alignment horizontal="left" vertical="center"/>
    </xf>
    <xf numFmtId="0" fontId="52" fillId="7" borderId="11" xfId="0" applyFont="1" applyFill="1" applyBorder="1" applyAlignment="1" applyProtection="1">
      <alignment vertical="center"/>
    </xf>
    <xf numFmtId="180" fontId="52" fillId="7" borderId="1" xfId="0" applyNumberFormat="1" applyFont="1" applyFill="1" applyBorder="1" applyAlignment="1" applyProtection="1">
      <alignment horizontal="center" vertical="center"/>
    </xf>
    <xf numFmtId="10" fontId="52" fillId="7" borderId="2" xfId="14" applyNumberFormat="1" applyFont="1" applyFill="1" applyBorder="1" applyAlignment="1" applyProtection="1">
      <alignment horizontal="center" vertical="center"/>
    </xf>
    <xf numFmtId="0" fontId="20" fillId="7" borderId="10" xfId="0" applyFont="1" applyFill="1" applyBorder="1" applyAlignment="1" applyProtection="1">
      <alignment horizontal="center" vertical="center"/>
    </xf>
    <xf numFmtId="180" fontId="20" fillId="7" borderId="1" xfId="0" applyNumberFormat="1" applyFont="1" applyFill="1" applyBorder="1" applyAlignment="1" applyProtection="1">
      <alignment horizontal="center" vertical="center"/>
    </xf>
    <xf numFmtId="0" fontId="20" fillId="7" borderId="1" xfId="0" applyFont="1" applyFill="1" applyBorder="1" applyAlignment="1" applyProtection="1">
      <alignment horizontal="center" vertical="center"/>
    </xf>
    <xf numFmtId="189" fontId="20" fillId="7" borderId="2" xfId="14" applyNumberFormat="1" applyFont="1" applyFill="1" applyBorder="1" applyAlignment="1" applyProtection="1">
      <alignment horizontal="center" vertical="center"/>
    </xf>
    <xf numFmtId="0" fontId="20" fillId="7" borderId="11" xfId="0" applyFont="1" applyFill="1" applyBorder="1" applyAlignment="1" applyProtection="1">
      <alignment vertical="center"/>
    </xf>
    <xf numFmtId="0" fontId="52" fillId="7" borderId="1" xfId="0" applyFont="1" applyFill="1" applyBorder="1" applyAlignment="1" applyProtection="1">
      <alignment vertical="center"/>
    </xf>
    <xf numFmtId="0" fontId="20" fillId="7" borderId="40" xfId="0" applyFont="1" applyFill="1" applyBorder="1" applyAlignment="1" applyProtection="1">
      <alignment vertical="center" wrapText="1"/>
    </xf>
    <xf numFmtId="0" fontId="20" fillId="7" borderId="28" xfId="0" applyFont="1" applyFill="1" applyBorder="1" applyAlignment="1" applyProtection="1">
      <alignment vertical="center"/>
    </xf>
    <xf numFmtId="0" fontId="52" fillId="7" borderId="2" xfId="14" applyFont="1" applyFill="1" applyBorder="1" applyAlignment="1" applyProtection="1">
      <alignment vertical="center"/>
    </xf>
    <xf numFmtId="187" fontId="52" fillId="7" borderId="1" xfId="14" applyNumberFormat="1" applyFont="1" applyFill="1" applyBorder="1" applyAlignment="1" applyProtection="1">
      <alignment horizontal="center" vertical="center"/>
    </xf>
    <xf numFmtId="9" fontId="52" fillId="7" borderId="2" xfId="14" applyNumberFormat="1" applyFont="1" applyFill="1" applyBorder="1" applyAlignment="1" applyProtection="1">
      <alignment horizontal="center" vertical="center"/>
    </xf>
    <xf numFmtId="0" fontId="52" fillId="7" borderId="11" xfId="0" applyFont="1" applyFill="1" applyBorder="1" applyAlignment="1" applyProtection="1">
      <alignment vertical="center" wrapText="1"/>
    </xf>
    <xf numFmtId="0" fontId="20" fillId="7" borderId="2" xfId="14" applyFont="1" applyFill="1" applyBorder="1" applyAlignment="1" applyProtection="1">
      <alignment horizontal="left"/>
    </xf>
    <xf numFmtId="187" fontId="20" fillId="7" borderId="1" xfId="14" applyNumberFormat="1" applyFont="1" applyFill="1" applyBorder="1" applyAlignment="1" applyProtection="1">
      <alignment horizontal="center" vertical="center"/>
    </xf>
    <xf numFmtId="0" fontId="52" fillId="7" borderId="10" xfId="14" applyFont="1" applyFill="1" applyBorder="1" applyAlignment="1" applyProtection="1">
      <alignment horizontal="left"/>
    </xf>
    <xf numFmtId="189" fontId="52" fillId="7" borderId="1" xfId="14" applyNumberFormat="1" applyFont="1" applyFill="1" applyBorder="1" applyAlignment="1" applyProtection="1">
      <alignment horizontal="center"/>
    </xf>
    <xf numFmtId="9" fontId="52" fillId="7" borderId="1" xfId="14" applyNumberFormat="1" applyFont="1" applyFill="1" applyBorder="1" applyAlignment="1" applyProtection="1">
      <alignment horizontal="center"/>
    </xf>
    <xf numFmtId="49" fontId="51" fillId="7" borderId="41" xfId="14" applyNumberFormat="1" applyFont="1" applyFill="1" applyBorder="1" applyAlignment="1" applyProtection="1"/>
    <xf numFmtId="49" fontId="51" fillId="7" borderId="3" xfId="14" applyNumberFormat="1" applyFont="1" applyFill="1" applyBorder="1" applyAlignment="1" applyProtection="1"/>
    <xf numFmtId="49" fontId="51" fillId="7" borderId="42" xfId="14" applyNumberFormat="1" applyFont="1" applyFill="1" applyBorder="1" applyAlignment="1" applyProtection="1"/>
    <xf numFmtId="187" fontId="52" fillId="7" borderId="1" xfId="0" applyNumberFormat="1" applyFont="1" applyFill="1" applyBorder="1" applyAlignment="1" applyProtection="1">
      <alignment horizontal="center" vertical="center"/>
    </xf>
    <xf numFmtId="186" fontId="52" fillId="7" borderId="2" xfId="14" applyNumberFormat="1" applyFont="1" applyFill="1" applyBorder="1" applyAlignment="1" applyProtection="1">
      <alignment horizontal="center"/>
    </xf>
    <xf numFmtId="10" fontId="20" fillId="7" borderId="2" xfId="14" applyNumberFormat="1" applyFont="1" applyFill="1" applyBorder="1" applyAlignment="1" applyProtection="1">
      <alignment horizontal="center"/>
    </xf>
    <xf numFmtId="0" fontId="20" fillId="7" borderId="11" xfId="0" applyFont="1" applyFill="1" applyBorder="1" applyAlignment="1" applyProtection="1">
      <alignment vertical="center" wrapText="1"/>
    </xf>
    <xf numFmtId="0" fontId="20" fillId="7" borderId="11" xfId="14" applyFont="1" applyFill="1" applyBorder="1" applyAlignment="1" applyProtection="1">
      <alignment horizontal="left" vertical="center"/>
    </xf>
    <xf numFmtId="10" fontId="52" fillId="7" borderId="1" xfId="0" applyNumberFormat="1" applyFont="1" applyFill="1" applyBorder="1" applyAlignment="1" applyProtection="1">
      <alignment horizontal="right" vertical="center"/>
    </xf>
    <xf numFmtId="188" fontId="52" fillId="7" borderId="1" xfId="0" applyNumberFormat="1" applyFont="1" applyFill="1" applyBorder="1" applyAlignment="1" applyProtection="1">
      <alignment horizontal="right" vertical="center"/>
    </xf>
    <xf numFmtId="10" fontId="52" fillId="7" borderId="1" xfId="14" applyNumberFormat="1" applyFont="1" applyFill="1" applyBorder="1" applyAlignment="1" applyProtection="1">
      <alignment horizontal="center" vertical="center"/>
    </xf>
    <xf numFmtId="49" fontId="51" fillId="7" borderId="44" xfId="14" applyNumberFormat="1" applyFont="1" applyFill="1" applyBorder="1" applyAlignment="1" applyProtection="1"/>
    <xf numFmtId="49" fontId="51" fillId="7" borderId="45" xfId="14" applyNumberFormat="1" applyFont="1" applyFill="1" applyBorder="1" applyAlignment="1" applyProtection="1"/>
    <xf numFmtId="187" fontId="52" fillId="7" borderId="13" xfId="0" applyNumberFormat="1" applyFont="1" applyFill="1" applyBorder="1" applyAlignment="1" applyProtection="1">
      <alignment horizontal="center" vertical="center"/>
    </xf>
    <xf numFmtId="49" fontId="51" fillId="7" borderId="46" xfId="14" applyNumberFormat="1" applyFont="1" applyFill="1" applyBorder="1" applyAlignment="1" applyProtection="1"/>
    <xf numFmtId="0" fontId="57" fillId="7" borderId="1" xfId="0" applyFont="1" applyFill="1" applyBorder="1" applyAlignment="1" applyProtection="1">
      <alignment horizontal="left"/>
    </xf>
    <xf numFmtId="0" fontId="50" fillId="7" borderId="1" xfId="0" applyFont="1" applyFill="1" applyBorder="1" applyAlignment="1" applyProtection="1">
      <alignment horizontal="center" vertical="center"/>
    </xf>
    <xf numFmtId="0" fontId="58" fillId="7" borderId="1" xfId="0" applyFont="1" applyFill="1" applyBorder="1" applyAlignment="1" applyProtection="1"/>
    <xf numFmtId="186" fontId="20" fillId="7" borderId="1" xfId="0" applyNumberFormat="1" applyFont="1" applyFill="1" applyBorder="1" applyAlignment="1" applyProtection="1">
      <alignment horizontal="center"/>
    </xf>
    <xf numFmtId="186" fontId="58" fillId="7" borderId="1" xfId="0" applyNumberFormat="1" applyFont="1" applyFill="1" applyBorder="1" applyAlignment="1" applyProtection="1">
      <alignment horizontal="center"/>
    </xf>
    <xf numFmtId="0" fontId="20"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4" borderId="0" xfId="0" applyFont="1" applyFill="1" applyProtection="1">
      <alignment vertical="center"/>
      <protection locked="0"/>
    </xf>
    <xf numFmtId="0" fontId="58" fillId="7" borderId="1" xfId="0" applyFont="1" applyFill="1" applyBorder="1" applyProtection="1">
      <alignment vertical="center"/>
    </xf>
    <xf numFmtId="0" fontId="58" fillId="7" borderId="13" xfId="0" applyFont="1" applyFill="1" applyBorder="1" applyAlignment="1" applyProtection="1">
      <alignment horizontal="center" vertical="center"/>
    </xf>
    <xf numFmtId="0" fontId="52" fillId="7" borderId="48" xfId="0" applyNumberFormat="1" applyFont="1" applyFill="1" applyBorder="1" applyAlignment="1" applyProtection="1">
      <alignment vertical="center" wrapText="1"/>
      <protection locked="0"/>
    </xf>
    <xf numFmtId="0" fontId="58" fillId="7" borderId="49" xfId="0" applyNumberFormat="1" applyFont="1" applyFill="1" applyBorder="1" applyAlignment="1" applyProtection="1">
      <alignment horizontal="center" vertical="center" wrapText="1"/>
    </xf>
    <xf numFmtId="0" fontId="58" fillId="7" borderId="7" xfId="0" applyNumberFormat="1" applyFont="1" applyFill="1" applyBorder="1" applyAlignment="1" applyProtection="1">
      <alignment horizontal="center" vertical="center" wrapText="1"/>
    </xf>
    <xf numFmtId="0" fontId="58" fillId="7" borderId="8" xfId="0" applyNumberFormat="1" applyFont="1" applyFill="1" applyBorder="1" applyAlignment="1" applyProtection="1">
      <alignment horizontal="center" vertical="center" wrapText="1"/>
    </xf>
    <xf numFmtId="0" fontId="57" fillId="7" borderId="50" xfId="0" applyNumberFormat="1" applyFont="1" applyFill="1" applyBorder="1" applyAlignment="1" applyProtection="1">
      <alignment vertical="center" textRotation="255" wrapText="1"/>
      <protection locked="0"/>
    </xf>
    <xf numFmtId="0" fontId="58" fillId="7" borderId="30" xfId="0" applyNumberFormat="1" applyFont="1" applyFill="1" applyBorder="1" applyAlignment="1" applyProtection="1">
      <alignment horizontal="center" vertical="center"/>
    </xf>
    <xf numFmtId="0" fontId="58" fillId="0" borderId="10"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57" fillId="7" borderId="50" xfId="0" applyNumberFormat="1" applyFont="1" applyFill="1" applyBorder="1" applyAlignment="1" applyProtection="1">
      <alignment vertical="center" wrapText="1"/>
      <protection locked="0"/>
    </xf>
    <xf numFmtId="0" fontId="58" fillId="7" borderId="30" xfId="0" applyNumberFormat="1" applyFont="1" applyFill="1" applyBorder="1" applyAlignment="1" applyProtection="1">
      <alignment horizontal="center" vertical="center" wrapText="1"/>
    </xf>
    <xf numFmtId="0" fontId="58" fillId="0" borderId="51" xfId="0" applyNumberFormat="1" applyFont="1" applyFill="1" applyBorder="1" applyAlignment="1" applyProtection="1">
      <alignment horizontal="center" vertical="center" wrapText="1"/>
      <protection locked="0"/>
    </xf>
    <xf numFmtId="0" fontId="20" fillId="0" borderId="15"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0" fillId="7" borderId="50" xfId="0" applyNumberFormat="1" applyFont="1" applyFill="1" applyBorder="1" applyAlignment="1" applyProtection="1">
      <alignment vertical="center" wrapText="1"/>
      <protection locked="0"/>
    </xf>
    <xf numFmtId="0" fontId="61" fillId="0" borderId="52" xfId="0" applyNumberFormat="1" applyFont="1" applyFill="1" applyBorder="1" applyAlignment="1" applyProtection="1">
      <alignment horizontal="center" vertical="center" wrapText="1"/>
      <protection locked="0"/>
    </xf>
    <xf numFmtId="0" fontId="58" fillId="0" borderId="53" xfId="0" applyNumberFormat="1" applyFont="1" applyFill="1" applyBorder="1" applyAlignment="1" applyProtection="1">
      <alignment horizontal="center" vertical="center" wrapText="1"/>
      <protection locked="0"/>
    </xf>
    <xf numFmtId="0" fontId="58" fillId="0" borderId="54"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58" fillId="7" borderId="55" xfId="0" applyNumberFormat="1" applyFont="1" applyFill="1" applyBorder="1" applyAlignment="1" applyProtection="1">
      <alignment horizontal="center" vertical="center" wrapText="1"/>
    </xf>
    <xf numFmtId="0" fontId="58" fillId="7" borderId="56" xfId="0" applyNumberFormat="1" applyFont="1" applyFill="1" applyBorder="1" applyAlignment="1" applyProtection="1">
      <alignment horizontal="center" vertical="center" wrapText="1"/>
    </xf>
    <xf numFmtId="0" fontId="20" fillId="7" borderId="57" xfId="0" applyNumberFormat="1" applyFont="1" applyFill="1" applyBorder="1" applyAlignment="1" applyProtection="1">
      <alignment horizontal="center" vertical="center" wrapText="1"/>
    </xf>
    <xf numFmtId="0" fontId="30" fillId="7" borderId="57" xfId="0" applyNumberFormat="1" applyFont="1" applyFill="1" applyBorder="1" applyAlignment="1" applyProtection="1">
      <alignment horizontal="center" vertical="center" wrapText="1"/>
    </xf>
    <xf numFmtId="0" fontId="61" fillId="0" borderId="30" xfId="0" applyNumberFormat="1" applyFont="1" applyFill="1" applyBorder="1" applyAlignment="1" applyProtection="1">
      <alignment horizontal="center" vertical="center" wrapText="1"/>
      <protection locked="0"/>
    </xf>
    <xf numFmtId="0" fontId="58" fillId="0" borderId="5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58" fillId="7" borderId="51" xfId="0" applyNumberFormat="1" applyFont="1" applyFill="1" applyBorder="1" applyAlignment="1" applyProtection="1">
      <alignment horizontal="center" vertical="center" wrapText="1"/>
    </xf>
    <xf numFmtId="0" fontId="20" fillId="7" borderId="15" xfId="0" applyNumberFormat="1" applyFont="1" applyFill="1" applyBorder="1" applyAlignment="1" applyProtection="1">
      <alignment horizontal="center" vertical="center" wrapText="1"/>
    </xf>
    <xf numFmtId="0" fontId="30" fillId="7" borderId="15" xfId="0" applyNumberFormat="1" applyFont="1" applyFill="1" applyBorder="1" applyAlignment="1" applyProtection="1">
      <alignment horizontal="center" vertical="center" wrapText="1"/>
    </xf>
    <xf numFmtId="0" fontId="58" fillId="0" borderId="56" xfId="0" applyNumberFormat="1" applyFont="1" applyFill="1" applyBorder="1" applyAlignment="1" applyProtection="1">
      <alignment horizontal="center" vertical="center" wrapText="1"/>
      <protection locked="0"/>
    </xf>
    <xf numFmtId="0" fontId="20" fillId="0" borderId="57" xfId="0" applyNumberFormat="1" applyFont="1" applyFill="1" applyBorder="1" applyAlignment="1" applyProtection="1">
      <alignment horizontal="center" vertical="center" wrapText="1"/>
      <protection locked="0"/>
    </xf>
    <xf numFmtId="0" fontId="60" fillId="7" borderId="59" xfId="0" applyNumberFormat="1" applyFont="1" applyFill="1" applyBorder="1" applyAlignment="1" applyProtection="1">
      <alignment horizontal="center" vertical="center" wrapText="1"/>
    </xf>
    <xf numFmtId="0" fontId="58" fillId="9" borderId="49" xfId="0" applyNumberFormat="1" applyFont="1" applyFill="1" applyBorder="1" applyAlignment="1" applyProtection="1">
      <alignment horizontal="center" vertical="center" wrapText="1"/>
    </xf>
    <xf numFmtId="0" fontId="58" fillId="9" borderId="7" xfId="0" applyNumberFormat="1" applyFont="1" applyFill="1" applyBorder="1" applyAlignment="1" applyProtection="1">
      <alignment horizontal="center" vertical="center" wrapText="1"/>
      <protection locked="0"/>
    </xf>
    <xf numFmtId="0" fontId="58" fillId="9" borderId="8" xfId="0" applyNumberFormat="1" applyFont="1" applyFill="1" applyBorder="1" applyAlignment="1" applyProtection="1">
      <alignment horizontal="center" vertical="center" wrapText="1"/>
      <protection locked="0"/>
    </xf>
    <xf numFmtId="0" fontId="60" fillId="9" borderId="60" xfId="0" applyNumberFormat="1" applyFont="1" applyFill="1" applyBorder="1" applyAlignment="1" applyProtection="1">
      <alignment vertical="center" wrapText="1"/>
      <protection locked="0"/>
    </xf>
    <xf numFmtId="0" fontId="58" fillId="9" borderId="61" xfId="0" applyNumberFormat="1" applyFont="1" applyFill="1" applyBorder="1" applyAlignment="1" applyProtection="1">
      <alignment horizontal="center" vertical="center" wrapText="1"/>
    </xf>
    <xf numFmtId="0" fontId="58" fillId="9" borderId="12" xfId="0" applyNumberFormat="1" applyFont="1" applyFill="1" applyBorder="1" applyAlignment="1" applyProtection="1">
      <alignment horizontal="center" vertical="center" wrapText="1"/>
      <protection locked="0"/>
    </xf>
    <xf numFmtId="0" fontId="20" fillId="9" borderId="13" xfId="0" applyNumberFormat="1" applyFont="1" applyFill="1" applyBorder="1" applyAlignment="1" applyProtection="1">
      <alignment horizontal="center" vertical="center" wrapText="1"/>
      <protection locked="0"/>
    </xf>
    <xf numFmtId="0" fontId="58"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60" fillId="7" borderId="49" xfId="0" applyFont="1" applyFill="1" applyBorder="1" applyAlignment="1" applyProtection="1">
      <alignment horizontal="left" vertical="center"/>
      <protection locked="0"/>
    </xf>
    <xf numFmtId="0" fontId="58" fillId="7" borderId="31" xfId="0" applyFont="1" applyFill="1" applyBorder="1" applyAlignment="1" applyProtection="1">
      <alignment horizontal="center" vertical="center"/>
      <protection locked="0"/>
    </xf>
    <xf numFmtId="0" fontId="58" fillId="7" borderId="29" xfId="0" applyFont="1" applyFill="1" applyBorder="1" applyAlignment="1" applyProtection="1">
      <alignment horizontal="center" vertical="center"/>
      <protection locked="0"/>
    </xf>
    <xf numFmtId="0" fontId="62" fillId="7" borderId="1" xfId="0" applyFont="1" applyFill="1" applyBorder="1" applyProtection="1">
      <alignment vertical="center"/>
    </xf>
    <xf numFmtId="0" fontId="62" fillId="7" borderId="1" xfId="0" applyFont="1" applyFill="1" applyBorder="1" applyAlignment="1" applyProtection="1">
      <alignment horizontal="center" vertical="center"/>
    </xf>
    <xf numFmtId="0" fontId="52" fillId="2" borderId="44" xfId="14" applyFont="1" applyFill="1" applyBorder="1" applyAlignment="1" applyProtection="1">
      <alignment vertical="center"/>
      <protection locked="0"/>
    </xf>
    <xf numFmtId="0" fontId="58" fillId="2" borderId="62" xfId="0" applyFont="1" applyFill="1" applyBorder="1" applyAlignment="1" applyProtection="1">
      <alignment horizontal="center" vertical="center"/>
      <protection locked="0"/>
    </xf>
    <xf numFmtId="0" fontId="51" fillId="2" borderId="14" xfId="14" applyFont="1" applyFill="1" applyBorder="1" applyAlignment="1" applyProtection="1">
      <alignment vertical="center"/>
      <protection locked="0"/>
    </xf>
    <xf numFmtId="0" fontId="60" fillId="7" borderId="1" xfId="0" applyFont="1" applyFill="1" applyBorder="1" applyAlignment="1" applyProtection="1">
      <alignment horizontal="center" vertical="center"/>
    </xf>
    <xf numFmtId="0" fontId="58" fillId="7" borderId="1" xfId="0" applyFont="1" applyFill="1" applyBorder="1" applyAlignment="1" applyProtection="1">
      <alignment horizontal="center" vertical="center"/>
    </xf>
    <xf numFmtId="0" fontId="58" fillId="7" borderId="2" xfId="0" applyFont="1" applyFill="1" applyBorder="1" applyAlignment="1" applyProtection="1">
      <alignment horizontal="center" vertical="center"/>
    </xf>
    <xf numFmtId="0" fontId="58" fillId="7" borderId="3" xfId="0" applyFont="1" applyFill="1" applyBorder="1" applyAlignment="1" applyProtection="1">
      <alignment horizontal="center" vertical="center"/>
    </xf>
    <xf numFmtId="0" fontId="58" fillId="7"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63" fillId="7" borderId="1" xfId="0" applyFont="1" applyFill="1" applyBorder="1" applyAlignment="1" applyProtection="1">
      <alignment horizontal="center" vertical="center"/>
    </xf>
    <xf numFmtId="0" fontId="63" fillId="10" borderId="1" xfId="0" applyFont="1" applyFill="1" applyBorder="1" applyAlignment="1" applyProtection="1">
      <alignment horizontal="center" vertical="center"/>
      <protection locked="0"/>
    </xf>
    <xf numFmtId="0" fontId="58" fillId="0" borderId="1" xfId="0" applyFont="1" applyBorder="1" applyProtection="1">
      <alignment vertical="center"/>
      <protection locked="0"/>
    </xf>
    <xf numFmtId="0" fontId="58" fillId="0" borderId="1" xfId="0" applyFont="1" applyBorder="1" applyAlignment="1" applyProtection="1">
      <alignment horizontal="center" vertical="center"/>
      <protection locked="0"/>
    </xf>
    <xf numFmtId="0" fontId="57" fillId="10"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left" vertical="center" wrapText="1"/>
      <protection locked="0"/>
    </xf>
    <xf numFmtId="0" fontId="30" fillId="0" borderId="2"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left" vertical="center" wrapText="1"/>
      <protection locked="0"/>
    </xf>
    <xf numFmtId="0" fontId="30" fillId="0" borderId="63" xfId="0" applyNumberFormat="1" applyFont="1" applyFill="1" applyBorder="1" applyAlignment="1" applyProtection="1">
      <alignment horizontal="center"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50" xfId="0" applyFont="1" applyFill="1" applyBorder="1" applyAlignment="1" applyProtection="1">
      <alignment horizontal="center" vertical="center"/>
      <protection locked="0"/>
    </xf>
    <xf numFmtId="0" fontId="30" fillId="0" borderId="64" xfId="0" applyNumberFormat="1" applyFont="1" applyFill="1" applyBorder="1" applyAlignment="1" applyProtection="1">
      <alignment horizontal="center" vertical="center" wrapText="1"/>
      <protection locked="0"/>
    </xf>
    <xf numFmtId="0" fontId="30" fillId="0" borderId="64"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58" fillId="0" borderId="63" xfId="0" applyNumberFormat="1" applyFont="1" applyFill="1" applyBorder="1" applyAlignment="1" applyProtection="1">
      <alignment horizontal="center" vertical="center" wrapText="1"/>
      <protection locked="0"/>
    </xf>
    <xf numFmtId="0" fontId="58" fillId="0" borderId="65" xfId="0" applyFont="1" applyFill="1" applyBorder="1" applyAlignment="1" applyProtection="1">
      <alignment horizontal="center" vertical="center"/>
      <protection locked="0"/>
    </xf>
    <xf numFmtId="0" fontId="58" fillId="0" borderId="66" xfId="0" applyNumberFormat="1" applyFont="1" applyFill="1" applyBorder="1" applyAlignment="1" applyProtection="1">
      <alignment horizontal="center" vertical="center" wrapText="1"/>
      <protection locked="0"/>
    </xf>
    <xf numFmtId="0" fontId="58" fillId="0" borderId="66" xfId="0" applyFont="1" applyFill="1" applyBorder="1" applyAlignment="1" applyProtection="1">
      <alignment horizontal="center" vertical="center" wrapText="1"/>
      <protection locked="0"/>
    </xf>
    <xf numFmtId="0" fontId="20" fillId="0" borderId="67" xfId="0" applyNumberFormat="1" applyFont="1" applyFill="1" applyBorder="1" applyAlignment="1" applyProtection="1">
      <alignment horizontal="center" vertical="center" wrapText="1"/>
      <protection locked="0"/>
    </xf>
    <xf numFmtId="0" fontId="20" fillId="0" borderId="48" xfId="0" applyNumberFormat="1" applyFont="1" applyFill="1" applyBorder="1" applyAlignment="1" applyProtection="1">
      <alignment horizontal="center" vertical="center" wrapText="1"/>
      <protection locked="0"/>
    </xf>
    <xf numFmtId="0" fontId="58" fillId="9" borderId="8" xfId="0" applyNumberFormat="1" applyFont="1" applyFill="1" applyBorder="1" applyAlignment="1" applyProtection="1">
      <alignment horizontal="left" vertical="center" wrapText="1"/>
      <protection locked="0"/>
    </xf>
    <xf numFmtId="0" fontId="58" fillId="9" borderId="32" xfId="0" applyNumberFormat="1" applyFont="1" applyFill="1" applyBorder="1" applyAlignment="1" applyProtection="1">
      <alignment horizontal="center" vertical="center" wrapText="1"/>
      <protection locked="0"/>
    </xf>
    <xf numFmtId="0" fontId="58" fillId="9" borderId="17" xfId="0" applyFont="1" applyFill="1" applyBorder="1" applyAlignment="1" applyProtection="1">
      <alignment horizontal="center" vertical="center"/>
      <protection locked="0"/>
    </xf>
    <xf numFmtId="0" fontId="58" fillId="9" borderId="35" xfId="0" applyNumberFormat="1" applyFont="1" applyFill="1" applyBorder="1" applyAlignment="1" applyProtection="1">
      <alignment horizontal="center" vertical="center" wrapText="1"/>
      <protection locked="0"/>
    </xf>
    <xf numFmtId="0" fontId="58" fillId="9" borderId="35" xfId="0" applyFont="1" applyFill="1" applyBorder="1" applyAlignment="1" applyProtection="1">
      <alignment horizontal="center" vertical="center" wrapText="1"/>
      <protection locked="0"/>
    </xf>
    <xf numFmtId="0" fontId="20" fillId="9" borderId="33" xfId="0" applyNumberFormat="1" applyFont="1" applyFill="1" applyBorder="1" applyAlignment="1" applyProtection="1">
      <alignment horizontal="center" vertical="center" wrapText="1"/>
      <protection locked="0"/>
    </xf>
    <xf numFmtId="0" fontId="58" fillId="7" borderId="39" xfId="0" applyNumberFormat="1" applyFont="1" applyFill="1" applyBorder="1" applyAlignment="1" applyProtection="1">
      <alignment horizontal="center" vertical="center" wrapText="1"/>
    </xf>
    <xf numFmtId="0" fontId="58" fillId="7" borderId="29" xfId="0" applyNumberFormat="1" applyFont="1" applyFill="1" applyBorder="1" applyAlignment="1" applyProtection="1">
      <alignment horizontal="center" vertical="center" wrapText="1"/>
    </xf>
    <xf numFmtId="0" fontId="20" fillId="4" borderId="0" xfId="0" applyFont="1" applyFill="1" applyAlignment="1" applyProtection="1">
      <alignment horizontal="center" vertical="center"/>
      <protection locked="0"/>
    </xf>
    <xf numFmtId="0" fontId="30" fillId="0" borderId="42" xfId="0" applyNumberFormat="1" applyFont="1" applyFill="1" applyBorder="1" applyAlignment="1" applyProtection="1">
      <alignment horizontal="center" vertical="center" wrapText="1"/>
      <protection locked="0"/>
    </xf>
    <xf numFmtId="0" fontId="59" fillId="7" borderId="69" xfId="0" applyNumberFormat="1" applyFont="1" applyFill="1" applyBorder="1" applyAlignment="1" applyProtection="1">
      <alignment horizontal="center" vertical="center" wrapText="1"/>
    </xf>
    <xf numFmtId="0" fontId="59" fillId="4" borderId="0" xfId="0" applyFont="1" applyFill="1" applyAlignment="1" applyProtection="1">
      <alignment horizontal="center" vertical="center"/>
      <protection locked="0"/>
    </xf>
    <xf numFmtId="0" fontId="30" fillId="0" borderId="69" xfId="0" applyNumberFormat="1" applyFont="1" applyFill="1" applyBorder="1" applyAlignment="1" applyProtection="1">
      <alignment horizontal="center" vertical="center" wrapText="1"/>
      <protection locked="0"/>
    </xf>
    <xf numFmtId="0" fontId="20" fillId="7" borderId="23" xfId="0" applyNumberFormat="1" applyFont="1" applyFill="1" applyBorder="1" applyAlignment="1" applyProtection="1">
      <alignment horizontal="center" vertical="center" wrapText="1"/>
    </xf>
    <xf numFmtId="0" fontId="30"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4" borderId="0" xfId="0" applyFont="1" applyFill="1" applyAlignment="1" applyProtection="1">
      <alignment horizontal="center" vertical="center"/>
      <protection locked="0"/>
    </xf>
    <xf numFmtId="0" fontId="20" fillId="7" borderId="72" xfId="0" applyNumberFormat="1"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0" fontId="30" fillId="0" borderId="64" xfId="0" applyFont="1" applyFill="1" applyBorder="1" applyAlignment="1" applyProtection="1">
      <alignment horizontal="center" vertical="center"/>
      <protection locked="0"/>
    </xf>
    <xf numFmtId="0" fontId="30" fillId="0" borderId="23" xfId="0" applyFont="1" applyFill="1" applyBorder="1" applyAlignment="1" applyProtection="1">
      <alignment horizontal="center" vertical="center"/>
      <protection locked="0"/>
    </xf>
    <xf numFmtId="0" fontId="58" fillId="0" borderId="23" xfId="0" applyNumberFormat="1" applyFont="1" applyFill="1" applyBorder="1" applyAlignment="1" applyProtection="1">
      <alignment horizontal="center" vertical="center" wrapText="1"/>
      <protection locked="0"/>
    </xf>
    <xf numFmtId="9" fontId="58" fillId="0" borderId="66" xfId="0" applyNumberFormat="1" applyFont="1" applyFill="1" applyBorder="1" applyAlignment="1" applyProtection="1">
      <alignment horizontal="center" vertical="center" wrapText="1"/>
      <protection locked="0"/>
    </xf>
    <xf numFmtId="0" fontId="58" fillId="0" borderId="66" xfId="0" applyFont="1" applyFill="1" applyBorder="1" applyAlignment="1" applyProtection="1">
      <alignment horizontal="center" vertical="center"/>
      <protection locked="0"/>
    </xf>
    <xf numFmtId="0" fontId="58" fillId="0" borderId="71" xfId="0" applyFont="1" applyFill="1" applyBorder="1" applyAlignment="1" applyProtection="1">
      <alignment horizontal="center" vertical="center"/>
      <protection locked="0"/>
    </xf>
    <xf numFmtId="0" fontId="58" fillId="7" borderId="71" xfId="0" applyNumberFormat="1" applyFont="1" applyFill="1" applyBorder="1" applyAlignment="1" applyProtection="1">
      <alignment horizontal="center" vertical="center" wrapText="1"/>
    </xf>
    <xf numFmtId="0" fontId="20" fillId="0" borderId="73" xfId="0" applyNumberFormat="1" applyFont="1" applyFill="1" applyBorder="1" applyAlignment="1" applyProtection="1">
      <alignment horizontal="center" vertical="center" wrapText="1"/>
      <protection locked="0"/>
    </xf>
    <xf numFmtId="0" fontId="20" fillId="0" borderId="69" xfId="0" applyNumberFormat="1" applyFont="1" applyFill="1" applyBorder="1" applyAlignment="1" applyProtection="1">
      <alignment horizontal="center" vertical="center" wrapText="1"/>
      <protection locked="0"/>
    </xf>
    <xf numFmtId="9" fontId="58" fillId="9" borderId="35" xfId="0" applyNumberFormat="1" applyFont="1" applyFill="1" applyBorder="1" applyAlignment="1" applyProtection="1">
      <alignment horizontal="center" vertical="center" wrapText="1"/>
      <protection locked="0"/>
    </xf>
    <xf numFmtId="0" fontId="58" fillId="9" borderId="35" xfId="0" applyFont="1" applyFill="1" applyBorder="1" applyAlignment="1" applyProtection="1">
      <alignment horizontal="center" vertical="center"/>
      <protection locked="0"/>
    </xf>
    <xf numFmtId="0" fontId="58" fillId="9" borderId="29" xfId="0" applyFont="1" applyFill="1" applyBorder="1" applyAlignment="1" applyProtection="1">
      <alignment horizontal="center" vertical="center"/>
      <protection locked="0"/>
    </xf>
    <xf numFmtId="0" fontId="20" fillId="9" borderId="46" xfId="0" applyNumberFormat="1" applyFont="1" applyFill="1" applyBorder="1" applyAlignment="1" applyProtection="1">
      <alignment horizontal="center" vertical="center" wrapText="1"/>
      <protection locked="0"/>
    </xf>
    <xf numFmtId="0" fontId="58" fillId="7" borderId="0" xfId="0" applyNumberFormat="1" applyFont="1" applyFill="1" applyAlignment="1" applyProtection="1">
      <alignment horizontal="center" vertical="center"/>
      <protection locked="0"/>
    </xf>
    <xf numFmtId="0" fontId="58" fillId="7" borderId="4" xfId="0" applyFont="1" applyFill="1" applyBorder="1" applyAlignment="1" applyProtection="1">
      <alignment horizontal="center" vertical="center"/>
    </xf>
    <xf numFmtId="0" fontId="58" fillId="7" borderId="1" xfId="0" applyNumberFormat="1" applyFont="1" applyFill="1" applyBorder="1" applyAlignment="1" applyProtection="1">
      <alignment horizontal="center" vertical="center"/>
    </xf>
    <xf numFmtId="0" fontId="58" fillId="7" borderId="1" xfId="0" applyNumberFormat="1" applyFont="1" applyFill="1" applyBorder="1" applyAlignment="1" applyProtection="1">
      <alignment horizontal="center" vertical="center" wrapText="1"/>
    </xf>
    <xf numFmtId="0" fontId="58" fillId="4" borderId="0" xfId="0" applyFont="1" applyFill="1" applyAlignment="1" applyProtection="1">
      <alignment horizontal="center" vertical="center" wrapText="1"/>
      <protection locked="0"/>
    </xf>
    <xf numFmtId="0" fontId="57" fillId="0" borderId="1" xfId="0" applyNumberFormat="1" applyFont="1" applyBorder="1" applyAlignment="1" applyProtection="1">
      <alignment horizontal="center" vertical="center"/>
      <protection locked="0"/>
    </xf>
    <xf numFmtId="0" fontId="57" fillId="7" borderId="1" xfId="0" applyFont="1" applyFill="1" applyBorder="1" applyAlignment="1" applyProtection="1">
      <alignment horizontal="center" vertical="center"/>
    </xf>
    <xf numFmtId="0" fontId="57" fillId="4" borderId="0" xfId="0" applyFont="1" applyFill="1" applyProtection="1">
      <alignment vertical="center"/>
      <protection locked="0"/>
    </xf>
    <xf numFmtId="0" fontId="63" fillId="0" borderId="0" xfId="4" applyFont="1" applyAlignment="1">
      <alignment horizontal="left" vertical="center"/>
    </xf>
    <xf numFmtId="0" fontId="63" fillId="0" borderId="74" xfId="4" applyFont="1" applyBorder="1" applyAlignment="1">
      <alignment horizontal="left" vertical="center"/>
    </xf>
    <xf numFmtId="0" fontId="63" fillId="11" borderId="0" xfId="4" applyFont="1" applyFill="1" applyAlignment="1">
      <alignment horizontal="left" vertical="center"/>
    </xf>
    <xf numFmtId="0" fontId="63" fillId="0" borderId="0" xfId="4" applyFont="1" applyFill="1" applyAlignment="1">
      <alignment horizontal="left" vertical="center"/>
    </xf>
    <xf numFmtId="0" fontId="63" fillId="12" borderId="0" xfId="4" applyFont="1" applyFill="1" applyAlignment="1">
      <alignment horizontal="left" vertical="center"/>
    </xf>
    <xf numFmtId="0" fontId="64" fillId="12" borderId="0" xfId="4" applyFont="1" applyFill="1" applyAlignment="1">
      <alignment horizontal="left" vertical="center"/>
    </xf>
    <xf numFmtId="0" fontId="30" fillId="2" borderId="0" xfId="4" applyFont="1" applyFill="1" applyAlignment="1">
      <alignment horizontal="left" vertical="center"/>
    </xf>
    <xf numFmtId="0" fontId="30" fillId="0" borderId="21" xfId="4" applyFont="1" applyBorder="1" applyAlignment="1">
      <alignment horizontal="left" vertical="center"/>
    </xf>
    <xf numFmtId="0" fontId="21" fillId="0" borderId="0" xfId="4" applyFont="1" applyAlignment="1">
      <alignment horizontal="left" vertical="center"/>
    </xf>
    <xf numFmtId="0" fontId="30" fillId="0" borderId="0" xfId="4" applyFont="1" applyAlignment="1">
      <alignment horizontal="left" vertical="center"/>
    </xf>
    <xf numFmtId="0" fontId="30" fillId="0" borderId="75" xfId="4" applyFont="1" applyBorder="1" applyAlignment="1">
      <alignment horizontal="left" vertical="center"/>
    </xf>
    <xf numFmtId="0" fontId="66" fillId="7" borderId="74" xfId="7" applyFont="1" applyFill="1" applyBorder="1" applyAlignment="1" applyProtection="1">
      <alignment horizontal="left" vertical="center"/>
    </xf>
    <xf numFmtId="0" fontId="67" fillId="7" borderId="74" xfId="7" applyFont="1" applyFill="1" applyBorder="1" applyAlignment="1" applyProtection="1">
      <alignment horizontal="left" vertical="center"/>
    </xf>
    <xf numFmtId="0" fontId="63" fillId="0" borderId="76" xfId="4" applyFont="1" applyBorder="1" applyAlignment="1">
      <alignment horizontal="left" vertical="center"/>
    </xf>
    <xf numFmtId="0" fontId="33" fillId="11" borderId="0" xfId="4" applyFont="1" applyFill="1" applyAlignment="1">
      <alignment horizontal="left" vertical="center"/>
    </xf>
    <xf numFmtId="0" fontId="68" fillId="11" borderId="0" xfId="7" applyFont="1" applyFill="1" applyAlignment="1" applyProtection="1">
      <alignment horizontal="left" vertical="center"/>
    </xf>
    <xf numFmtId="0" fontId="67" fillId="11" borderId="0" xfId="7" applyFont="1" applyFill="1" applyAlignment="1" applyProtection="1">
      <alignment horizontal="left" vertical="center"/>
    </xf>
    <xf numFmtId="0" fontId="63" fillId="11" borderId="75" xfId="4" applyFont="1" applyFill="1" applyBorder="1" applyAlignment="1">
      <alignment horizontal="left" vertical="center"/>
    </xf>
    <xf numFmtId="0" fontId="63" fillId="11" borderId="0" xfId="4" applyFont="1" applyFill="1" applyBorder="1" applyAlignment="1">
      <alignment horizontal="left" vertical="center"/>
    </xf>
    <xf numFmtId="0" fontId="68" fillId="0" borderId="0" xfId="7" applyFont="1" applyFill="1" applyAlignment="1" applyProtection="1">
      <alignment horizontal="left" vertical="center"/>
    </xf>
    <xf numFmtId="0" fontId="67" fillId="0" borderId="0" xfId="7" applyFont="1" applyFill="1" applyAlignment="1" applyProtection="1">
      <alignment horizontal="left" vertical="center"/>
    </xf>
    <xf numFmtId="0" fontId="63" fillId="0" borderId="75" xfId="4" applyFont="1" applyFill="1" applyBorder="1" applyAlignment="1">
      <alignment horizontal="left" vertical="center"/>
    </xf>
    <xf numFmtId="0" fontId="63" fillId="0" borderId="0" xfId="4" applyFont="1" applyFill="1" applyBorder="1" applyAlignment="1">
      <alignment horizontal="left" vertical="center"/>
    </xf>
    <xf numFmtId="49" fontId="20" fillId="12" borderId="1" xfId="4" applyNumberFormat="1" applyFont="1" applyFill="1" applyBorder="1" applyAlignment="1" applyProtection="1">
      <alignment horizontal="left" vertical="center" wrapText="1"/>
    </xf>
    <xf numFmtId="184" fontId="64" fillId="12" borderId="0" xfId="4" applyNumberFormat="1" applyFont="1" applyFill="1" applyAlignment="1">
      <alignment horizontal="left" vertical="center"/>
    </xf>
    <xf numFmtId="0" fontId="69" fillId="13" borderId="77" xfId="4" applyFont="1" applyFill="1" applyBorder="1" applyAlignment="1" applyProtection="1">
      <alignment horizontal="left" vertical="center" wrapText="1"/>
    </xf>
    <xf numFmtId="0" fontId="69" fillId="12" borderId="78" xfId="4" applyFont="1" applyFill="1" applyBorder="1" applyAlignment="1" applyProtection="1">
      <alignment horizontal="left" vertical="center" wrapText="1"/>
    </xf>
    <xf numFmtId="49" fontId="20" fillId="7" borderId="1" xfId="4" applyNumberFormat="1" applyFont="1" applyFill="1" applyBorder="1" applyAlignment="1" applyProtection="1">
      <alignment horizontal="left" vertical="center" wrapText="1"/>
    </xf>
    <xf numFmtId="184" fontId="30" fillId="0" borderId="0" xfId="4" applyNumberFormat="1" applyFont="1" applyAlignment="1">
      <alignment horizontal="left" vertical="center"/>
    </xf>
    <xf numFmtId="0" fontId="69" fillId="14" borderId="78" xfId="4" applyFont="1" applyFill="1" applyBorder="1" applyAlignment="1" applyProtection="1">
      <alignment horizontal="left" vertical="center" wrapText="1"/>
    </xf>
    <xf numFmtId="0" fontId="69" fillId="13" borderId="79" xfId="4" applyFont="1" applyFill="1" applyBorder="1" applyAlignment="1" applyProtection="1">
      <alignment horizontal="left" vertical="center" wrapText="1"/>
    </xf>
    <xf numFmtId="184" fontId="63" fillId="13" borderId="79" xfId="4" applyNumberFormat="1" applyFont="1" applyFill="1" applyBorder="1" applyAlignment="1" applyProtection="1">
      <alignment horizontal="left" vertical="center" wrapText="1"/>
    </xf>
    <xf numFmtId="184" fontId="63" fillId="13" borderId="80" xfId="4" applyNumberFormat="1" applyFont="1" applyFill="1" applyBorder="1" applyAlignment="1" applyProtection="1">
      <alignment horizontal="left" vertical="center" wrapText="1"/>
    </xf>
    <xf numFmtId="0" fontId="69" fillId="13" borderId="78" xfId="4" applyFont="1" applyFill="1" applyBorder="1" applyAlignment="1" applyProtection="1">
      <alignment horizontal="left" vertical="center" wrapText="1"/>
    </xf>
    <xf numFmtId="184" fontId="63" fillId="13" borderId="79" xfId="4" applyNumberFormat="1" applyFont="1" applyFill="1" applyBorder="1" applyAlignment="1">
      <alignment horizontal="left" vertical="center" wrapText="1"/>
    </xf>
    <xf numFmtId="184" fontId="63" fillId="13" borderId="80" xfId="4" applyNumberFormat="1" applyFont="1" applyFill="1" applyBorder="1" applyAlignment="1">
      <alignment horizontal="left" vertical="center" wrapText="1"/>
    </xf>
    <xf numFmtId="0" fontId="69" fillId="13" borderId="85" xfId="4" applyFont="1" applyFill="1" applyBorder="1" applyAlignment="1" applyProtection="1">
      <alignment horizontal="left" vertical="center" wrapText="1"/>
    </xf>
    <xf numFmtId="0" fontId="69" fillId="14" borderId="79" xfId="4" applyFont="1" applyFill="1" applyBorder="1" applyAlignment="1" applyProtection="1">
      <alignment horizontal="left" vertical="center" wrapText="1"/>
    </xf>
    <xf numFmtId="184" fontId="63" fillId="13" borderId="78" xfId="4" applyNumberFormat="1" applyFont="1" applyFill="1" applyBorder="1" applyAlignment="1">
      <alignment horizontal="left" vertical="center" wrapText="1"/>
    </xf>
    <xf numFmtId="184" fontId="63" fillId="13" borderId="86" xfId="4" applyNumberFormat="1" applyFont="1" applyFill="1" applyBorder="1" applyAlignment="1">
      <alignment horizontal="left" vertical="center" wrapText="1"/>
    </xf>
    <xf numFmtId="0" fontId="30" fillId="14" borderId="79" xfId="4" applyFont="1" applyFill="1" applyBorder="1" applyAlignment="1" applyProtection="1">
      <alignment horizontal="left" vertical="center" wrapText="1"/>
    </xf>
    <xf numFmtId="49" fontId="20" fillId="2" borderId="1" xfId="4" applyNumberFormat="1" applyFont="1" applyFill="1" applyBorder="1" applyAlignment="1" applyProtection="1">
      <alignment horizontal="left" vertical="center" wrapText="1"/>
    </xf>
    <xf numFmtId="184" fontId="30" fillId="2" borderId="0" xfId="4" applyNumberFormat="1" applyFont="1" applyFill="1" applyAlignment="1">
      <alignment horizontal="left" vertical="center"/>
    </xf>
    <xf numFmtId="0" fontId="30" fillId="2" borderId="78" xfId="4" applyFont="1" applyFill="1" applyBorder="1" applyAlignment="1" applyProtection="1">
      <alignment horizontal="left" vertical="center" wrapText="1"/>
    </xf>
    <xf numFmtId="0" fontId="30" fillId="13" borderId="85" xfId="4" applyFont="1" applyFill="1" applyBorder="1" applyAlignment="1" applyProtection="1">
      <alignment horizontal="left" vertical="center" wrapText="1"/>
    </xf>
    <xf numFmtId="184" fontId="63" fillId="13" borderId="85" xfId="4" applyNumberFormat="1" applyFont="1" applyFill="1" applyBorder="1" applyAlignment="1">
      <alignment horizontal="left" vertical="center" wrapText="1"/>
    </xf>
    <xf numFmtId="184" fontId="63" fillId="13" borderId="87" xfId="4" applyNumberFormat="1" applyFont="1" applyFill="1" applyBorder="1" applyAlignment="1">
      <alignment horizontal="left" vertical="center" wrapText="1"/>
    </xf>
    <xf numFmtId="184" fontId="30" fillId="12" borderId="0" xfId="4" applyNumberFormat="1" applyFont="1" applyFill="1" applyAlignment="1">
      <alignment horizontal="left" vertical="center"/>
    </xf>
    <xf numFmtId="184" fontId="30" fillId="0" borderId="21" xfId="4" applyNumberFormat="1" applyFont="1" applyBorder="1" applyAlignment="1">
      <alignment horizontal="left" vertical="center"/>
    </xf>
    <xf numFmtId="0" fontId="69" fillId="14" borderId="88" xfId="4" applyFont="1" applyFill="1" applyBorder="1" applyAlignment="1" applyProtection="1">
      <alignment horizontal="left" vertical="center" wrapText="1"/>
    </xf>
    <xf numFmtId="0" fontId="69" fillId="13" borderId="89" xfId="4" applyFont="1" applyFill="1" applyBorder="1" applyAlignment="1" applyProtection="1">
      <alignment horizontal="left" vertical="center" wrapText="1"/>
    </xf>
    <xf numFmtId="0" fontId="64" fillId="11" borderId="0" xfId="4" applyFont="1" applyFill="1" applyBorder="1" applyAlignment="1" applyProtection="1">
      <alignment horizontal="left" vertical="center"/>
      <protection locked="0"/>
    </xf>
    <xf numFmtId="0" fontId="63" fillId="0" borderId="0" xfId="4" applyFont="1" applyFill="1" applyBorder="1" applyAlignment="1" applyProtection="1">
      <alignment horizontal="left" vertical="center"/>
      <protection locked="0"/>
    </xf>
    <xf numFmtId="0" fontId="64" fillId="12" borderId="0" xfId="4" applyFont="1" applyFill="1" applyBorder="1" applyAlignment="1" applyProtection="1">
      <alignment horizontal="left" vertical="center"/>
      <protection locked="0"/>
    </xf>
    <xf numFmtId="10" fontId="64" fillId="12" borderId="90" xfId="4" applyNumberFormat="1" applyFont="1" applyFill="1" applyBorder="1" applyAlignment="1">
      <alignment horizontal="left" vertical="center"/>
    </xf>
    <xf numFmtId="0" fontId="69" fillId="14" borderId="78" xfId="8" applyFont="1" applyFill="1" applyBorder="1" applyAlignment="1" applyProtection="1">
      <alignment horizontal="left" vertical="center" wrapText="1"/>
    </xf>
    <xf numFmtId="0" fontId="69" fillId="14" borderId="91" xfId="8" applyFont="1" applyFill="1" applyBorder="1" applyAlignment="1" applyProtection="1">
      <alignment horizontal="left" vertical="center" wrapText="1"/>
    </xf>
    <xf numFmtId="10" fontId="30" fillId="0" borderId="75" xfId="4" applyNumberFormat="1" applyFont="1" applyBorder="1" applyAlignment="1">
      <alignment horizontal="left" vertical="center"/>
    </xf>
    <xf numFmtId="10" fontId="30" fillId="0" borderId="0" xfId="4" applyNumberFormat="1" applyFont="1" applyAlignment="1">
      <alignment horizontal="left" vertical="center"/>
    </xf>
    <xf numFmtId="0" fontId="69" fillId="14" borderId="91" xfId="4" applyFont="1" applyFill="1" applyBorder="1" applyAlignment="1" applyProtection="1">
      <alignment horizontal="left" vertical="center" wrapText="1"/>
    </xf>
    <xf numFmtId="0" fontId="69" fillId="13" borderId="92" xfId="4" applyFont="1" applyFill="1" applyBorder="1" applyAlignment="1" applyProtection="1">
      <alignment horizontal="left" vertical="center" wrapText="1"/>
    </xf>
    <xf numFmtId="0" fontId="69" fillId="13" borderId="91" xfId="4" applyFont="1" applyFill="1" applyBorder="1" applyAlignment="1" applyProtection="1">
      <alignment horizontal="left" vertical="center" wrapText="1"/>
    </xf>
    <xf numFmtId="0" fontId="69" fillId="13" borderId="93" xfId="4" applyFont="1" applyFill="1" applyBorder="1" applyAlignment="1" applyProtection="1">
      <alignment horizontal="left" vertical="center" wrapText="1"/>
    </xf>
    <xf numFmtId="10" fontId="30" fillId="0" borderId="94" xfId="4" applyNumberFormat="1" applyFont="1" applyBorder="1" applyAlignment="1">
      <alignment horizontal="left" vertical="center"/>
    </xf>
    <xf numFmtId="10" fontId="30" fillId="0" borderId="95" xfId="4" applyNumberFormat="1" applyFont="1" applyBorder="1" applyAlignment="1">
      <alignment horizontal="left" vertical="center"/>
    </xf>
    <xf numFmtId="0" fontId="69" fillId="14" borderId="92" xfId="4" applyFont="1" applyFill="1" applyBorder="1" applyAlignment="1" applyProtection="1">
      <alignment horizontal="left" vertical="center" wrapText="1"/>
    </xf>
    <xf numFmtId="10" fontId="30" fillId="0" borderId="0" xfId="4" applyNumberFormat="1" applyFont="1" applyBorder="1" applyAlignment="1">
      <alignment horizontal="left" vertical="center"/>
    </xf>
    <xf numFmtId="10" fontId="30" fillId="0" borderId="90" xfId="4" applyNumberFormat="1" applyFont="1" applyBorder="1" applyAlignment="1">
      <alignment horizontal="left" vertical="center"/>
    </xf>
    <xf numFmtId="10" fontId="30" fillId="0" borderId="96" xfId="4" applyNumberFormat="1" applyFont="1" applyBorder="1" applyAlignment="1">
      <alignment horizontal="left" vertical="center"/>
    </xf>
    <xf numFmtId="0" fontId="30" fillId="14" borderId="92" xfId="4" applyFont="1" applyFill="1" applyBorder="1" applyAlignment="1" applyProtection="1">
      <alignment horizontal="left" vertical="center" wrapText="1"/>
    </xf>
    <xf numFmtId="0" fontId="30" fillId="2" borderId="91" xfId="4" applyFont="1" applyFill="1" applyBorder="1" applyAlignment="1" applyProtection="1">
      <alignment horizontal="left" vertical="center" wrapText="1"/>
    </xf>
    <xf numFmtId="10" fontId="30" fillId="2" borderId="75" xfId="4" applyNumberFormat="1" applyFont="1" applyFill="1" applyBorder="1" applyAlignment="1">
      <alignment horizontal="left" vertical="center"/>
    </xf>
    <xf numFmtId="10" fontId="30" fillId="2" borderId="0" xfId="4" applyNumberFormat="1" applyFont="1" applyFill="1" applyAlignment="1">
      <alignment horizontal="left" vertical="center"/>
    </xf>
    <xf numFmtId="0" fontId="30" fillId="13" borderId="93" xfId="4" applyFont="1" applyFill="1" applyBorder="1" applyAlignment="1" applyProtection="1">
      <alignment horizontal="left" vertical="center" wrapText="1"/>
    </xf>
    <xf numFmtId="0" fontId="69" fillId="14" borderId="97" xfId="4" applyFont="1" applyFill="1" applyBorder="1" applyAlignment="1" applyProtection="1">
      <alignment horizontal="left" vertical="center" wrapText="1"/>
    </xf>
    <xf numFmtId="10" fontId="30" fillId="0" borderId="98" xfId="4" applyNumberFormat="1" applyFont="1" applyBorder="1" applyAlignment="1">
      <alignment horizontal="left" vertical="center"/>
    </xf>
    <xf numFmtId="10" fontId="30" fillId="0" borderId="21" xfId="4" applyNumberFormat="1" applyFont="1" applyBorder="1" applyAlignment="1">
      <alignment horizontal="left" vertical="center"/>
    </xf>
    <xf numFmtId="0" fontId="69" fillId="13" borderId="99" xfId="4" applyFont="1" applyFill="1" applyBorder="1" applyAlignment="1" applyProtection="1">
      <alignment horizontal="left" vertical="center" wrapText="1"/>
    </xf>
    <xf numFmtId="10" fontId="30" fillId="15" borderId="75" xfId="4" applyNumberFormat="1" applyFont="1" applyFill="1" applyBorder="1" applyAlignment="1">
      <alignment horizontal="left" vertical="center"/>
    </xf>
    <xf numFmtId="10" fontId="30" fillId="15" borderId="0" xfId="4" applyNumberFormat="1" applyFont="1" applyFill="1" applyAlignment="1">
      <alignment horizontal="left" vertical="center"/>
    </xf>
    <xf numFmtId="10" fontId="30" fillId="15" borderId="90" xfId="4" applyNumberFormat="1" applyFont="1" applyFill="1" applyBorder="1" applyAlignment="1">
      <alignment horizontal="left" vertical="center"/>
    </xf>
    <xf numFmtId="10" fontId="30" fillId="15" borderId="96" xfId="4" applyNumberFormat="1" applyFont="1" applyFill="1" applyBorder="1" applyAlignment="1">
      <alignment horizontal="left" vertical="center"/>
    </xf>
    <xf numFmtId="0" fontId="34" fillId="11" borderId="0" xfId="4" applyFont="1" applyFill="1" applyAlignment="1">
      <alignment horizontal="left" vertical="center"/>
    </xf>
    <xf numFmtId="0" fontId="30" fillId="11" borderId="0" xfId="4" applyFont="1" applyFill="1" applyAlignment="1">
      <alignment horizontal="left" vertical="center"/>
    </xf>
    <xf numFmtId="0" fontId="63" fillId="12" borderId="75" xfId="4" applyFont="1" applyFill="1" applyBorder="1" applyAlignment="1">
      <alignment horizontal="left" vertical="center"/>
    </xf>
    <xf numFmtId="0" fontId="21" fillId="2" borderId="0" xfId="4" applyFont="1" applyFill="1" applyAlignment="1">
      <alignment horizontal="left" vertical="center"/>
    </xf>
    <xf numFmtId="0" fontId="30" fillId="12" borderId="0" xfId="4" applyFont="1" applyFill="1" applyAlignment="1">
      <alignment horizontal="left" vertical="center"/>
    </xf>
    <xf numFmtId="187" fontId="30" fillId="0" borderId="0" xfId="4" applyNumberFormat="1" applyFont="1" applyAlignment="1">
      <alignment horizontal="left" vertical="center"/>
    </xf>
    <xf numFmtId="0" fontId="30" fillId="0" borderId="0" xfId="4" applyFont="1" applyFill="1" applyAlignment="1">
      <alignment horizontal="left" vertical="center"/>
    </xf>
    <xf numFmtId="186" fontId="30" fillId="0" borderId="75" xfId="4" applyNumberFormat="1" applyFont="1" applyBorder="1" applyAlignment="1">
      <alignment horizontal="left" vertical="center"/>
    </xf>
    <xf numFmtId="186" fontId="30" fillId="0" borderId="0" xfId="4" applyNumberFormat="1" applyFont="1" applyAlignment="1">
      <alignment horizontal="left" vertical="center"/>
    </xf>
    <xf numFmtId="187" fontId="30" fillId="2" borderId="0" xfId="4" applyNumberFormat="1" applyFont="1" applyFill="1" applyAlignment="1">
      <alignment horizontal="left" vertical="center"/>
    </xf>
    <xf numFmtId="10" fontId="30" fillId="2" borderId="90" xfId="4" applyNumberFormat="1" applyFont="1" applyFill="1" applyBorder="1" applyAlignment="1">
      <alignment horizontal="left" vertical="center"/>
    </xf>
    <xf numFmtId="10" fontId="30" fillId="2" borderId="96" xfId="4" applyNumberFormat="1" applyFont="1" applyFill="1" applyBorder="1" applyAlignment="1">
      <alignment horizontal="left" vertical="center"/>
    </xf>
    <xf numFmtId="0" fontId="36" fillId="2" borderId="0" xfId="4" applyFont="1" applyFill="1" applyAlignment="1">
      <alignment horizontal="left" vertical="center"/>
    </xf>
    <xf numFmtId="0" fontId="30" fillId="2" borderId="0" xfId="4" applyNumberFormat="1" applyFont="1" applyFill="1" applyAlignment="1">
      <alignment horizontal="left" vertical="center"/>
    </xf>
    <xf numFmtId="14" fontId="30" fillId="0" borderId="0" xfId="4" applyNumberFormat="1" applyFont="1" applyAlignment="1">
      <alignment horizontal="left" vertical="center"/>
    </xf>
    <xf numFmtId="0" fontId="30" fillId="0" borderId="0" xfId="4" applyNumberFormat="1" applyFont="1" applyAlignment="1">
      <alignment horizontal="left" vertical="center"/>
    </xf>
    <xf numFmtId="187" fontId="30" fillId="0" borderId="21" xfId="4" applyNumberFormat="1" applyFont="1" applyBorder="1" applyAlignment="1">
      <alignment horizontal="left" vertical="center"/>
    </xf>
    <xf numFmtId="180" fontId="30" fillId="0" borderId="0" xfId="4" applyNumberFormat="1" applyFont="1" applyAlignment="1">
      <alignment horizontal="left" vertical="center"/>
    </xf>
    <xf numFmtId="10" fontId="30" fillId="11" borderId="0" xfId="4" applyNumberFormat="1" applyFont="1" applyFill="1" applyAlignment="1">
      <alignment horizontal="left" vertical="center"/>
    </xf>
    <xf numFmtId="10" fontId="30" fillId="12" borderId="0" xfId="4" applyNumberFormat="1" applyFont="1" applyFill="1" applyAlignment="1">
      <alignment horizontal="left" vertical="center"/>
    </xf>
    <xf numFmtId="10" fontId="30" fillId="0" borderId="0" xfId="4" applyNumberFormat="1" applyFont="1" applyFill="1" applyAlignment="1">
      <alignment horizontal="left" vertical="center"/>
    </xf>
    <xf numFmtId="0" fontId="36" fillId="0" borderId="0" xfId="4" applyFont="1" applyAlignment="1">
      <alignment horizontal="left" vertical="center"/>
    </xf>
    <xf numFmtId="0" fontId="63" fillId="14" borderId="100" xfId="4" applyFont="1" applyFill="1" applyBorder="1" applyAlignment="1">
      <alignment horizontal="left" vertical="center" wrapText="1"/>
    </xf>
    <xf numFmtId="0" fontId="63" fillId="14" borderId="101" xfId="4" applyFont="1" applyFill="1" applyBorder="1" applyAlignment="1">
      <alignment horizontal="left" vertical="center" wrapText="1"/>
    </xf>
    <xf numFmtId="187" fontId="30" fillId="15" borderId="0" xfId="4" applyNumberFormat="1" applyFont="1" applyFill="1" applyAlignment="1">
      <alignment horizontal="left" vertical="center"/>
    </xf>
    <xf numFmtId="0" fontId="69" fillId="14" borderId="85" xfId="4" applyFont="1" applyFill="1" applyBorder="1" applyAlignment="1" applyProtection="1">
      <alignment horizontal="left" vertical="center" wrapText="1"/>
    </xf>
    <xf numFmtId="0" fontId="63" fillId="13" borderId="85" xfId="4" applyFont="1" applyFill="1" applyBorder="1" applyAlignment="1">
      <alignment horizontal="left" vertical="center" wrapText="1"/>
    </xf>
    <xf numFmtId="0" fontId="63" fillId="13" borderId="87" xfId="4" applyFont="1" applyFill="1" applyBorder="1" applyAlignment="1">
      <alignment horizontal="left" vertical="center" wrapText="1"/>
    </xf>
    <xf numFmtId="0" fontId="69" fillId="2" borderId="78" xfId="4" applyFont="1" applyFill="1" applyBorder="1" applyAlignment="1" applyProtection="1">
      <alignment horizontal="left" vertical="center" wrapText="1"/>
    </xf>
    <xf numFmtId="0" fontId="63" fillId="13" borderId="102" xfId="4" applyFont="1" applyFill="1" applyBorder="1" applyAlignment="1">
      <alignment horizontal="left" vertical="center" wrapText="1"/>
    </xf>
    <xf numFmtId="0" fontId="63" fillId="13" borderId="103" xfId="4" applyFont="1" applyFill="1" applyBorder="1" applyAlignment="1">
      <alignment horizontal="left" vertical="center" wrapText="1"/>
    </xf>
    <xf numFmtId="0" fontId="63" fillId="13" borderId="104" xfId="4" applyFont="1" applyFill="1" applyBorder="1" applyAlignment="1">
      <alignment horizontal="left" vertical="center" wrapText="1"/>
    </xf>
    <xf numFmtId="0" fontId="42" fillId="0" borderId="0" xfId="4" applyFont="1" applyAlignment="1">
      <alignment horizontal="left" vertical="center"/>
    </xf>
    <xf numFmtId="0" fontId="21" fillId="0" borderId="75" xfId="4" applyFont="1" applyBorder="1" applyAlignment="1">
      <alignment horizontal="left" vertical="center"/>
    </xf>
    <xf numFmtId="10" fontId="30" fillId="15" borderId="98" xfId="4" applyNumberFormat="1" applyFont="1" applyFill="1" applyBorder="1" applyAlignment="1">
      <alignment horizontal="left" vertical="center"/>
    </xf>
    <xf numFmtId="10" fontId="30" fillId="15" borderId="21" xfId="4" applyNumberFormat="1" applyFont="1" applyFill="1" applyBorder="1" applyAlignment="1">
      <alignment horizontal="left" vertical="center"/>
    </xf>
    <xf numFmtId="193" fontId="30" fillId="0" borderId="0" xfId="4" applyNumberFormat="1" applyFont="1" applyAlignment="1">
      <alignment horizontal="left" vertical="center"/>
    </xf>
    <xf numFmtId="193" fontId="30" fillId="0" borderId="75" xfId="4" applyNumberFormat="1" applyFont="1" applyBorder="1" applyAlignment="1">
      <alignment horizontal="left" vertical="center"/>
    </xf>
    <xf numFmtId="193" fontId="30" fillId="2" borderId="0" xfId="4" applyNumberFormat="1" applyFont="1" applyFill="1" applyAlignment="1">
      <alignment horizontal="left" vertical="center"/>
    </xf>
    <xf numFmtId="0" fontId="30" fillId="2" borderId="75" xfId="4" applyFont="1" applyFill="1" applyBorder="1" applyAlignment="1">
      <alignment horizontal="left" vertical="center"/>
    </xf>
    <xf numFmtId="193" fontId="21" fillId="0" borderId="0" xfId="4" applyNumberFormat="1" applyFont="1" applyAlignment="1">
      <alignment horizontal="left" vertical="center"/>
    </xf>
    <xf numFmtId="193" fontId="21" fillId="0" borderId="75" xfId="4" applyNumberFormat="1" applyFont="1" applyBorder="1" applyAlignment="1">
      <alignment horizontal="left" vertical="center"/>
    </xf>
    <xf numFmtId="180" fontId="30" fillId="0" borderId="21" xfId="4" applyNumberFormat="1" applyFont="1" applyBorder="1" applyAlignment="1">
      <alignment horizontal="left" vertical="center"/>
    </xf>
    <xf numFmtId="180" fontId="30" fillId="2" borderId="0" xfId="4" applyNumberFormat="1" applyFont="1" applyFill="1" applyAlignment="1">
      <alignment horizontal="left" vertical="center"/>
    </xf>
    <xf numFmtId="0" fontId="69" fillId="14" borderId="105" xfId="4" applyFont="1" applyFill="1" applyBorder="1" applyAlignment="1">
      <alignment horizontal="left" vertical="center" wrapText="1"/>
    </xf>
    <xf numFmtId="0" fontId="69" fillId="14" borderId="79" xfId="4" applyFont="1" applyFill="1" applyBorder="1" applyAlignment="1">
      <alignment horizontal="left" vertical="center" wrapText="1"/>
    </xf>
    <xf numFmtId="0" fontId="69" fillId="13" borderId="106" xfId="4" applyFont="1" applyFill="1" applyBorder="1" applyAlignment="1">
      <alignment horizontal="left" vertical="center" wrapText="1"/>
    </xf>
    <xf numFmtId="0" fontId="69" fillId="13" borderId="78" xfId="4" applyFont="1" applyFill="1" applyBorder="1" applyAlignment="1">
      <alignment horizontal="left" vertical="center" wrapText="1"/>
    </xf>
    <xf numFmtId="0" fontId="69" fillId="14" borderId="106" xfId="4" applyFont="1" applyFill="1" applyBorder="1" applyAlignment="1">
      <alignment horizontal="left" vertical="center" wrapText="1"/>
    </xf>
    <xf numFmtId="0" fontId="69" fillId="14" borderId="78" xfId="4" applyFont="1" applyFill="1" applyBorder="1" applyAlignment="1">
      <alignment horizontal="left" vertical="center" wrapText="1"/>
    </xf>
    <xf numFmtId="0" fontId="69" fillId="13" borderId="107" xfId="4" applyFont="1" applyFill="1" applyBorder="1" applyAlignment="1">
      <alignment horizontal="left" vertical="center" wrapText="1"/>
    </xf>
    <xf numFmtId="0" fontId="69" fillId="13" borderId="85" xfId="4" applyFont="1" applyFill="1" applyBorder="1" applyAlignment="1">
      <alignment horizontal="left" vertical="center" wrapText="1"/>
    </xf>
    <xf numFmtId="0" fontId="68" fillId="0" borderId="0" xfId="0" applyFont="1">
      <alignment vertical="center"/>
    </xf>
    <xf numFmtId="49" fontId="53" fillId="7" borderId="37" xfId="0" applyNumberFormat="1" applyFont="1" applyFill="1" applyBorder="1" applyAlignment="1" applyProtection="1"/>
    <xf numFmtId="0" fontId="68" fillId="7" borderId="0" xfId="0" applyFont="1" applyFill="1">
      <alignment vertical="center"/>
    </xf>
    <xf numFmtId="0" fontId="68" fillId="14" borderId="0" xfId="0" applyFont="1" applyFill="1" applyProtection="1">
      <alignment vertical="center"/>
      <protection locked="0"/>
    </xf>
    <xf numFmtId="0" fontId="70" fillId="7" borderId="1" xfId="0" applyFont="1" applyFill="1" applyBorder="1">
      <alignment vertical="center"/>
    </xf>
    <xf numFmtId="0" fontId="68" fillId="7" borderId="1" xfId="0" applyFont="1" applyFill="1" applyBorder="1" applyAlignment="1">
      <alignment horizontal="right" vertical="center"/>
    </xf>
    <xf numFmtId="0" fontId="68" fillId="7" borderId="1" xfId="0" applyFont="1" applyFill="1" applyBorder="1" applyAlignment="1">
      <alignment horizontal="left" vertical="center"/>
    </xf>
    <xf numFmtId="0" fontId="70" fillId="14" borderId="0" xfId="0" applyFont="1" applyFill="1" applyProtection="1">
      <alignment vertical="center"/>
      <protection locked="0"/>
    </xf>
    <xf numFmtId="0" fontId="70" fillId="7" borderId="1" xfId="0" applyFont="1" applyFill="1" applyBorder="1" applyAlignment="1">
      <alignment horizontal="left" vertical="center" wrapText="1"/>
    </xf>
    <xf numFmtId="0" fontId="70" fillId="7" borderId="1" xfId="0" applyFont="1" applyFill="1" applyBorder="1" applyAlignment="1">
      <alignment horizontal="center" vertical="center"/>
    </xf>
    <xf numFmtId="0" fontId="68" fillId="7" borderId="1" xfId="0" applyFont="1" applyFill="1" applyBorder="1">
      <alignment vertical="center"/>
    </xf>
    <xf numFmtId="0" fontId="70" fillId="7" borderId="1" xfId="0" applyFont="1" applyFill="1" applyBorder="1" applyAlignment="1">
      <alignment horizontal="left" vertical="center"/>
    </xf>
    <xf numFmtId="0" fontId="70" fillId="2"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71" fillId="0" borderId="96" xfId="11" applyNumberFormat="1" applyFont="1" applyBorder="1" applyAlignment="1" applyProtection="1">
      <alignment vertical="center"/>
    </xf>
    <xf numFmtId="0" fontId="71" fillId="0" borderId="96" xfId="11" applyNumberFormat="1" applyFont="1" applyBorder="1" applyAlignment="1" applyProtection="1">
      <alignment vertical="center"/>
    </xf>
    <xf numFmtId="189" fontId="72" fillId="7" borderId="1" xfId="11" applyNumberFormat="1" applyFont="1" applyFill="1" applyBorder="1" applyAlignment="1" applyProtection="1">
      <alignment horizontal="center" vertical="center"/>
    </xf>
    <xf numFmtId="0" fontId="72" fillId="7" borderId="1" xfId="11" applyNumberFormat="1" applyFont="1" applyFill="1" applyBorder="1" applyAlignment="1" applyProtection="1">
      <alignment horizontal="center" vertical="center"/>
    </xf>
    <xf numFmtId="0" fontId="72" fillId="7" borderId="1" xfId="11" applyNumberFormat="1" applyFont="1" applyFill="1" applyBorder="1" applyAlignment="1" applyProtection="1">
      <alignment horizontal="center" vertical="center" wrapText="1"/>
    </xf>
    <xf numFmtId="0" fontId="73" fillId="7" borderId="1" xfId="11" applyNumberFormat="1" applyFont="1" applyFill="1" applyBorder="1" applyAlignment="1" applyProtection="1">
      <alignment horizontal="center" vertical="center"/>
    </xf>
    <xf numFmtId="189" fontId="72" fillId="7" borderId="1" xfId="11" applyNumberFormat="1" applyFont="1" applyFill="1" applyBorder="1" applyAlignment="1" applyProtection="1">
      <alignment horizontal="center" vertical="center" wrapText="1"/>
    </xf>
    <xf numFmtId="0" fontId="72" fillId="7"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7" borderId="18" xfId="0" applyFill="1" applyBorder="1" applyAlignment="1" applyProtection="1">
      <alignment horizontal="right" vertical="center"/>
    </xf>
    <xf numFmtId="0" fontId="0" fillId="7" borderId="7" xfId="0" applyFill="1" applyBorder="1" applyAlignment="1" applyProtection="1">
      <alignment horizontal="center" vertical="center"/>
    </xf>
    <xf numFmtId="180" fontId="0" fillId="7" borderId="8" xfId="0" applyNumberFormat="1" applyFill="1" applyBorder="1" applyAlignment="1" applyProtection="1">
      <alignment horizontal="center" vertical="center"/>
    </xf>
    <xf numFmtId="180" fontId="0" fillId="7" borderId="32" xfId="0" applyNumberFormat="1" applyFill="1" applyBorder="1" applyAlignment="1" applyProtection="1">
      <alignment horizontal="center" vertical="center"/>
    </xf>
    <xf numFmtId="0" fontId="0" fillId="7" borderId="10" xfId="0" applyFill="1" applyBorder="1" applyAlignment="1" applyProtection="1">
      <alignment horizontal="center" vertical="center"/>
    </xf>
    <xf numFmtId="180" fontId="0" fillId="7" borderId="1" xfId="0" applyNumberFormat="1" applyFill="1" applyBorder="1" applyAlignment="1" applyProtection="1">
      <alignment horizontal="center" vertical="center"/>
    </xf>
    <xf numFmtId="180" fontId="0" fillId="7" borderId="2" xfId="0" applyNumberFormat="1" applyFill="1" applyBorder="1" applyAlignment="1" applyProtection="1">
      <alignment horizontal="center" vertical="center"/>
    </xf>
    <xf numFmtId="0" fontId="0" fillId="7" borderId="12" xfId="0" applyFill="1" applyBorder="1" applyAlignment="1" applyProtection="1">
      <alignment horizontal="center" vertical="center"/>
    </xf>
    <xf numFmtId="180" fontId="0" fillId="7" borderId="33" xfId="0" applyNumberFormat="1" applyFill="1" applyBorder="1" applyAlignment="1" applyProtection="1">
      <alignment horizontal="center" vertical="center"/>
    </xf>
    <xf numFmtId="180" fontId="0" fillId="7" borderId="13" xfId="0" applyNumberFormat="1" applyFill="1" applyBorder="1" applyAlignment="1" applyProtection="1">
      <alignment horizontal="center" vertical="center"/>
    </xf>
    <xf numFmtId="0" fontId="3" fillId="7" borderId="7" xfId="0" applyFont="1" applyFill="1" applyBorder="1" applyAlignment="1" applyProtection="1">
      <alignment horizontal="center" vertical="center" wrapText="1"/>
    </xf>
    <xf numFmtId="0" fontId="3" fillId="7" borderId="8" xfId="0"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xf>
    <xf numFmtId="0" fontId="3" fillId="7" borderId="1" xfId="0" applyFont="1" applyFill="1" applyBorder="1" applyAlignment="1" applyProtection="1">
      <alignment horizontal="center" vertical="center" wrapText="1"/>
    </xf>
    <xf numFmtId="0" fontId="3" fillId="7" borderId="51" xfId="0" applyFont="1" applyFill="1" applyBorder="1" applyAlignment="1" applyProtection="1">
      <alignment horizontal="center" vertical="center" wrapText="1"/>
    </xf>
    <xf numFmtId="0" fontId="3" fillId="7" borderId="15" xfId="0" applyFont="1" applyFill="1" applyBorder="1" applyAlignment="1" applyProtection="1">
      <alignment horizontal="center" vertical="center" wrapText="1"/>
    </xf>
    <xf numFmtId="0" fontId="0" fillId="7" borderId="1" xfId="0" applyFill="1" applyBorder="1" applyAlignment="1" applyProtection="1">
      <alignment horizontal="center" vertical="center"/>
    </xf>
    <xf numFmtId="0" fontId="74" fillId="7" borderId="96" xfId="0" applyFont="1" applyFill="1" applyBorder="1" applyAlignment="1" applyProtection="1">
      <alignment vertical="center"/>
    </xf>
    <xf numFmtId="0" fontId="74" fillId="7" borderId="0" xfId="0" applyFont="1" applyFill="1" applyBorder="1" applyAlignment="1" applyProtection="1">
      <alignment vertical="center"/>
    </xf>
    <xf numFmtId="0" fontId="3" fillId="7" borderId="2" xfId="0" applyFont="1" applyFill="1" applyBorder="1" applyAlignment="1" applyProtection="1">
      <alignment horizontal="center" vertical="center" wrapText="1"/>
    </xf>
    <xf numFmtId="0" fontId="3" fillId="7" borderId="4" xfId="0" applyFont="1" applyFill="1" applyBorder="1" applyAlignment="1" applyProtection="1">
      <alignment horizontal="center" vertical="center" wrapText="1"/>
    </xf>
    <xf numFmtId="0" fontId="3" fillId="7" borderId="0" xfId="0" applyFont="1" applyFill="1" applyBorder="1" applyAlignment="1" applyProtection="1">
      <alignment horizontal="center" vertical="center" wrapText="1"/>
    </xf>
    <xf numFmtId="0" fontId="3" fillId="7" borderId="1" xfId="0" applyFont="1" applyFill="1" applyBorder="1" applyAlignment="1" applyProtection="1">
      <alignment horizontal="center" vertical="center"/>
    </xf>
    <xf numFmtId="0" fontId="3" fillId="7" borderId="2" xfId="0" applyFont="1" applyFill="1" applyBorder="1" applyAlignment="1" applyProtection="1">
      <alignment horizontal="left" vertical="center"/>
    </xf>
    <xf numFmtId="0" fontId="3" fillId="7" borderId="4" xfId="0" applyFont="1" applyFill="1" applyBorder="1" applyAlignment="1" applyProtection="1">
      <alignment horizontal="left" vertical="center"/>
    </xf>
    <xf numFmtId="0" fontId="3" fillId="7" borderId="0" xfId="0" applyFont="1" applyFill="1" applyBorder="1" applyAlignment="1" applyProtection="1">
      <alignment vertical="center"/>
    </xf>
    <xf numFmtId="0" fontId="3" fillId="7" borderId="0" xfId="0" applyFont="1" applyFill="1" applyBorder="1" applyAlignment="1" applyProtection="1">
      <alignment horizontal="center" vertical="center"/>
    </xf>
    <xf numFmtId="0" fontId="3" fillId="0" borderId="95" xfId="0" applyFont="1" applyBorder="1" applyAlignment="1" applyProtection="1">
      <alignment vertical="center"/>
    </xf>
    <xf numFmtId="0" fontId="3" fillId="0" borderId="0" xfId="0" applyFont="1" applyBorder="1" applyAlignment="1" applyProtection="1">
      <alignment vertical="center"/>
    </xf>
    <xf numFmtId="0" fontId="3" fillId="7" borderId="34" xfId="0" applyFont="1" applyFill="1" applyBorder="1" applyAlignment="1" applyProtection="1">
      <alignment vertical="center" wrapText="1"/>
    </xf>
    <xf numFmtId="0" fontId="3" fillId="7" borderId="16" xfId="0" applyFont="1" applyFill="1" applyBorder="1" applyAlignment="1" applyProtection="1">
      <alignment vertical="center" wrapText="1"/>
    </xf>
    <xf numFmtId="0" fontId="3" fillId="7" borderId="108" xfId="0" applyFont="1" applyFill="1" applyBorder="1" applyAlignment="1" applyProtection="1">
      <alignment vertical="center" wrapText="1"/>
    </xf>
    <xf numFmtId="0" fontId="3" fillId="7" borderId="16" xfId="0" applyFont="1" applyFill="1" applyBorder="1" applyAlignment="1" applyProtection="1">
      <alignment horizontal="center" vertical="center"/>
    </xf>
    <xf numFmtId="0" fontId="3" fillId="7" borderId="0" xfId="0" applyFont="1" applyFill="1" applyAlignment="1" applyProtection="1">
      <alignment horizontal="center" vertical="center"/>
    </xf>
    <xf numFmtId="9" fontId="3" fillId="7" borderId="1" xfId="0" applyNumberFormat="1" applyFont="1" applyFill="1" applyBorder="1" applyAlignment="1" applyProtection="1">
      <alignment horizontal="center" vertical="center"/>
    </xf>
    <xf numFmtId="180" fontId="0" fillId="7" borderId="9" xfId="0" applyNumberFormat="1" applyFill="1" applyBorder="1" applyAlignment="1" applyProtection="1">
      <alignment horizontal="center" vertical="center"/>
    </xf>
    <xf numFmtId="180" fontId="0" fillId="7" borderId="11" xfId="0" applyNumberFormat="1" applyFill="1" applyBorder="1" applyAlignment="1" applyProtection="1">
      <alignment horizontal="center" vertical="center"/>
    </xf>
    <xf numFmtId="180" fontId="0" fillId="7" borderId="14" xfId="0" applyNumberFormat="1" applyFill="1" applyBorder="1" applyAlignment="1" applyProtection="1">
      <alignment horizontal="center" vertical="center"/>
    </xf>
    <xf numFmtId="0" fontId="3" fillId="7" borderId="9" xfId="0" applyFont="1" applyFill="1" applyBorder="1" applyAlignment="1" applyProtection="1">
      <alignment horizontal="center" vertical="center" wrapText="1"/>
    </xf>
    <xf numFmtId="0" fontId="3" fillId="7" borderId="11" xfId="0" applyFont="1" applyFill="1" applyBorder="1" applyAlignment="1" applyProtection="1">
      <alignment horizontal="center" vertical="center" wrapText="1"/>
    </xf>
    <xf numFmtId="0" fontId="3" fillId="7" borderId="40" xfId="0" applyFont="1" applyFill="1" applyBorder="1" applyAlignment="1" applyProtection="1">
      <alignment horizontal="center" vertical="center" wrapText="1"/>
    </xf>
    <xf numFmtId="0" fontId="75" fillId="0" borderId="0" xfId="0" applyFont="1" applyAlignment="1" applyProtection="1">
      <alignment vertical="center" wrapText="1"/>
    </xf>
    <xf numFmtId="0" fontId="20" fillId="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4" borderId="0" xfId="0" applyFont="1" applyFill="1" applyAlignment="1" applyProtection="1">
      <alignment vertical="center" wrapText="1"/>
    </xf>
    <xf numFmtId="0" fontId="20" fillId="4" borderId="0" xfId="0" applyFont="1" applyFill="1" applyAlignment="1" applyProtection="1">
      <alignment horizontal="center" vertical="center" wrapText="1"/>
    </xf>
    <xf numFmtId="0" fontId="20" fillId="7" borderId="1" xfId="0" applyFont="1" applyFill="1" applyBorder="1" applyAlignment="1" applyProtection="1">
      <alignment vertical="center" wrapText="1"/>
    </xf>
    <xf numFmtId="0" fontId="20" fillId="7" borderId="0" xfId="0" applyFont="1" applyFill="1" applyAlignment="1" applyProtection="1">
      <alignment vertical="center" wrapText="1"/>
    </xf>
    <xf numFmtId="0" fontId="51" fillId="7" borderId="2" xfId="14" applyFont="1" applyFill="1" applyBorder="1" applyAlignment="1" applyProtection="1">
      <alignment vertical="center"/>
    </xf>
    <xf numFmtId="0" fontId="20" fillId="7" borderId="1"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center" vertical="center" wrapText="1"/>
      <protection locked="0"/>
    </xf>
    <xf numFmtId="0" fontId="20" fillId="7" borderId="1" xfId="0" applyNumberFormat="1" applyFont="1" applyFill="1" applyBorder="1" applyAlignment="1" applyProtection="1">
      <alignment horizontal="center" vertical="center" wrapText="1"/>
    </xf>
    <xf numFmtId="0" fontId="20" fillId="2" borderId="1" xfId="0" applyNumberFormat="1" applyFont="1" applyFill="1" applyBorder="1" applyAlignment="1" applyProtection="1">
      <alignment vertical="center" wrapText="1"/>
      <protection locked="0"/>
    </xf>
    <xf numFmtId="0" fontId="20" fillId="2" borderId="1" xfId="0" applyFont="1" applyFill="1" applyBorder="1" applyAlignment="1" applyProtection="1">
      <alignment horizontal="left" vertical="center"/>
      <protection locked="0"/>
    </xf>
    <xf numFmtId="189" fontId="75" fillId="7" borderId="1" xfId="0" applyNumberFormat="1" applyFont="1" applyFill="1" applyBorder="1" applyAlignment="1" applyProtection="1">
      <alignment horizontal="center" vertical="center" wrapText="1"/>
    </xf>
    <xf numFmtId="0" fontId="20" fillId="7" borderId="1" xfId="0" applyFont="1" applyFill="1" applyBorder="1" applyAlignment="1" applyProtection="1">
      <alignment horizontal="left" vertical="center" wrapText="1"/>
    </xf>
    <xf numFmtId="49" fontId="76" fillId="7" borderId="15" xfId="0" applyNumberFormat="1" applyFont="1" applyFill="1" applyBorder="1" applyAlignment="1" applyProtection="1">
      <alignment horizontal="left" vertical="center" wrapText="1"/>
    </xf>
    <xf numFmtId="0" fontId="76" fillId="7" borderId="15" xfId="0" applyFont="1" applyFill="1" applyBorder="1" applyAlignment="1" applyProtection="1">
      <alignment horizontal="left" vertical="center" wrapText="1"/>
    </xf>
    <xf numFmtId="0" fontId="76" fillId="7" borderId="95" xfId="0" applyFont="1" applyFill="1" applyBorder="1" applyAlignment="1" applyProtection="1">
      <alignment horizontal="center" vertical="center"/>
    </xf>
    <xf numFmtId="0" fontId="77" fillId="7" borderId="13" xfId="0" applyFont="1" applyFill="1" applyBorder="1" applyAlignment="1" applyProtection="1">
      <alignment horizontal="center" vertical="center"/>
    </xf>
    <xf numFmtId="0" fontId="76" fillId="7" borderId="95" xfId="0" applyFont="1" applyFill="1" applyBorder="1" applyAlignment="1" applyProtection="1">
      <alignment vertical="center" wrapText="1"/>
    </xf>
    <xf numFmtId="0" fontId="75" fillId="7" borderId="95" xfId="0" applyFont="1" applyFill="1" applyBorder="1" applyAlignment="1" applyProtection="1">
      <alignment vertical="center" wrapText="1"/>
    </xf>
    <xf numFmtId="49" fontId="52" fillId="7" borderId="19" xfId="0" applyNumberFormat="1" applyFont="1" applyFill="1" applyBorder="1" applyAlignment="1" applyProtection="1">
      <alignment horizontal="center" vertical="center" wrapText="1"/>
    </xf>
    <xf numFmtId="0" fontId="52" fillId="7" borderId="25" xfId="0" applyFont="1" applyFill="1" applyBorder="1" applyAlignment="1" applyProtection="1">
      <alignment horizontal="left" vertical="center" wrapText="1"/>
    </xf>
    <xf numFmtId="0" fontId="52" fillId="7" borderId="109" xfId="0" applyFont="1" applyFill="1" applyBorder="1" applyAlignment="1" applyProtection="1">
      <alignment horizontal="center" vertical="center"/>
    </xf>
    <xf numFmtId="0" fontId="21" fillId="7" borderId="109" xfId="0" applyFont="1" applyFill="1" applyBorder="1" applyAlignment="1" applyProtection="1">
      <alignment vertical="center"/>
    </xf>
    <xf numFmtId="0" fontId="52" fillId="7" borderId="25" xfId="0" applyFont="1" applyFill="1" applyBorder="1" applyAlignment="1" applyProtection="1">
      <alignment horizontal="center" vertical="center" wrapText="1"/>
    </xf>
    <xf numFmtId="0" fontId="20" fillId="7" borderId="25" xfId="0" applyFont="1" applyFill="1" applyBorder="1" applyAlignment="1" applyProtection="1">
      <alignment vertical="center" wrapText="1"/>
    </xf>
    <xf numFmtId="0" fontId="52" fillId="7" borderId="8" xfId="0" applyFont="1" applyFill="1" applyBorder="1" applyAlignment="1" applyProtection="1">
      <alignment horizontal="left" vertical="center" wrapText="1"/>
    </xf>
    <xf numFmtId="0" fontId="52" fillId="7" borderId="32" xfId="0" applyNumberFormat="1" applyFont="1" applyFill="1" applyBorder="1" applyAlignment="1" applyProtection="1">
      <alignment horizontal="center" vertical="center" wrapText="1"/>
    </xf>
    <xf numFmtId="0" fontId="20" fillId="7" borderId="8" xfId="0" applyFont="1" applyFill="1" applyBorder="1" applyAlignment="1" applyProtection="1">
      <alignment horizontal="center" vertical="center" wrapText="1"/>
    </xf>
    <xf numFmtId="0" fontId="20" fillId="0" borderId="8" xfId="0" applyFont="1" applyFill="1" applyBorder="1" applyAlignment="1" applyProtection="1">
      <alignment horizontal="center" vertical="center" wrapText="1"/>
      <protection locked="0"/>
    </xf>
    <xf numFmtId="0" fontId="20" fillId="7" borderId="31" xfId="0" applyFont="1" applyFill="1" applyBorder="1" applyAlignment="1" applyProtection="1">
      <alignment horizontal="center" vertical="center" wrapText="1"/>
    </xf>
    <xf numFmtId="0" fontId="20" fillId="7" borderId="31" xfId="0" applyFont="1" applyFill="1" applyBorder="1" applyAlignment="1" applyProtection="1">
      <alignment vertical="center" wrapText="1"/>
    </xf>
    <xf numFmtId="0" fontId="20" fillId="2" borderId="1" xfId="0" applyFont="1" applyFill="1" applyBorder="1" applyAlignment="1" applyProtection="1">
      <alignment horizontal="center" vertical="center" wrapText="1"/>
      <protection locked="0"/>
    </xf>
    <xf numFmtId="0" fontId="20" fillId="7" borderId="16" xfId="0" applyFont="1" applyFill="1" applyBorder="1" applyAlignment="1" applyProtection="1">
      <alignment horizontal="center" vertical="center" wrapText="1"/>
    </xf>
    <xf numFmtId="0" fontId="20" fillId="7" borderId="34" xfId="0" applyFont="1" applyFill="1" applyBorder="1" applyAlignment="1" applyProtection="1">
      <alignment horizontal="center" vertical="center" wrapText="1"/>
    </xf>
    <xf numFmtId="0" fontId="20" fillId="7" borderId="2" xfId="0" applyFont="1" applyFill="1" applyBorder="1" applyAlignment="1" applyProtection="1">
      <alignment vertical="center"/>
    </xf>
    <xf numFmtId="0" fontId="20" fillId="7" borderId="3" xfId="0" applyFont="1" applyFill="1" applyBorder="1" applyAlignment="1" applyProtection="1">
      <alignment vertical="center" wrapText="1"/>
    </xf>
    <xf numFmtId="9" fontId="20" fillId="7" borderId="1" xfId="0" applyNumberFormat="1" applyFont="1" applyFill="1" applyBorder="1" applyAlignment="1" applyProtection="1">
      <alignment horizontal="center" vertical="center" wrapText="1"/>
    </xf>
    <xf numFmtId="0" fontId="20" fillId="7" borderId="1" xfId="0" applyFont="1" applyFill="1" applyBorder="1" applyAlignment="1" applyProtection="1">
      <alignment horizontal="center" vertical="center" wrapText="1"/>
    </xf>
    <xf numFmtId="0" fontId="20" fillId="7" borderId="15" xfId="0" applyFont="1" applyFill="1" applyBorder="1" applyAlignment="1" applyProtection="1">
      <alignment horizontal="left" vertical="center" wrapText="1"/>
    </xf>
    <xf numFmtId="0" fontId="20" fillId="7" borderId="15" xfId="0" applyFont="1" applyFill="1" applyBorder="1" applyAlignment="1" applyProtection="1">
      <alignment horizontal="center" vertical="center" wrapText="1"/>
    </xf>
    <xf numFmtId="0" fontId="20" fillId="7" borderId="48" xfId="0" applyFont="1" applyFill="1" applyBorder="1" applyAlignment="1" applyProtection="1">
      <alignment vertical="center"/>
    </xf>
    <xf numFmtId="0" fontId="20" fillId="7" borderId="95" xfId="0" applyFont="1" applyFill="1" applyBorder="1" applyAlignment="1" applyProtection="1">
      <alignment vertical="center" wrapText="1"/>
    </xf>
    <xf numFmtId="0" fontId="52" fillId="7" borderId="35" xfId="0" applyFont="1" applyFill="1" applyBorder="1" applyAlignment="1" applyProtection="1">
      <alignment horizontal="left" vertical="center" wrapText="1"/>
    </xf>
    <xf numFmtId="0" fontId="20" fillId="7" borderId="32" xfId="0" applyFont="1" applyFill="1" applyBorder="1" applyAlignment="1" applyProtection="1">
      <alignment vertical="center"/>
    </xf>
    <xf numFmtId="0" fontId="20" fillId="7" borderId="38" xfId="0" applyFont="1" applyFill="1" applyBorder="1" applyAlignment="1" applyProtection="1">
      <alignment horizontal="center" vertical="center" wrapText="1"/>
    </xf>
    <xf numFmtId="0" fontId="20" fillId="7" borderId="38" xfId="0" applyFont="1" applyFill="1" applyBorder="1" applyAlignment="1" applyProtection="1">
      <alignment vertical="center" wrapText="1"/>
    </xf>
    <xf numFmtId="0" fontId="30" fillId="7" borderId="15" xfId="0" applyFont="1" applyFill="1" applyBorder="1" applyAlignment="1" applyProtection="1">
      <alignment horizontal="left" vertical="center" wrapText="1"/>
    </xf>
    <xf numFmtId="0" fontId="30" fillId="7" borderId="4" xfId="0" applyFont="1" applyFill="1" applyBorder="1" applyAlignment="1" applyProtection="1">
      <alignment horizontal="center" vertical="center" wrapText="1"/>
    </xf>
    <xf numFmtId="0" fontId="30" fillId="7" borderId="16" xfId="0" applyFont="1" applyFill="1" applyBorder="1" applyAlignment="1" applyProtection="1">
      <alignment horizontal="center" vertical="center" wrapText="1"/>
    </xf>
    <xf numFmtId="0" fontId="58" fillId="7" borderId="16"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protection locked="0"/>
    </xf>
    <xf numFmtId="0" fontId="30" fillId="7" borderId="16" xfId="0" applyFont="1" applyFill="1" applyBorder="1" applyAlignment="1" applyProtection="1">
      <alignment horizontal="left" vertical="center" wrapText="1"/>
    </xf>
    <xf numFmtId="0" fontId="30" fillId="2" borderId="4" xfId="0" applyFon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protection locked="0"/>
    </xf>
    <xf numFmtId="0" fontId="59" fillId="7" borderId="34" xfId="0" applyFont="1" applyFill="1" applyBorder="1" applyAlignment="1" applyProtection="1">
      <alignment vertical="center"/>
    </xf>
    <xf numFmtId="0" fontId="20" fillId="7" borderId="0" xfId="0" applyFont="1" applyFill="1" applyBorder="1" applyAlignment="1" applyProtection="1">
      <alignment vertical="center" wrapText="1"/>
    </xf>
    <xf numFmtId="0" fontId="30" fillId="7" borderId="20" xfId="0" applyFont="1" applyFill="1" applyBorder="1" applyAlignment="1" applyProtection="1">
      <alignment horizontal="left" vertical="center" wrapText="1"/>
    </xf>
    <xf numFmtId="0" fontId="20" fillId="7" borderId="13"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protection locked="0"/>
    </xf>
    <xf numFmtId="0" fontId="52" fillId="7" borderId="8" xfId="0" applyFont="1" applyFill="1" applyBorder="1" applyAlignment="1" applyProtection="1">
      <alignment horizontal="center" vertical="center" wrapText="1"/>
    </xf>
    <xf numFmtId="0" fontId="20" fillId="7" borderId="17" xfId="0" applyFont="1" applyFill="1" applyBorder="1" applyAlignment="1" applyProtection="1">
      <alignment horizontal="center" vertical="center" wrapText="1"/>
    </xf>
    <xf numFmtId="0" fontId="20" fillId="2" borderId="8" xfId="0" applyFont="1" applyFill="1" applyBorder="1" applyAlignment="1" applyProtection="1">
      <alignment horizontal="center" vertical="center" wrapText="1"/>
      <protection locked="0"/>
    </xf>
    <xf numFmtId="0" fontId="20" fillId="7" borderId="13" xfId="0" applyFont="1" applyFill="1" applyBorder="1" applyAlignment="1" applyProtection="1">
      <alignment horizontal="left" vertical="center"/>
    </xf>
    <xf numFmtId="0" fontId="20" fillId="7" borderId="20" xfId="0" applyFont="1" applyFill="1" applyBorder="1" applyAlignment="1" applyProtection="1">
      <alignment horizontal="center" vertical="center" wrapText="1"/>
    </xf>
    <xf numFmtId="0" fontId="20" fillId="7" borderId="33" xfId="0" applyFont="1" applyFill="1" applyBorder="1" applyAlignment="1" applyProtection="1">
      <alignment horizontal="center" vertical="center" wrapText="1"/>
    </xf>
    <xf numFmtId="0" fontId="20" fillId="2" borderId="13" xfId="0" applyFont="1" applyFill="1" applyBorder="1" applyAlignment="1" applyProtection="1">
      <alignment horizontal="right" vertical="center" wrapText="1"/>
      <protection locked="0"/>
    </xf>
    <xf numFmtId="0" fontId="20" fillId="7" borderId="62" xfId="0" applyFont="1" applyFill="1" applyBorder="1" applyAlignment="1" applyProtection="1">
      <alignment horizontal="center" vertical="center" wrapText="1"/>
    </xf>
    <xf numFmtId="49" fontId="76" fillId="7" borderId="110" xfId="0" applyNumberFormat="1" applyFont="1" applyFill="1" applyBorder="1" applyAlignment="1" applyProtection="1">
      <alignment horizontal="left" vertical="center" wrapText="1"/>
    </xf>
    <xf numFmtId="0" fontId="76" fillId="7" borderId="20" xfId="0" applyFont="1" applyFill="1" applyBorder="1" applyAlignment="1" applyProtection="1">
      <alignment horizontal="left" vertical="center" wrapText="1"/>
    </xf>
    <xf numFmtId="0" fontId="76" fillId="7" borderId="47" xfId="0" applyFont="1" applyFill="1" applyBorder="1" applyAlignment="1" applyProtection="1">
      <alignment horizontal="center" vertical="center" wrapText="1"/>
    </xf>
    <xf numFmtId="0" fontId="20" fillId="7" borderId="47" xfId="0" applyFont="1" applyFill="1" applyBorder="1" applyAlignment="1" applyProtection="1">
      <alignment vertical="center"/>
    </xf>
    <xf numFmtId="0" fontId="76" fillId="7" borderId="21" xfId="0" applyFont="1" applyFill="1" applyBorder="1" applyAlignment="1" applyProtection="1">
      <alignment horizontal="center" vertical="center" wrapText="1"/>
    </xf>
    <xf numFmtId="49" fontId="76" fillId="7" borderId="19" xfId="0" applyNumberFormat="1" applyFont="1" applyFill="1" applyBorder="1" applyAlignment="1" applyProtection="1">
      <alignment horizontal="left" vertical="center" wrapText="1"/>
    </xf>
    <xf numFmtId="0" fontId="76" fillId="7" borderId="24" xfId="0" applyFont="1" applyFill="1" applyBorder="1" applyAlignment="1" applyProtection="1">
      <alignment horizontal="left" vertical="center" wrapText="1"/>
    </xf>
    <xf numFmtId="185" fontId="76" fillId="7" borderId="24" xfId="0" applyNumberFormat="1" applyFont="1" applyFill="1" applyBorder="1" applyAlignment="1" applyProtection="1">
      <alignment horizontal="center" vertical="center" wrapText="1"/>
    </xf>
    <xf numFmtId="0" fontId="75" fillId="7" borderId="24" xfId="0" applyFont="1" applyFill="1" applyBorder="1" applyAlignment="1" applyProtection="1">
      <alignment horizontal="center" vertical="center" wrapText="1"/>
    </xf>
    <xf numFmtId="14" fontId="75" fillId="7" borderId="24" xfId="0" applyNumberFormat="1" applyFont="1" applyFill="1" applyBorder="1" applyAlignment="1" applyProtection="1">
      <alignment horizontal="center" vertical="center" wrapText="1"/>
    </xf>
    <xf numFmtId="14" fontId="75" fillId="7" borderId="25" xfId="0" applyNumberFormat="1" applyFont="1" applyFill="1" applyBorder="1" applyAlignment="1" applyProtection="1">
      <alignment horizontal="center" vertical="center" wrapText="1"/>
    </xf>
    <xf numFmtId="0" fontId="75" fillId="2" borderId="24" xfId="12" applyFont="1" applyFill="1" applyBorder="1" applyAlignment="1" applyProtection="1">
      <alignment horizontal="center" vertical="center" wrapText="1"/>
      <protection locked="0"/>
    </xf>
    <xf numFmtId="49" fontId="76" fillId="7" borderId="18" xfId="0" applyNumberFormat="1" applyFont="1" applyFill="1" applyBorder="1" applyAlignment="1" applyProtection="1">
      <alignment horizontal="left" vertical="center" wrapText="1"/>
    </xf>
    <xf numFmtId="0" fontId="76" fillId="7" borderId="35" xfId="0" applyFont="1" applyFill="1" applyBorder="1" applyAlignment="1" applyProtection="1">
      <alignment horizontal="left" vertical="center" wrapText="1"/>
    </xf>
    <xf numFmtId="185" fontId="76" fillId="7" borderId="35" xfId="0" applyNumberFormat="1" applyFont="1" applyFill="1" applyBorder="1" applyAlignment="1" applyProtection="1">
      <alignment horizontal="center" vertical="center" wrapText="1"/>
    </xf>
    <xf numFmtId="0" fontId="20" fillId="7" borderId="35" xfId="0" applyFont="1" applyFill="1" applyBorder="1" applyAlignment="1" applyProtection="1">
      <alignment horizontal="center" vertical="center" wrapText="1"/>
    </xf>
    <xf numFmtId="10" fontId="20" fillId="7" borderId="35" xfId="0" applyNumberFormat="1" applyFont="1" applyFill="1" applyBorder="1" applyAlignment="1" applyProtection="1">
      <alignment horizontal="center" vertical="center" wrapText="1"/>
    </xf>
    <xf numFmtId="186" fontId="30" fillId="7" borderId="35" xfId="0" applyNumberFormat="1" applyFont="1" applyFill="1" applyBorder="1" applyAlignment="1" applyProtection="1">
      <alignment horizontal="center" vertical="center" wrapText="1"/>
    </xf>
    <xf numFmtId="49" fontId="76" fillId="7" borderId="7" xfId="0" applyNumberFormat="1"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protection locked="0"/>
    </xf>
    <xf numFmtId="0" fontId="75" fillId="7" borderId="8" xfId="0" applyFont="1" applyFill="1" applyBorder="1" applyAlignment="1" applyProtection="1">
      <alignment horizontal="center" vertical="center" wrapText="1"/>
    </xf>
    <xf numFmtId="0" fontId="75" fillId="7" borderId="31" xfId="0" applyFont="1" applyFill="1" applyBorder="1" applyAlignment="1" applyProtection="1">
      <alignment vertical="center" wrapText="1"/>
    </xf>
    <xf numFmtId="49" fontId="75" fillId="7" borderId="51" xfId="0" applyNumberFormat="1" applyFont="1" applyFill="1" applyBorder="1" applyAlignment="1" applyProtection="1">
      <alignment horizontal="center" vertical="center" wrapText="1"/>
    </xf>
    <xf numFmtId="0" fontId="75" fillId="7" borderId="1" xfId="0" applyFont="1" applyFill="1" applyBorder="1" applyAlignment="1" applyProtection="1">
      <alignment horizontal="left" vertical="center" wrapText="1"/>
    </xf>
    <xf numFmtId="0" fontId="75" fillId="7" borderId="1" xfId="0" applyFont="1" applyFill="1" applyBorder="1" applyAlignment="1" applyProtection="1">
      <alignment horizontal="center" vertical="center" wrapText="1"/>
    </xf>
    <xf numFmtId="0" fontId="75" fillId="7" borderId="15" xfId="0" applyFont="1" applyFill="1" applyBorder="1" applyAlignment="1" applyProtection="1">
      <alignment horizontal="left" vertical="center" wrapText="1"/>
    </xf>
    <xf numFmtId="0" fontId="76" fillId="7" borderId="64" xfId="0" applyFont="1" applyFill="1" applyBorder="1" applyAlignment="1" applyProtection="1">
      <alignment horizontal="center" vertical="center" wrapText="1"/>
    </xf>
    <xf numFmtId="185" fontId="20" fillId="7" borderId="64" xfId="0" applyNumberFormat="1" applyFont="1" applyFill="1" applyBorder="1" applyAlignment="1" applyProtection="1">
      <alignment horizontal="center" vertical="center" wrapText="1"/>
    </xf>
    <xf numFmtId="185" fontId="20" fillId="7" borderId="50" xfId="0" applyNumberFormat="1" applyFont="1" applyFill="1" applyBorder="1" applyAlignment="1" applyProtection="1">
      <alignment horizontal="center" vertical="center" wrapText="1"/>
    </xf>
    <xf numFmtId="0" fontId="20" fillId="7" borderId="112" xfId="0" applyFont="1" applyFill="1" applyBorder="1" applyAlignment="1" applyProtection="1">
      <alignment vertical="center" wrapText="1"/>
    </xf>
    <xf numFmtId="0" fontId="20" fillId="7" borderId="25" xfId="0" applyFont="1" applyFill="1" applyBorder="1" applyAlignment="1" applyProtection="1">
      <alignment vertical="center"/>
    </xf>
    <xf numFmtId="0" fontId="75" fillId="7" borderId="24" xfId="0" applyFont="1" applyFill="1" applyBorder="1" applyAlignment="1" applyProtection="1">
      <alignment vertical="center" wrapText="1"/>
    </xf>
    <xf numFmtId="0" fontId="76" fillId="7" borderId="32" xfId="0" applyFont="1" applyFill="1" applyBorder="1" applyAlignment="1" applyProtection="1">
      <alignment horizontal="left" vertical="center" wrapText="1"/>
    </xf>
    <xf numFmtId="0" fontId="52" fillId="7" borderId="38" xfId="0" applyFont="1" applyFill="1" applyBorder="1" applyAlignment="1" applyProtection="1">
      <alignment horizontal="center" vertical="center" wrapText="1"/>
    </xf>
    <xf numFmtId="0" fontId="52" fillId="7" borderId="31" xfId="0" applyFont="1" applyFill="1" applyBorder="1" applyAlignment="1" applyProtection="1">
      <alignment vertical="center" wrapText="1"/>
    </xf>
    <xf numFmtId="49" fontId="76" fillId="7" borderId="27" xfId="0" applyNumberFormat="1" applyFont="1" applyFill="1" applyBorder="1" applyAlignment="1" applyProtection="1">
      <alignment horizontal="center" vertical="center" wrapText="1"/>
    </xf>
    <xf numFmtId="0" fontId="52" fillId="16" borderId="1" xfId="0" applyFont="1" applyFill="1" applyBorder="1" applyAlignment="1" applyProtection="1">
      <alignment horizontal="center" vertical="center" wrapText="1"/>
    </xf>
    <xf numFmtId="0" fontId="20" fillId="7" borderId="5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75" fillId="7" borderId="0" xfId="0" applyFont="1" applyFill="1" applyBorder="1" applyAlignment="1" applyProtection="1">
      <alignment horizontal="left" vertical="center" wrapText="1"/>
    </xf>
    <xf numFmtId="0" fontId="52" fillId="7" borderId="64" xfId="0" applyFont="1" applyFill="1" applyBorder="1" applyAlignment="1" applyProtection="1">
      <alignment horizontal="center" vertical="center" wrapText="1"/>
    </xf>
    <xf numFmtId="0" fontId="20" fillId="7" borderId="47" xfId="0" applyFont="1" applyFill="1" applyBorder="1" applyAlignment="1" applyProtection="1">
      <alignment vertical="center" wrapText="1"/>
    </xf>
    <xf numFmtId="0" fontId="20" fillId="7" borderId="21" xfId="0" applyFont="1" applyFill="1" applyBorder="1" applyAlignment="1" applyProtection="1">
      <alignment vertical="center" wrapText="1"/>
    </xf>
    <xf numFmtId="0" fontId="52" fillId="7" borderId="21" xfId="0" applyFont="1" applyFill="1" applyBorder="1" applyAlignment="1" applyProtection="1">
      <alignment vertical="center" wrapText="1"/>
    </xf>
    <xf numFmtId="49" fontId="76" fillId="7" borderId="18" xfId="0" applyNumberFormat="1" applyFont="1" applyFill="1" applyBorder="1" applyAlignment="1" applyProtection="1">
      <alignment horizontal="center" vertical="center" wrapText="1"/>
    </xf>
    <xf numFmtId="0" fontId="52" fillId="7" borderId="113" xfId="0" applyFont="1" applyFill="1" applyBorder="1" applyAlignment="1" applyProtection="1">
      <alignment vertical="center" wrapText="1"/>
    </xf>
    <xf numFmtId="0" fontId="76" fillId="7" borderId="8" xfId="0" applyFont="1" applyFill="1" applyBorder="1" applyAlignment="1" applyProtection="1">
      <alignment horizontal="center" vertical="center" wrapText="1"/>
    </xf>
    <xf numFmtId="0" fontId="76" fillId="7" borderId="32" xfId="0" applyFont="1" applyFill="1" applyBorder="1" applyAlignment="1" applyProtection="1">
      <alignment horizontal="center" vertical="center" wrapText="1"/>
    </xf>
    <xf numFmtId="0" fontId="52" fillId="7" borderId="32" xfId="0" applyFont="1" applyFill="1" applyBorder="1" applyAlignment="1" applyProtection="1">
      <alignment vertical="center" wrapText="1"/>
    </xf>
    <xf numFmtId="0" fontId="20" fillId="7" borderId="27" xfId="0" applyFont="1" applyFill="1" applyBorder="1" applyAlignment="1" applyProtection="1">
      <alignment horizontal="center" vertical="center" wrapText="1"/>
    </xf>
    <xf numFmtId="0" fontId="20" fillId="7" borderId="4" xfId="0" applyFont="1" applyFill="1" applyBorder="1" applyAlignment="1" applyProtection="1">
      <alignment horizontal="left" vertical="center" wrapText="1"/>
    </xf>
    <xf numFmtId="0" fontId="52" fillId="7" borderId="1" xfId="0" applyFont="1" applyFill="1" applyBorder="1" applyAlignment="1" applyProtection="1">
      <alignment horizontal="center" vertical="center" wrapText="1"/>
    </xf>
    <xf numFmtId="0" fontId="20" fillId="0" borderId="1" xfId="0" applyFont="1" applyBorder="1" applyAlignment="1" applyProtection="1">
      <alignment vertical="center" wrapText="1"/>
      <protection locked="0"/>
    </xf>
    <xf numFmtId="0" fontId="30" fillId="7" borderId="1" xfId="0" applyFont="1" applyFill="1" applyBorder="1" applyAlignment="1" applyProtection="1">
      <alignment horizontal="center" vertical="center"/>
    </xf>
    <xf numFmtId="0" fontId="30" fillId="7" borderId="2" xfId="0" applyFont="1" applyFill="1" applyBorder="1" applyAlignment="1" applyProtection="1">
      <alignment vertical="center"/>
    </xf>
    <xf numFmtId="0" fontId="30" fillId="7" borderId="3" xfId="0" applyFont="1" applyFill="1" applyBorder="1" applyAlignment="1" applyProtection="1">
      <alignment vertical="center"/>
    </xf>
    <xf numFmtId="0" fontId="52" fillId="7" borderId="110" xfId="0" applyFont="1" applyFill="1" applyBorder="1" applyAlignment="1" applyProtection="1">
      <alignment vertical="center" wrapText="1"/>
    </xf>
    <xf numFmtId="0" fontId="20" fillId="7" borderId="62" xfId="0" applyFont="1" applyFill="1" applyBorder="1" applyAlignment="1" applyProtection="1">
      <alignment horizontal="left" vertical="center" wrapText="1"/>
    </xf>
    <xf numFmtId="0" fontId="20" fillId="0" borderId="13" xfId="0" applyFont="1" applyBorder="1" applyAlignment="1" applyProtection="1">
      <alignment vertical="center" wrapText="1"/>
      <protection locked="0"/>
    </xf>
    <xf numFmtId="0" fontId="20" fillId="7" borderId="13" xfId="0" applyFont="1" applyFill="1" applyBorder="1" applyAlignment="1" applyProtection="1">
      <alignment vertical="center"/>
    </xf>
    <xf numFmtId="0" fontId="20" fillId="7" borderId="45" xfId="0" applyFont="1" applyFill="1" applyBorder="1" applyAlignment="1" applyProtection="1">
      <alignment vertical="center" wrapText="1"/>
    </xf>
    <xf numFmtId="0" fontId="52" fillId="7" borderId="18" xfId="0" applyFont="1" applyFill="1" applyBorder="1" applyAlignment="1" applyProtection="1">
      <alignment vertical="center" wrapText="1"/>
    </xf>
    <xf numFmtId="0" fontId="52" fillId="7" borderId="111" xfId="0" applyFont="1" applyFill="1" applyBorder="1" applyAlignment="1" applyProtection="1">
      <alignment horizontal="left" vertical="center" wrapText="1"/>
    </xf>
    <xf numFmtId="0" fontId="20" fillId="7" borderId="38" xfId="0" applyFont="1" applyFill="1" applyBorder="1" applyAlignment="1" applyProtection="1">
      <alignment vertical="center"/>
    </xf>
    <xf numFmtId="0" fontId="52" fillId="7" borderId="108" xfId="0" applyFont="1" applyFill="1" applyBorder="1" applyAlignment="1" applyProtection="1">
      <alignment vertical="center" wrapText="1"/>
    </xf>
    <xf numFmtId="0" fontId="76" fillId="7" borderId="4" xfId="0" applyFont="1" applyFill="1" applyBorder="1" applyAlignment="1" applyProtection="1">
      <alignment horizontal="center" vertical="center" wrapText="1"/>
    </xf>
    <xf numFmtId="0" fontId="76" fillId="7" borderId="1" xfId="0" applyFont="1" applyFill="1" applyBorder="1" applyAlignment="1" applyProtection="1">
      <alignment horizontal="center" vertical="center" wrapText="1"/>
    </xf>
    <xf numFmtId="0" fontId="76" fillId="7" borderId="16" xfId="0" applyFont="1" applyFill="1" applyBorder="1" applyAlignment="1" applyProtection="1">
      <alignment horizontal="center" vertical="center" wrapText="1"/>
    </xf>
    <xf numFmtId="0" fontId="30" fillId="7" borderId="108" xfId="0" applyFont="1" applyFill="1" applyBorder="1" applyAlignment="1" applyProtection="1">
      <alignment horizontal="center" vertical="center" wrapText="1"/>
    </xf>
    <xf numFmtId="0" fontId="52" fillId="7" borderId="27" xfId="0" applyFont="1" applyFill="1" applyBorder="1" applyAlignment="1" applyProtection="1">
      <alignment vertical="center" wrapText="1"/>
    </xf>
    <xf numFmtId="0" fontId="30" fillId="7" borderId="62" xfId="0" applyFont="1" applyFill="1" applyBorder="1" applyAlignment="1" applyProtection="1">
      <alignment horizontal="center" vertical="center" wrapText="1"/>
    </xf>
    <xf numFmtId="0" fontId="52" fillId="7" borderId="13" xfId="0" applyFont="1" applyFill="1" applyBorder="1" applyAlignment="1" applyProtection="1">
      <alignment horizontal="center" vertical="center" wrapText="1"/>
    </xf>
    <xf numFmtId="0" fontId="20" fillId="4" borderId="0" xfId="0" applyFont="1" applyFill="1" applyAlignment="1" applyProtection="1">
      <alignment horizontal="center" vertical="center" wrapText="1"/>
      <protection locked="0"/>
    </xf>
    <xf numFmtId="0" fontId="32" fillId="7" borderId="1" xfId="0" applyFont="1" applyFill="1" applyBorder="1" applyAlignment="1" applyProtection="1">
      <alignment vertical="center" wrapText="1"/>
    </xf>
    <xf numFmtId="186" fontId="30" fillId="7" borderId="1"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protection locked="0"/>
    </xf>
    <xf numFmtId="0" fontId="20" fillId="4" borderId="0" xfId="0" applyFont="1" applyFill="1" applyAlignment="1" applyProtection="1">
      <alignment horizontal="left" vertical="center" wrapText="1"/>
      <protection locked="0"/>
    </xf>
    <xf numFmtId="0" fontId="79" fillId="7" borderId="0" xfId="0" applyFont="1" applyFill="1" applyProtection="1">
      <alignment vertical="center"/>
    </xf>
    <xf numFmtId="185" fontId="68" fillId="7" borderId="0" xfId="0" applyNumberFormat="1" applyFont="1" applyFill="1" applyAlignment="1" applyProtection="1">
      <alignment horizontal="center" vertical="center" wrapText="1"/>
    </xf>
    <xf numFmtId="0" fontId="68" fillId="7" borderId="0" xfId="0" applyFont="1" applyFill="1" applyProtection="1">
      <alignment vertical="center"/>
    </xf>
    <xf numFmtId="0" fontId="68" fillId="7" borderId="0" xfId="0" applyFont="1" applyFill="1" applyAlignment="1" applyProtection="1">
      <alignment horizontal="center" vertical="center"/>
    </xf>
    <xf numFmtId="0" fontId="79" fillId="7" borderId="37" xfId="0" applyFont="1" applyFill="1" applyBorder="1" applyAlignment="1" applyProtection="1">
      <alignment vertical="center"/>
    </xf>
    <xf numFmtId="185" fontId="80" fillId="7" borderId="31" xfId="0" applyNumberFormat="1" applyFont="1" applyFill="1" applyBorder="1" applyAlignment="1" applyProtection="1">
      <alignment horizontal="center" vertical="center" wrapText="1"/>
    </xf>
    <xf numFmtId="0" fontId="68" fillId="7" borderId="31" xfId="0" applyFont="1" applyFill="1" applyBorder="1" applyProtection="1">
      <alignment vertical="center"/>
    </xf>
    <xf numFmtId="0" fontId="79" fillId="7" borderId="38" xfId="0" applyFont="1" applyFill="1" applyBorder="1" applyAlignment="1" applyProtection="1">
      <alignment vertical="center"/>
    </xf>
    <xf numFmtId="0" fontId="79" fillId="7" borderId="39" xfId="0" applyFont="1" applyFill="1" applyBorder="1" applyAlignment="1" applyProtection="1">
      <alignment horizontal="center" vertical="center"/>
    </xf>
    <xf numFmtId="0" fontId="79" fillId="7" borderId="0" xfId="0" applyFont="1" applyFill="1" applyBorder="1" applyAlignment="1" applyProtection="1">
      <alignment horizontal="center" vertical="center"/>
    </xf>
    <xf numFmtId="0" fontId="30" fillId="7" borderId="10" xfId="0"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20" fillId="7" borderId="11" xfId="0" applyFont="1" applyFill="1" applyBorder="1" applyAlignment="1" applyProtection="1">
      <alignment horizontal="center" vertical="center" wrapText="1"/>
    </xf>
    <xf numFmtId="0" fontId="21" fillId="7" borderId="50" xfId="0"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xf>
    <xf numFmtId="49" fontId="30" fillId="7" borderId="1" xfId="0" applyNumberFormat="1" applyFont="1" applyFill="1" applyBorder="1" applyAlignment="1" applyProtection="1">
      <alignment horizontal="center" vertical="center" wrapText="1"/>
    </xf>
    <xf numFmtId="10" fontId="30" fillId="7" borderId="1" xfId="0" applyNumberFormat="1" applyFont="1" applyFill="1" applyBorder="1" applyAlignment="1" applyProtection="1">
      <alignment horizontal="center" vertical="center" wrapText="1"/>
    </xf>
    <xf numFmtId="10" fontId="20" fillId="7" borderId="40" xfId="0" applyNumberFormat="1" applyFont="1" applyFill="1" applyBorder="1" applyAlignment="1" applyProtection="1">
      <alignment horizontal="center" vertical="center" wrapText="1"/>
    </xf>
    <xf numFmtId="10" fontId="20" fillId="7" borderId="0" xfId="0" applyNumberFormat="1" applyFont="1" applyFill="1" applyBorder="1" applyAlignment="1" applyProtection="1">
      <alignment horizontal="center" vertical="center" wrapText="1"/>
    </xf>
    <xf numFmtId="10" fontId="68" fillId="0" borderId="1" xfId="0" applyNumberFormat="1" applyFont="1" applyBorder="1" applyAlignment="1" applyProtection="1">
      <alignment horizontal="center" vertical="center"/>
      <protection locked="0"/>
    </xf>
    <xf numFmtId="10" fontId="68" fillId="7" borderId="1" xfId="0" applyNumberFormat="1" applyFont="1" applyFill="1" applyBorder="1" applyAlignment="1" applyProtection="1">
      <alignment horizontal="center" vertical="center"/>
    </xf>
    <xf numFmtId="0" fontId="30" fillId="7" borderId="1" xfId="0" applyNumberFormat="1" applyFont="1" applyFill="1" applyBorder="1" applyAlignment="1" applyProtection="1">
      <alignment horizontal="center" vertical="center" wrapText="1"/>
    </xf>
    <xf numFmtId="10" fontId="20" fillId="7" borderId="43" xfId="0" applyNumberFormat="1" applyFont="1" applyFill="1" applyBorder="1" applyAlignment="1" applyProtection="1">
      <alignment vertical="center" wrapText="1"/>
    </xf>
    <xf numFmtId="0" fontId="61" fillId="0" borderId="1"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30" fillId="7" borderId="41" xfId="0" applyFont="1" applyFill="1" applyBorder="1" applyAlignment="1" applyProtection="1">
      <alignment horizontal="center" vertical="center" wrapText="1"/>
    </xf>
    <xf numFmtId="0" fontId="30" fillId="7" borderId="12" xfId="0" applyFont="1" applyFill="1" applyBorder="1" applyAlignment="1" applyProtection="1">
      <alignment horizontal="center" vertical="center" wrapText="1"/>
    </xf>
    <xf numFmtId="49" fontId="30" fillId="7" borderId="20" xfId="0" applyNumberFormat="1" applyFont="1" applyFill="1" applyBorder="1" applyAlignment="1" applyProtection="1">
      <alignment horizontal="center" vertical="center" wrapText="1"/>
    </xf>
    <xf numFmtId="10" fontId="20" fillId="7" borderId="114" xfId="0" applyNumberFormat="1" applyFont="1" applyFill="1" applyBorder="1" applyAlignment="1" applyProtection="1">
      <alignment vertical="center" wrapText="1"/>
    </xf>
    <xf numFmtId="0" fontId="68" fillId="7" borderId="7" xfId="0" applyNumberFormat="1" applyFont="1" applyFill="1" applyBorder="1" applyAlignment="1" applyProtection="1">
      <alignment horizontal="center" vertical="center"/>
    </xf>
    <xf numFmtId="0" fontId="68" fillId="7" borderId="32" xfId="0" applyNumberFormat="1" applyFont="1" applyFill="1" applyBorder="1" applyProtection="1">
      <alignment vertical="center"/>
    </xf>
    <xf numFmtId="10" fontId="20" fillId="7" borderId="1" xfId="0" applyNumberFormat="1" applyFont="1" applyFill="1" applyBorder="1" applyAlignment="1" applyProtection="1">
      <alignment vertical="center" wrapText="1"/>
    </xf>
    <xf numFmtId="0" fontId="20" fillId="7" borderId="0" xfId="0" applyNumberFormat="1" applyFont="1" applyFill="1" applyAlignment="1" applyProtection="1">
      <alignment vertical="center" wrapText="1"/>
    </xf>
    <xf numFmtId="0" fontId="68" fillId="7" borderId="10" xfId="0" applyNumberFormat="1" applyFont="1" applyFill="1" applyBorder="1" applyAlignment="1" applyProtection="1">
      <alignment horizontal="center" vertical="center"/>
    </xf>
    <xf numFmtId="0" fontId="68" fillId="7" borderId="2" xfId="0" applyNumberFormat="1" applyFont="1" applyFill="1" applyBorder="1" applyProtection="1">
      <alignment vertical="center"/>
    </xf>
    <xf numFmtId="187" fontId="75" fillId="0" borderId="1" xfId="0" applyNumberFormat="1" applyFont="1" applyFill="1" applyBorder="1" applyAlignment="1" applyProtection="1">
      <alignment horizontal="center" vertical="center" wrapText="1"/>
      <protection locked="0"/>
    </xf>
    <xf numFmtId="0" fontId="75" fillId="7" borderId="112" xfId="0" applyFont="1" applyFill="1" applyBorder="1" applyAlignment="1" applyProtection="1">
      <alignment vertical="center" wrapText="1"/>
    </xf>
    <xf numFmtId="0" fontId="75" fillId="4" borderId="0" xfId="0" applyFont="1" applyFill="1" applyAlignment="1" applyProtection="1">
      <alignment vertical="center"/>
      <protection locked="0"/>
    </xf>
    <xf numFmtId="0" fontId="20" fillId="7" borderId="115" xfId="0" applyFont="1" applyFill="1" applyBorder="1" applyAlignment="1" applyProtection="1">
      <alignment vertical="center" wrapText="1"/>
    </xf>
    <xf numFmtId="0" fontId="20" fillId="4" borderId="0" xfId="0" applyFont="1" applyFill="1" applyAlignment="1" applyProtection="1">
      <alignment vertical="center"/>
      <protection locked="0"/>
    </xf>
    <xf numFmtId="0" fontId="20" fillId="7" borderId="29" xfId="0" applyFont="1" applyFill="1" applyBorder="1" applyAlignment="1" applyProtection="1">
      <alignment vertical="center" wrapText="1"/>
    </xf>
    <xf numFmtId="0" fontId="20" fillId="7" borderId="42" xfId="0" applyFont="1" applyFill="1" applyBorder="1" applyAlignment="1" applyProtection="1">
      <alignment vertical="center" wrapText="1"/>
    </xf>
    <xf numFmtId="0" fontId="20" fillId="7" borderId="69" xfId="0" applyFont="1" applyFill="1" applyBorder="1" applyAlignment="1" applyProtection="1">
      <alignment vertical="center" wrapText="1"/>
    </xf>
    <xf numFmtId="0" fontId="20" fillId="7" borderId="39" xfId="0" applyFont="1" applyFill="1" applyBorder="1" applyAlignment="1" applyProtection="1">
      <alignment vertical="center" wrapText="1"/>
    </xf>
    <xf numFmtId="0" fontId="68" fillId="7" borderId="12" xfId="0" applyNumberFormat="1" applyFont="1" applyFill="1" applyBorder="1" applyAlignment="1" applyProtection="1">
      <alignment horizontal="center" vertical="center"/>
    </xf>
    <xf numFmtId="0" fontId="68" fillId="7" borderId="33" xfId="0" applyNumberFormat="1" applyFont="1" applyFill="1" applyBorder="1" applyProtection="1">
      <alignment vertical="center"/>
    </xf>
    <xf numFmtId="0" fontId="20" fillId="0" borderId="11" xfId="0" applyFont="1" applyFill="1" applyBorder="1" applyAlignment="1" applyProtection="1">
      <alignment horizontal="center" vertical="center" wrapText="1"/>
      <protection locked="0"/>
    </xf>
    <xf numFmtId="0" fontId="21" fillId="7" borderId="96" xfId="0" applyFont="1" applyFill="1" applyBorder="1" applyAlignment="1" applyProtection="1">
      <alignment vertical="center"/>
    </xf>
    <xf numFmtId="0" fontId="21" fillId="7" borderId="116" xfId="0" applyFont="1" applyFill="1" applyBorder="1" applyAlignment="1" applyProtection="1">
      <alignment vertical="center"/>
    </xf>
    <xf numFmtId="0" fontId="20" fillId="0" borderId="14" xfId="0" applyFont="1" applyFill="1" applyBorder="1" applyAlignment="1" applyProtection="1">
      <alignment horizontal="center" vertical="center" wrapText="1"/>
      <protection locked="0"/>
    </xf>
    <xf numFmtId="0" fontId="20" fillId="2" borderId="32" xfId="0"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wrapText="1"/>
      <protection locked="0"/>
    </xf>
    <xf numFmtId="0" fontId="20" fillId="7" borderId="47" xfId="0" applyFont="1" applyFill="1" applyBorder="1" applyAlignment="1" applyProtection="1">
      <alignment horizontal="center" vertical="center" wrapText="1"/>
    </xf>
    <xf numFmtId="0" fontId="20" fillId="7" borderId="114" xfId="0" applyFont="1" applyFill="1" applyBorder="1" applyAlignment="1" applyProtection="1">
      <alignment horizontal="center" vertical="center" wrapText="1"/>
    </xf>
    <xf numFmtId="0" fontId="75" fillId="7" borderId="22" xfId="0" applyFont="1" applyFill="1" applyBorder="1" applyAlignment="1" applyProtection="1">
      <alignment vertical="center" wrapText="1"/>
    </xf>
    <xf numFmtId="0" fontId="75" fillId="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0" fillId="4" borderId="0" xfId="0" applyNumberFormat="1" applyFont="1" applyFill="1" applyAlignment="1" applyProtection="1">
      <alignment horizontal="center" vertical="center" wrapText="1"/>
      <protection locked="0"/>
    </xf>
    <xf numFmtId="10" fontId="75" fillId="7" borderId="25" xfId="0" applyNumberFormat="1" applyFont="1" applyFill="1" applyBorder="1" applyAlignment="1" applyProtection="1">
      <alignment horizontal="center" vertical="center" wrapText="1"/>
    </xf>
    <xf numFmtId="0" fontId="75" fillId="7" borderId="115" xfId="0" applyFont="1" applyFill="1" applyBorder="1" applyAlignment="1" applyProtection="1">
      <alignment vertical="center" wrapText="1"/>
    </xf>
    <xf numFmtId="0" fontId="75" fillId="7" borderId="7" xfId="0" applyFont="1" applyFill="1" applyBorder="1" applyAlignment="1" applyProtection="1">
      <alignment vertical="center" wrapText="1"/>
    </xf>
    <xf numFmtId="0" fontId="50" fillId="7" borderId="9" xfId="0" applyFont="1" applyFill="1" applyBorder="1" applyAlignment="1" applyProtection="1">
      <alignment horizontal="center" vertical="center" wrapText="1"/>
    </xf>
    <xf numFmtId="0" fontId="20" fillId="7" borderId="25" xfId="0" applyFont="1" applyFill="1" applyBorder="1" applyAlignment="1" applyProtection="1">
      <alignment horizontal="center" vertical="center" wrapText="1"/>
    </xf>
    <xf numFmtId="0" fontId="30" fillId="7" borderId="26" xfId="0" applyFont="1" applyFill="1" applyBorder="1" applyAlignment="1" applyProtection="1">
      <alignment horizontal="center" vertical="center" wrapText="1"/>
    </xf>
    <xf numFmtId="0" fontId="20" fillId="4" borderId="0" xfId="0" applyNumberFormat="1" applyFont="1" applyFill="1" applyAlignment="1" applyProtection="1">
      <alignment horizontal="center" vertical="center" wrapText="1"/>
      <protection locked="0"/>
    </xf>
    <xf numFmtId="0" fontId="20" fillId="7" borderId="36" xfId="0" applyFont="1" applyFill="1" applyBorder="1" applyAlignment="1" applyProtection="1">
      <alignment horizontal="center" vertical="center" wrapText="1"/>
    </xf>
    <xf numFmtId="0" fontId="75" fillId="7" borderId="12" xfId="0" applyFont="1" applyFill="1" applyBorder="1" applyAlignment="1" applyProtection="1">
      <alignment vertical="center" wrapText="1"/>
    </xf>
    <xf numFmtId="0" fontId="50" fillId="7" borderId="14" xfId="0" applyFont="1" applyFill="1" applyBorder="1" applyAlignment="1" applyProtection="1">
      <alignment horizontal="center" vertical="center" wrapText="1"/>
    </xf>
    <xf numFmtId="0" fontId="75" fillId="7" borderId="31" xfId="12" applyFont="1" applyFill="1" applyBorder="1" applyAlignment="1" applyProtection="1">
      <alignment horizontal="center" vertical="center" wrapText="1"/>
      <protection locked="0"/>
    </xf>
    <xf numFmtId="0" fontId="75" fillId="7" borderId="8" xfId="12" applyFont="1" applyFill="1" applyBorder="1" applyAlignment="1" applyProtection="1">
      <alignment vertical="center" wrapText="1"/>
      <protection locked="0"/>
    </xf>
    <xf numFmtId="0" fontId="75" fillId="7" borderId="29" xfId="12" applyFont="1" applyFill="1" applyBorder="1" applyAlignment="1" applyProtection="1">
      <alignment vertical="center"/>
      <protection locked="0"/>
    </xf>
    <xf numFmtId="0" fontId="75" fillId="7" borderId="9" xfId="0" applyFont="1" applyFill="1" applyBorder="1" applyAlignment="1" applyProtection="1">
      <alignment vertical="center" wrapText="1"/>
    </xf>
    <xf numFmtId="0" fontId="75" fillId="7" borderId="10" xfId="12" applyFont="1" applyFill="1" applyBorder="1" applyAlignment="1" applyProtection="1">
      <alignment horizontal="center" vertical="center" wrapText="1"/>
    </xf>
    <xf numFmtId="10" fontId="75" fillId="0" borderId="4" xfId="12" applyNumberFormat="1" applyFont="1" applyFill="1" applyBorder="1" applyAlignment="1" applyProtection="1">
      <alignment horizontal="center" vertical="center" wrapText="1"/>
      <protection locked="0"/>
    </xf>
    <xf numFmtId="10" fontId="20" fillId="7" borderId="11" xfId="12" applyNumberFormat="1" applyFont="1" applyFill="1" applyBorder="1" applyAlignment="1" applyProtection="1">
      <alignment horizontal="center" vertical="center" wrapText="1"/>
    </xf>
    <xf numFmtId="0" fontId="75" fillId="7" borderId="11" xfId="0" applyFont="1" applyFill="1" applyBorder="1" applyAlignment="1" applyProtection="1">
      <alignment horizontal="center" vertical="center" wrapText="1"/>
    </xf>
    <xf numFmtId="0" fontId="75" fillId="7" borderId="15" xfId="0" applyFont="1" applyFill="1" applyBorder="1" applyAlignment="1" applyProtection="1">
      <alignment vertical="center" wrapText="1"/>
    </xf>
    <xf numFmtId="0" fontId="75" fillId="7" borderId="40" xfId="0" applyFont="1" applyFill="1" applyBorder="1" applyAlignment="1" applyProtection="1">
      <alignment vertical="center" wrapText="1"/>
    </xf>
    <xf numFmtId="0" fontId="75" fillId="7" borderId="26" xfId="0" applyFont="1" applyFill="1" applyBorder="1" applyAlignment="1" applyProtection="1">
      <alignment vertical="center" wrapText="1"/>
    </xf>
    <xf numFmtId="0" fontId="75" fillId="7" borderId="12" xfId="12" applyFont="1" applyFill="1" applyBorder="1" applyAlignment="1" applyProtection="1">
      <alignment horizontal="center" vertical="center" wrapText="1"/>
    </xf>
    <xf numFmtId="10" fontId="75" fillId="0" borderId="62" xfId="12" applyNumberFormat="1" applyFont="1" applyFill="1" applyBorder="1" applyAlignment="1" applyProtection="1">
      <alignment horizontal="center" vertical="center" wrapText="1"/>
      <protection locked="0"/>
    </xf>
    <xf numFmtId="10" fontId="20" fillId="7" borderId="14" xfId="12" applyNumberFormat="1" applyFont="1" applyFill="1" applyBorder="1" applyAlignment="1" applyProtection="1">
      <alignment horizontal="center" vertical="center" wrapText="1"/>
    </xf>
    <xf numFmtId="0" fontId="75" fillId="7" borderId="18" xfId="12" applyFont="1" applyFill="1" applyBorder="1" applyAlignment="1" applyProtection="1">
      <alignment horizontal="center" vertical="center" wrapText="1"/>
      <protection locked="0"/>
    </xf>
    <xf numFmtId="0" fontId="75" fillId="7" borderId="0" xfId="12" applyFont="1" applyFill="1" applyBorder="1" applyAlignment="1" applyProtection="1">
      <alignment vertical="center" wrapText="1"/>
      <protection locked="0"/>
    </xf>
    <xf numFmtId="10" fontId="20" fillId="7" borderId="40" xfId="12" applyNumberFormat="1" applyFont="1" applyFill="1" applyBorder="1" applyAlignment="1" applyProtection="1">
      <alignment horizontal="center" vertical="center" wrapText="1"/>
    </xf>
    <xf numFmtId="0" fontId="20" fillId="7" borderId="23" xfId="0" applyFont="1" applyFill="1" applyBorder="1" applyAlignment="1" applyProtection="1">
      <alignment vertical="center" wrapText="1"/>
    </xf>
    <xf numFmtId="0" fontId="20" fillId="7" borderId="7" xfId="0" applyFont="1" applyFill="1" applyBorder="1" applyAlignment="1" applyProtection="1">
      <alignment horizontal="center" vertical="center" wrapText="1"/>
    </xf>
    <xf numFmtId="0" fontId="20" fillId="7" borderId="9" xfId="0" applyFont="1" applyFill="1" applyBorder="1" applyAlignment="1" applyProtection="1">
      <alignment horizontal="center" vertical="center" wrapText="1"/>
    </xf>
    <xf numFmtId="0" fontId="20" fillId="7" borderId="22" xfId="0" applyFont="1" applyFill="1" applyBorder="1" applyAlignment="1" applyProtection="1">
      <alignment vertical="center" wrapText="1"/>
    </xf>
    <xf numFmtId="0" fontId="20" fillId="7" borderId="10" xfId="0" applyFont="1" applyFill="1" applyBorder="1" applyAlignment="1" applyProtection="1">
      <alignment horizontal="center" vertical="center" wrapText="1"/>
    </xf>
    <xf numFmtId="9" fontId="20" fillId="7" borderId="11" xfId="0" applyNumberFormat="1" applyFont="1" applyFill="1" applyBorder="1" applyAlignment="1" applyProtection="1">
      <alignment horizontal="center" vertical="center" wrapText="1"/>
    </xf>
    <xf numFmtId="9" fontId="20" fillId="7" borderId="12" xfId="0" applyNumberFormat="1" applyFont="1" applyFill="1" applyBorder="1" applyAlignment="1" applyProtection="1">
      <alignment horizontal="center" vertical="center" wrapText="1"/>
    </xf>
    <xf numFmtId="10" fontId="20" fillId="7" borderId="13" xfId="0" applyNumberFormat="1" applyFont="1" applyFill="1" applyBorder="1" applyAlignment="1" applyProtection="1">
      <alignment horizontal="center" vertical="center" wrapText="1"/>
    </xf>
    <xf numFmtId="10" fontId="20" fillId="7" borderId="14" xfId="0" applyNumberFormat="1" applyFont="1" applyFill="1" applyBorder="1" applyAlignment="1" applyProtection="1">
      <alignment horizontal="center" vertical="center" wrapText="1"/>
    </xf>
    <xf numFmtId="0" fontId="30" fillId="7" borderId="42" xfId="0" applyFont="1" applyFill="1" applyBorder="1" applyAlignment="1" applyProtection="1">
      <alignment vertical="center"/>
    </xf>
    <xf numFmtId="0" fontId="20" fillId="7" borderId="46" xfId="0" applyFont="1" applyFill="1" applyBorder="1" applyAlignment="1" applyProtection="1">
      <alignment vertical="center" wrapText="1"/>
    </xf>
    <xf numFmtId="0" fontId="20" fillId="7" borderId="113" xfId="0" applyFont="1" applyFill="1" applyBorder="1" applyAlignment="1" applyProtection="1">
      <alignment vertical="center"/>
    </xf>
    <xf numFmtId="0" fontId="20" fillId="7" borderId="23" xfId="0" applyFont="1" applyFill="1" applyBorder="1" applyAlignment="1" applyProtection="1">
      <alignment horizontal="center" vertical="center" wrapText="1"/>
    </xf>
    <xf numFmtId="0" fontId="20" fillId="7" borderId="49" xfId="0" applyFont="1" applyFill="1" applyBorder="1" applyAlignment="1" applyProtection="1">
      <alignment vertical="center"/>
      <protection locked="0"/>
    </xf>
    <xf numFmtId="0" fontId="20" fillId="7" borderId="29" xfId="0" applyFont="1" applyFill="1" applyBorder="1" applyAlignment="1" applyProtection="1">
      <alignment vertical="center" wrapText="1"/>
      <protection locked="0"/>
    </xf>
    <xf numFmtId="0" fontId="20" fillId="7" borderId="10" xfId="0" applyFont="1" applyFill="1" applyBorder="1" applyAlignment="1" applyProtection="1">
      <alignment vertical="center"/>
    </xf>
    <xf numFmtId="9" fontId="20" fillId="7" borderId="11" xfId="0" applyNumberFormat="1" applyFont="1" applyFill="1" applyBorder="1" applyAlignment="1" applyProtection="1">
      <alignment horizontal="center" vertical="center"/>
    </xf>
    <xf numFmtId="0" fontId="20" fillId="7" borderId="22" xfId="0" applyFont="1" applyFill="1" applyBorder="1" applyAlignment="1" applyProtection="1">
      <alignment horizontal="center" vertical="center" wrapText="1"/>
    </xf>
    <xf numFmtId="0" fontId="20" fillId="7" borderId="12" xfId="0" applyFont="1" applyFill="1" applyBorder="1" applyAlignment="1" applyProtection="1">
      <alignment vertical="center" wrapText="1"/>
    </xf>
    <xf numFmtId="9" fontId="20" fillId="7" borderId="14" xfId="0" applyNumberFormat="1" applyFont="1" applyFill="1" applyBorder="1" applyAlignment="1" applyProtection="1">
      <alignment horizontal="center" vertical="center" wrapText="1"/>
    </xf>
    <xf numFmtId="0" fontId="68" fillId="7" borderId="0" xfId="0" applyFont="1" applyFill="1" applyProtection="1">
      <alignment vertical="center"/>
      <protection locked="0"/>
    </xf>
    <xf numFmtId="0" fontId="81" fillId="7" borderId="1" xfId="0" applyNumberFormat="1" applyFont="1" applyFill="1" applyBorder="1" applyAlignment="1" applyProtection="1">
      <alignment horizontal="center" vertical="center" wrapText="1"/>
    </xf>
    <xf numFmtId="9" fontId="30" fillId="7" borderId="1" xfId="0" applyNumberFormat="1" applyFont="1" applyFill="1" applyBorder="1" applyAlignment="1" applyProtection="1">
      <alignment horizontal="center" vertical="center" wrapText="1"/>
    </xf>
    <xf numFmtId="10" fontId="75" fillId="7" borderId="1" xfId="0" applyNumberFormat="1" applyFont="1" applyFill="1" applyBorder="1" applyAlignment="1" applyProtection="1">
      <alignment horizontal="center" vertical="center" wrapText="1"/>
    </xf>
    <xf numFmtId="9" fontId="30" fillId="7" borderId="13" xfId="0" applyNumberFormat="1" applyFont="1" applyFill="1" applyBorder="1" applyAlignment="1" applyProtection="1">
      <alignment horizontal="center" vertical="center" wrapText="1"/>
    </xf>
    <xf numFmtId="0" fontId="50" fillId="7" borderId="1" xfId="12" applyFont="1" applyFill="1" applyBorder="1" applyAlignment="1" applyProtection="1">
      <alignment horizontal="center" vertical="center" wrapText="1"/>
    </xf>
    <xf numFmtId="0" fontId="20" fillId="7" borderId="0" xfId="12" applyFont="1" applyFill="1" applyAlignment="1" applyProtection="1">
      <alignment vertical="center" wrapText="1"/>
      <protection locked="0"/>
    </xf>
    <xf numFmtId="0" fontId="50" fillId="0" borderId="1" xfId="12" applyFont="1" applyFill="1" applyBorder="1" applyAlignment="1" applyProtection="1">
      <alignment horizontal="center" vertical="center" wrapText="1"/>
      <protection locked="0"/>
    </xf>
    <xf numFmtId="0" fontId="20" fillId="7" borderId="4" xfId="12" applyFont="1" applyFill="1" applyBorder="1" applyAlignment="1" applyProtection="1">
      <alignment horizontal="center" vertical="center" wrapText="1"/>
      <protection locked="0"/>
    </xf>
    <xf numFmtId="0" fontId="20" fillId="7" borderId="1" xfId="12" applyFont="1" applyFill="1" applyBorder="1" applyAlignment="1" applyProtection="1">
      <alignment horizontal="center" vertical="center" wrapText="1"/>
      <protection locked="0"/>
    </xf>
    <xf numFmtId="184" fontId="30" fillId="7" borderId="1" xfId="12" applyNumberFormat="1" applyFont="1" applyFill="1" applyBorder="1" applyAlignment="1" applyProtection="1">
      <alignment horizontal="center" vertical="center"/>
    </xf>
    <xf numFmtId="0" fontId="20" fillId="7" borderId="1" xfId="12" applyFont="1" applyFill="1" applyBorder="1" applyAlignment="1" applyProtection="1">
      <alignment horizontal="center" vertical="center" wrapText="1"/>
    </xf>
    <xf numFmtId="0" fontId="30" fillId="7" borderId="1" xfId="12" applyFont="1" applyFill="1" applyBorder="1" applyAlignment="1" applyProtection="1">
      <alignment vertical="center" wrapText="1"/>
    </xf>
    <xf numFmtId="10" fontId="20" fillId="4" borderId="0" xfId="0" applyNumberFormat="1" applyFont="1" applyFill="1" applyAlignment="1" applyProtection="1">
      <alignment horizontal="center" vertical="center" wrapText="1"/>
      <protection locked="0"/>
    </xf>
    <xf numFmtId="0" fontId="20" fillId="7" borderId="0" xfId="12" applyFont="1" applyFill="1" applyAlignment="1" applyProtection="1">
      <alignment horizontal="center" vertical="center" wrapText="1"/>
      <protection locked="0"/>
    </xf>
    <xf numFmtId="0" fontId="20" fillId="4" borderId="0" xfId="12" applyFont="1" applyFill="1" applyAlignment="1" applyProtection="1">
      <alignment horizontal="center" vertical="center" wrapText="1"/>
    </xf>
    <xf numFmtId="0" fontId="75" fillId="7" borderId="0" xfId="12" applyFont="1" applyFill="1" applyAlignment="1" applyProtection="1">
      <alignment horizontal="center" vertical="center" wrapText="1"/>
      <protection locked="0"/>
    </xf>
    <xf numFmtId="0" fontId="75" fillId="4" borderId="0" xfId="12" applyFont="1" applyFill="1" applyAlignment="1" applyProtection="1">
      <alignment horizontal="center" vertical="center" wrapText="1"/>
    </xf>
    <xf numFmtId="189" fontId="20" fillId="7" borderId="1" xfId="12" applyNumberFormat="1" applyFont="1" applyFill="1" applyBorder="1" applyAlignment="1" applyProtection="1">
      <alignment horizontal="center" vertical="center" wrapText="1"/>
      <protection locked="0"/>
    </xf>
    <xf numFmtId="0" fontId="30" fillId="7" borderId="1" xfId="12" applyFont="1" applyFill="1" applyBorder="1" applyAlignment="1" applyProtection="1">
      <alignment horizontal="center" vertical="center"/>
    </xf>
    <xf numFmtId="187" fontId="21" fillId="0" borderId="1" xfId="12" applyNumberFormat="1" applyFont="1" applyFill="1" applyBorder="1" applyAlignment="1" applyProtection="1">
      <alignment horizontal="center" vertical="center"/>
      <protection locked="0"/>
    </xf>
    <xf numFmtId="187" fontId="21" fillId="7" borderId="1" xfId="12" applyNumberFormat="1" applyFont="1" applyFill="1" applyBorder="1" applyAlignment="1" applyProtection="1">
      <alignment horizontal="center" vertical="center"/>
    </xf>
    <xf numFmtId="185" fontId="21" fillId="7" borderId="1" xfId="12" applyNumberFormat="1" applyFont="1" applyFill="1" applyBorder="1" applyAlignment="1" applyProtection="1">
      <alignment horizontal="center" vertical="center" wrapText="1"/>
    </xf>
    <xf numFmtId="0" fontId="20" fillId="7" borderId="1" xfId="12" applyNumberFormat="1" applyFont="1" applyFill="1" applyBorder="1" applyAlignment="1" applyProtection="1">
      <alignment horizontal="center" vertical="center" wrapText="1"/>
    </xf>
    <xf numFmtId="0" fontId="20" fillId="4" borderId="0" xfId="12" applyFont="1" applyFill="1" applyAlignment="1" applyProtection="1">
      <alignment horizontal="center" vertical="center" wrapText="1"/>
      <protection locked="0"/>
    </xf>
    <xf numFmtId="0" fontId="20" fillId="0" borderId="0" xfId="12" applyFont="1" applyAlignment="1" applyProtection="1">
      <alignment horizontal="center" vertical="center" wrapText="1"/>
    </xf>
    <xf numFmtId="0" fontId="75" fillId="0" borderId="0" xfId="12" applyFont="1" applyAlignment="1" applyProtection="1">
      <alignment horizontal="center" vertical="center" wrapText="1"/>
    </xf>
    <xf numFmtId="0" fontId="20" fillId="0" borderId="0" xfId="12"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30" fillId="7" borderId="13" xfId="0" applyNumberFormat="1" applyFont="1" applyFill="1" applyBorder="1" applyAlignment="1" applyProtection="1">
      <alignment horizontal="center" vertical="center" wrapText="1"/>
    </xf>
    <xf numFmtId="10" fontId="20" fillId="7" borderId="43"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10" fontId="20" fillId="7" borderId="114" xfId="0" applyNumberFormat="1" applyFont="1" applyFill="1" applyBorder="1" applyAlignment="1" applyProtection="1">
      <alignment horizontal="center" vertical="center" wrapText="1"/>
    </xf>
    <xf numFmtId="0" fontId="30" fillId="7" borderId="13" xfId="0" applyNumberFormat="1" applyFont="1" applyFill="1" applyBorder="1" applyAlignment="1" applyProtection="1">
      <alignment horizontal="center" vertical="center" wrapText="1"/>
    </xf>
    <xf numFmtId="0" fontId="63" fillId="7" borderId="0" xfId="0" applyFont="1" applyFill="1" applyAlignment="1" applyProtection="1">
      <alignment horizontal="center" vertical="center"/>
    </xf>
    <xf numFmtId="184" fontId="30" fillId="7" borderId="1" xfId="0" applyNumberFormat="1" applyFont="1" applyFill="1" applyBorder="1" applyAlignment="1" applyProtection="1">
      <alignment horizontal="center" vertical="center"/>
    </xf>
    <xf numFmtId="185" fontId="30" fillId="7" borderId="1" xfId="0" applyNumberFormat="1" applyFont="1" applyFill="1" applyBorder="1" applyAlignment="1" applyProtection="1">
      <alignment horizontal="center" vertical="center"/>
    </xf>
    <xf numFmtId="187" fontId="21" fillId="7" borderId="1" xfId="0" applyNumberFormat="1" applyFont="1" applyFill="1" applyBorder="1" applyAlignment="1" applyProtection="1">
      <alignment horizontal="center" vertical="center"/>
    </xf>
    <xf numFmtId="185" fontId="21" fillId="7" borderId="1" xfId="0" applyNumberFormat="1" applyFont="1" applyFill="1" applyBorder="1" applyAlignment="1" applyProtection="1">
      <alignment horizontal="center" vertical="center" wrapText="1"/>
    </xf>
    <xf numFmtId="184" fontId="30" fillId="7" borderId="16" xfId="0" applyNumberFormat="1" applyFont="1" applyFill="1" applyBorder="1" applyAlignment="1" applyProtection="1">
      <alignment horizontal="center" vertical="center" wrapText="1"/>
    </xf>
    <xf numFmtId="189" fontId="21" fillId="7" borderId="1" xfId="0" applyNumberFormat="1" applyFont="1" applyFill="1" applyBorder="1" applyAlignment="1" applyProtection="1">
      <alignment horizontal="center" vertical="center"/>
    </xf>
    <xf numFmtId="0" fontId="30" fillId="0" borderId="0" xfId="0" applyFont="1" applyAlignment="1" applyProtection="1">
      <alignment horizontal="left" vertical="center"/>
    </xf>
    <xf numFmtId="0" fontId="20" fillId="7" borderId="64" xfId="0" applyNumberFormat="1" applyFont="1" applyFill="1" applyBorder="1" applyAlignment="1" applyProtection="1">
      <alignment horizontal="center" vertical="center" wrapText="1"/>
    </xf>
    <xf numFmtId="189" fontId="21" fillId="7" borderId="64" xfId="0" applyNumberFormat="1" applyFont="1" applyFill="1" applyBorder="1" applyAlignment="1" applyProtection="1">
      <alignment horizontal="center" vertical="center" wrapText="1"/>
    </xf>
    <xf numFmtId="0" fontId="20" fillId="7" borderId="35" xfId="0" applyNumberFormat="1" applyFont="1" applyFill="1" applyBorder="1" applyAlignment="1" applyProtection="1">
      <alignment horizontal="center" vertical="center" wrapText="1"/>
    </xf>
    <xf numFmtId="0" fontId="21" fillId="7" borderId="31" xfId="0" applyNumberFormat="1" applyFont="1" applyFill="1" applyBorder="1" applyAlignment="1" applyProtection="1">
      <alignment horizontal="center" vertical="center" wrapText="1"/>
    </xf>
    <xf numFmtId="0" fontId="82" fillId="7" borderId="1" xfId="11" applyNumberFormat="1" applyFont="1" applyFill="1" applyBorder="1" applyAlignment="1" applyProtection="1">
      <alignment horizontal="center" vertical="center"/>
    </xf>
    <xf numFmtId="0" fontId="20" fillId="7" borderId="49" xfId="0" applyNumberFormat="1" applyFont="1" applyFill="1" applyBorder="1" applyAlignment="1" applyProtection="1">
      <alignment vertical="center" wrapText="1"/>
    </xf>
    <xf numFmtId="0" fontId="20" fillId="7" borderId="8" xfId="11" applyNumberFormat="1" applyFont="1" applyFill="1" applyBorder="1" applyAlignment="1" applyProtection="1">
      <alignment horizontal="center" vertical="center"/>
    </xf>
    <xf numFmtId="0" fontId="20" fillId="7" borderId="16" xfId="11" applyNumberFormat="1" applyFont="1" applyFill="1" applyBorder="1" applyAlignment="1" applyProtection="1">
      <alignment horizontal="center" vertical="center"/>
    </xf>
    <xf numFmtId="0" fontId="20" fillId="7" borderId="16" xfId="11" applyNumberFormat="1" applyFont="1" applyFill="1" applyBorder="1" applyAlignment="1" applyProtection="1">
      <alignment horizontal="center" vertical="center" wrapText="1"/>
    </xf>
    <xf numFmtId="0" fontId="20" fillId="7" borderId="10" xfId="0" applyNumberFormat="1" applyFont="1" applyFill="1" applyBorder="1" applyAlignment="1" applyProtection="1">
      <alignment horizontal="center" vertical="center" wrapText="1"/>
    </xf>
    <xf numFmtId="0" fontId="21" fillId="7" borderId="1" xfId="0" applyNumberFormat="1" applyFont="1" applyFill="1" applyBorder="1" applyAlignment="1" applyProtection="1">
      <alignment horizontal="center" vertical="center" wrapText="1"/>
    </xf>
    <xf numFmtId="0" fontId="20" fillId="7" borderId="12" xfId="0" applyNumberFormat="1" applyFont="1" applyFill="1" applyBorder="1" applyAlignment="1" applyProtection="1">
      <alignment horizontal="center" vertical="center" wrapText="1"/>
    </xf>
    <xf numFmtId="0" fontId="21" fillId="7" borderId="13" xfId="0" applyNumberFormat="1" applyFont="1" applyFill="1" applyBorder="1" applyAlignment="1" applyProtection="1">
      <alignment horizontal="center" vertical="center" wrapText="1"/>
    </xf>
    <xf numFmtId="0" fontId="30" fillId="7" borderId="4" xfId="0" applyFont="1" applyFill="1" applyBorder="1" applyAlignment="1" applyProtection="1">
      <alignment vertical="center"/>
    </xf>
    <xf numFmtId="0" fontId="30" fillId="7" borderId="0" xfId="0" applyFont="1" applyFill="1" applyBorder="1" applyAlignment="1" applyProtection="1">
      <alignment horizontal="center" vertical="center"/>
    </xf>
    <xf numFmtId="0" fontId="68" fillId="0" borderId="0" xfId="0" applyNumberFormat="1" applyFont="1" applyProtection="1">
      <alignment vertical="center"/>
    </xf>
    <xf numFmtId="0" fontId="20" fillId="7" borderId="35" xfId="11" applyNumberFormat="1" applyFont="1" applyFill="1" applyBorder="1" applyAlignment="1" applyProtection="1">
      <alignment horizontal="center" vertical="center"/>
    </xf>
    <xf numFmtId="0" fontId="20" fillId="7" borderId="36" xfId="11" applyNumberFormat="1" applyFont="1" applyFill="1" applyBorder="1" applyAlignment="1" applyProtection="1">
      <alignment horizontal="center" vertical="center"/>
    </xf>
    <xf numFmtId="0" fontId="21" fillId="7" borderId="11" xfId="0" applyNumberFormat="1" applyFont="1" applyFill="1" applyBorder="1" applyAlignment="1" applyProtection="1">
      <alignment horizontal="center" vertical="center" wrapText="1"/>
    </xf>
    <xf numFmtId="0" fontId="21" fillId="7" borderId="14"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81"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5" fontId="75" fillId="0" borderId="0" xfId="0" applyNumberFormat="1"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0" fontId="53" fillId="7" borderId="48" xfId="0" applyFont="1" applyFill="1" applyBorder="1" applyAlignment="1" applyProtection="1">
      <alignment vertical="center"/>
    </xf>
    <xf numFmtId="0" fontId="88" fillId="7" borderId="95" xfId="0" applyFont="1" applyFill="1" applyBorder="1" applyAlignment="1" applyProtection="1">
      <alignment horizontal="right" vertical="center"/>
    </xf>
    <xf numFmtId="0" fontId="88" fillId="7" borderId="0" xfId="0" applyFont="1" applyFill="1" applyAlignment="1" applyProtection="1">
      <alignment horizontal="center" vertical="center"/>
    </xf>
    <xf numFmtId="0" fontId="88" fillId="7" borderId="95" xfId="0" applyFont="1" applyFill="1" applyBorder="1" applyAlignment="1" applyProtection="1">
      <alignment vertical="center"/>
    </xf>
    <xf numFmtId="0" fontId="89" fillId="7" borderId="95" xfId="0" applyFont="1" applyFill="1" applyBorder="1" applyAlignment="1" applyProtection="1">
      <alignment vertical="center"/>
    </xf>
    <xf numFmtId="187" fontId="51" fillId="7" borderId="1" xfId="0" applyNumberFormat="1" applyFont="1" applyFill="1" applyBorder="1" applyAlignment="1" applyProtection="1">
      <alignment horizontal="right" vertical="center"/>
    </xf>
    <xf numFmtId="0" fontId="88" fillId="7" borderId="0" xfId="0" applyFont="1" applyFill="1" applyBorder="1" applyAlignment="1" applyProtection="1">
      <alignment vertical="center"/>
      <protection locked="0"/>
    </xf>
    <xf numFmtId="0" fontId="89" fillId="7" borderId="0" xfId="0" applyFont="1" applyFill="1" applyBorder="1" applyAlignment="1" applyProtection="1">
      <alignment vertical="center"/>
      <protection locked="0"/>
    </xf>
    <xf numFmtId="184" fontId="51" fillId="7" borderId="15" xfId="0" applyNumberFormat="1" applyFont="1" applyFill="1" applyBorder="1" applyAlignment="1" applyProtection="1">
      <alignment horizontal="right" vertical="center"/>
    </xf>
    <xf numFmtId="0" fontId="88" fillId="0" borderId="13" xfId="0" applyFont="1" applyFill="1" applyBorder="1" applyAlignment="1" applyProtection="1">
      <alignment vertical="center"/>
      <protection locked="0"/>
    </xf>
    <xf numFmtId="0" fontId="76" fillId="7" borderId="49" xfId="0" applyFont="1" applyFill="1" applyBorder="1" applyAlignment="1" applyProtection="1">
      <alignment vertical="center" wrapText="1"/>
    </xf>
    <xf numFmtId="0" fontId="76" fillId="7" borderId="31" xfId="0" applyFont="1" applyFill="1" applyBorder="1" applyAlignment="1" applyProtection="1">
      <alignment vertical="center" wrapText="1"/>
    </xf>
    <xf numFmtId="0" fontId="76" fillId="7" borderId="30" xfId="0" applyFont="1" applyFill="1" applyBorder="1" applyAlignment="1" applyProtection="1">
      <alignment vertical="center" wrapText="1"/>
    </xf>
    <xf numFmtId="0" fontId="76" fillId="7" borderId="0" xfId="0" applyFont="1" applyFill="1" applyBorder="1" applyAlignment="1" applyProtection="1">
      <alignment vertical="center" wrapText="1"/>
    </xf>
    <xf numFmtId="0" fontId="76" fillId="7" borderId="61" xfId="0" applyFont="1" applyFill="1" applyBorder="1" applyAlignment="1" applyProtection="1">
      <alignment vertical="center" wrapText="1"/>
    </xf>
    <xf numFmtId="0" fontId="76" fillId="7" borderId="21" xfId="0" applyFont="1" applyFill="1" applyBorder="1" applyAlignment="1" applyProtection="1">
      <alignment vertical="center" wrapText="1"/>
    </xf>
    <xf numFmtId="0" fontId="91" fillId="7" borderId="117" xfId="0" applyFont="1" applyFill="1" applyBorder="1" applyAlignment="1" applyProtection="1">
      <alignment vertical="center" wrapText="1"/>
    </xf>
    <xf numFmtId="0" fontId="91" fillId="7" borderId="25" xfId="0" applyFont="1" applyFill="1" applyBorder="1" applyAlignment="1" applyProtection="1">
      <alignment vertical="center" wrapText="1"/>
    </xf>
    <xf numFmtId="179" fontId="81" fillId="7" borderId="19" xfId="0" applyNumberFormat="1" applyFont="1" applyFill="1" applyBorder="1" applyAlignment="1" applyProtection="1">
      <alignment horizontal="center" vertical="center" wrapText="1"/>
    </xf>
    <xf numFmtId="0" fontId="81" fillId="7" borderId="26" xfId="0" applyNumberFormat="1" applyFont="1" applyFill="1" applyBorder="1" applyAlignment="1" applyProtection="1">
      <alignment horizontal="center" vertical="center" wrapText="1"/>
    </xf>
    <xf numFmtId="179" fontId="81" fillId="0" borderId="118" xfId="0" applyNumberFormat="1" applyFont="1" applyFill="1" applyBorder="1" applyAlignment="1" applyProtection="1">
      <alignment horizontal="center" vertical="center" wrapText="1"/>
      <protection locked="0"/>
    </xf>
    <xf numFmtId="0" fontId="81" fillId="7" borderId="109" xfId="0" applyNumberFormat="1" applyFont="1" applyFill="1" applyBorder="1" applyAlignment="1" applyProtection="1">
      <alignment horizontal="center" vertical="center" wrapText="1"/>
    </xf>
    <xf numFmtId="179" fontId="81" fillId="0" borderId="19" xfId="0" applyNumberFormat="1" applyFont="1" applyFill="1" applyBorder="1" applyAlignment="1" applyProtection="1">
      <alignment horizontal="center" vertical="center" wrapText="1"/>
      <protection locked="0"/>
    </xf>
    <xf numFmtId="49" fontId="81" fillId="10" borderId="19" xfId="0" applyNumberFormat="1" applyFont="1" applyFill="1" applyBorder="1" applyAlignment="1" applyProtection="1">
      <alignment horizontal="center" vertical="center" wrapText="1"/>
      <protection locked="0"/>
    </xf>
    <xf numFmtId="0" fontId="91" fillId="7" borderId="18" xfId="0" applyFont="1" applyFill="1" applyBorder="1" applyAlignment="1" applyProtection="1">
      <alignment vertical="center" wrapText="1"/>
    </xf>
    <xf numFmtId="0" fontId="81" fillId="7" borderId="32" xfId="0" applyFont="1" applyFill="1" applyBorder="1" applyAlignment="1" applyProtection="1">
      <alignment horizontal="center" vertical="center" wrapText="1"/>
    </xf>
    <xf numFmtId="0" fontId="81" fillId="10" borderId="37" xfId="0" applyNumberFormat="1" applyFont="1" applyFill="1" applyBorder="1" applyAlignment="1" applyProtection="1">
      <alignment horizontal="center" vertical="center" wrapText="1"/>
      <protection locked="0"/>
    </xf>
    <xf numFmtId="0" fontId="81" fillId="7" borderId="9" xfId="0" applyNumberFormat="1" applyFont="1" applyFill="1" applyBorder="1" applyAlignment="1" applyProtection="1">
      <alignment horizontal="center" vertical="center" wrapText="1"/>
    </xf>
    <xf numFmtId="0" fontId="92" fillId="7" borderId="27" xfId="0" applyFont="1" applyFill="1" applyBorder="1" applyAlignment="1" applyProtection="1">
      <alignment vertical="center" wrapText="1"/>
    </xf>
    <xf numFmtId="0" fontId="81" fillId="7" borderId="2" xfId="0" applyFont="1" applyFill="1" applyBorder="1" applyAlignment="1" applyProtection="1">
      <alignment horizontal="center" vertical="center" wrapText="1"/>
    </xf>
    <xf numFmtId="0" fontId="81" fillId="0" borderId="58" xfId="0" applyNumberFormat="1" applyFont="1" applyFill="1" applyBorder="1" applyAlignment="1" applyProtection="1">
      <alignment horizontal="center" vertical="center" wrapText="1"/>
      <protection locked="0"/>
    </xf>
    <xf numFmtId="0" fontId="81" fillId="7" borderId="11" xfId="0" applyNumberFormat="1" applyFont="1" applyFill="1" applyBorder="1" applyAlignment="1" applyProtection="1">
      <alignment horizontal="center" vertical="center" wrapText="1"/>
    </xf>
    <xf numFmtId="0" fontId="76" fillId="7" borderId="27" xfId="0" applyFont="1" applyFill="1" applyBorder="1" applyAlignment="1" applyProtection="1">
      <alignment vertical="center" wrapText="1"/>
    </xf>
    <xf numFmtId="0" fontId="81" fillId="0" borderId="10"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91" fillId="7" borderId="27" xfId="0" applyFont="1" applyFill="1" applyBorder="1" applyAlignment="1" applyProtection="1">
      <alignment vertical="center" wrapText="1"/>
    </xf>
    <xf numFmtId="0" fontId="81" fillId="0" borderId="48" xfId="0" applyFont="1" applyFill="1" applyBorder="1" applyAlignment="1" applyProtection="1">
      <alignment horizontal="center" vertical="center" wrapText="1"/>
      <protection locked="0"/>
    </xf>
    <xf numFmtId="0" fontId="81" fillId="7" borderId="11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41" xfId="0" applyNumberFormat="1" applyFont="1" applyFill="1" applyBorder="1" applyAlignment="1" applyProtection="1">
      <alignment horizontal="center" vertical="center" wrapText="1"/>
      <protection locked="0"/>
    </xf>
    <xf numFmtId="0" fontId="75" fillId="7" borderId="11" xfId="0" applyNumberFormat="1" applyFont="1" applyFill="1" applyBorder="1" applyAlignment="1" applyProtection="1">
      <alignment horizontal="center" vertical="center" wrapText="1"/>
    </xf>
    <xf numFmtId="0" fontId="76" fillId="7" borderId="110" xfId="0" applyFont="1" applyFill="1" applyBorder="1" applyAlignment="1" applyProtection="1">
      <alignment vertical="center" wrapText="1"/>
    </xf>
    <xf numFmtId="0" fontId="81" fillId="0" borderId="33" xfId="0"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7" borderId="14" xfId="0" applyNumberFormat="1" applyFont="1" applyFill="1" applyBorder="1" applyAlignment="1" applyProtection="1">
      <alignment horizontal="center" vertical="center" wrapText="1"/>
    </xf>
    <xf numFmtId="0" fontId="76" fillId="7" borderId="18" xfId="0" applyFont="1" applyFill="1" applyBorder="1" applyAlignment="1" applyProtection="1">
      <alignment vertical="center" wrapText="1"/>
    </xf>
    <xf numFmtId="0" fontId="81" fillId="7" borderId="36" xfId="0" applyFont="1" applyFill="1" applyBorder="1" applyAlignment="1" applyProtection="1">
      <alignment horizontal="center" vertical="center" wrapText="1"/>
    </xf>
    <xf numFmtId="0" fontId="75" fillId="7" borderId="18" xfId="0" applyNumberFormat="1" applyFont="1" applyFill="1" applyBorder="1" applyAlignment="1" applyProtection="1">
      <alignment horizontal="center" vertical="center" wrapText="1"/>
    </xf>
    <xf numFmtId="0" fontId="75" fillId="7" borderId="36" xfId="0" applyNumberFormat="1" applyFont="1" applyFill="1" applyBorder="1" applyAlignment="1" applyProtection="1">
      <alignment horizontal="center" vertical="center" wrapText="1"/>
    </xf>
    <xf numFmtId="49" fontId="75" fillId="0" borderId="111" xfId="0" applyNumberFormat="1" applyFont="1" applyFill="1" applyBorder="1" applyAlignment="1" applyProtection="1">
      <alignment horizontal="center" vertical="center" wrapText="1"/>
      <protection locked="0"/>
    </xf>
    <xf numFmtId="0" fontId="75" fillId="7" borderId="23" xfId="0" applyFont="1" applyFill="1" applyBorder="1" applyAlignment="1" applyProtection="1">
      <alignment horizontal="center" vertical="center"/>
    </xf>
    <xf numFmtId="0" fontId="75" fillId="10" borderId="58" xfId="0" applyNumberFormat="1" applyFont="1" applyFill="1" applyBorder="1" applyAlignment="1" applyProtection="1">
      <alignment horizontal="center" vertical="center" wrapText="1"/>
      <protection locked="0"/>
    </xf>
    <xf numFmtId="0" fontId="75" fillId="7" borderId="28" xfId="0" applyNumberFormat="1" applyFont="1" applyFill="1" applyBorder="1" applyAlignment="1" applyProtection="1">
      <alignment horizontal="center" vertical="center" wrapText="1"/>
    </xf>
    <xf numFmtId="0" fontId="75" fillId="10" borderId="108" xfId="0" applyNumberFormat="1" applyFont="1" applyFill="1" applyBorder="1" applyAlignment="1" applyProtection="1">
      <alignment horizontal="center" vertical="center" wrapText="1"/>
      <protection locked="0"/>
    </xf>
    <xf numFmtId="0" fontId="75" fillId="7" borderId="43" xfId="0" applyNumberFormat="1" applyFont="1" applyFill="1" applyBorder="1" applyAlignment="1" applyProtection="1">
      <alignment horizontal="center" vertical="center" wrapText="1"/>
    </xf>
    <xf numFmtId="0" fontId="81" fillId="7" borderId="40" xfId="0" applyFont="1" applyFill="1" applyBorder="1" applyAlignment="1" applyProtection="1">
      <alignment horizontal="center" vertical="center" wrapText="1"/>
    </xf>
    <xf numFmtId="0" fontId="75" fillId="7" borderId="51" xfId="0" applyNumberFormat="1" applyFont="1" applyFill="1" applyBorder="1" applyAlignment="1" applyProtection="1">
      <alignment horizontal="center" vertical="center" wrapText="1"/>
    </xf>
    <xf numFmtId="49" fontId="75" fillId="0" borderId="119" xfId="0" applyNumberFormat="1" applyFont="1" applyFill="1" applyBorder="1" applyAlignment="1" applyProtection="1">
      <alignment horizontal="center" vertical="center" wrapText="1"/>
      <protection locked="0"/>
    </xf>
    <xf numFmtId="0" fontId="75" fillId="7" borderId="40" xfId="0" applyNumberFormat="1" applyFont="1" applyFill="1" applyBorder="1" applyAlignment="1" applyProtection="1">
      <alignment horizontal="center" vertical="center" wrapText="1"/>
    </xf>
    <xf numFmtId="0" fontId="81" fillId="7" borderId="28" xfId="0" applyFont="1" applyFill="1" applyBorder="1" applyAlignment="1" applyProtection="1">
      <alignment horizontal="center" vertical="center" wrapText="1"/>
    </xf>
    <xf numFmtId="49" fontId="75" fillId="10" borderId="108" xfId="0" applyNumberFormat="1" applyFont="1" applyFill="1" applyBorder="1" applyAlignment="1" applyProtection="1">
      <alignment horizontal="center" vertical="center" wrapText="1"/>
      <protection locked="0"/>
    </xf>
    <xf numFmtId="0" fontId="91" fillId="7" borderId="30" xfId="0" applyFont="1" applyFill="1" applyBorder="1" applyAlignment="1" applyProtection="1">
      <alignment vertical="center" wrapText="1"/>
    </xf>
    <xf numFmtId="0" fontId="81" fillId="7" borderId="43" xfId="0" applyFont="1" applyFill="1" applyBorder="1" applyAlignment="1" applyProtection="1">
      <alignment horizontal="center" vertical="center" wrapText="1"/>
    </xf>
    <xf numFmtId="0" fontId="81" fillId="10" borderId="120" xfId="0" applyNumberFormat="1" applyFont="1" applyFill="1" applyBorder="1" applyAlignment="1" applyProtection="1">
      <alignment horizontal="center" vertical="center" wrapText="1"/>
      <protection locked="0"/>
    </xf>
    <xf numFmtId="0" fontId="81" fillId="10" borderId="96" xfId="0" applyNumberFormat="1" applyFont="1" applyFill="1" applyBorder="1" applyAlignment="1" applyProtection="1">
      <alignment horizontal="center" vertical="center" wrapText="1"/>
      <protection locked="0"/>
    </xf>
    <xf numFmtId="0" fontId="75" fillId="10" borderId="41" xfId="0" applyNumberFormat="1" applyFont="1" applyFill="1" applyBorder="1" applyAlignment="1" applyProtection="1">
      <alignment horizontal="center" vertical="center" wrapText="1"/>
      <protection locked="0"/>
    </xf>
    <xf numFmtId="0" fontId="75" fillId="10" borderId="3" xfId="0" applyNumberFormat="1" applyFont="1" applyFill="1" applyBorder="1" applyAlignment="1" applyProtection="1">
      <alignment horizontal="center" vertical="center" wrapText="1"/>
      <protection locked="0"/>
    </xf>
    <xf numFmtId="0" fontId="75" fillId="7" borderId="27" xfId="0" applyNumberFormat="1" applyFont="1" applyFill="1" applyBorder="1" applyAlignment="1" applyProtection="1">
      <alignment horizontal="center" vertical="center" wrapText="1"/>
    </xf>
    <xf numFmtId="0" fontId="81" fillId="7" borderId="11" xfId="0" applyFont="1" applyFill="1" applyBorder="1" applyAlignment="1" applyProtection="1">
      <alignment horizontal="center" vertical="center" wrapText="1"/>
    </xf>
    <xf numFmtId="0" fontId="75" fillId="7" borderId="41" xfId="0" applyNumberFormat="1" applyFont="1" applyFill="1" applyBorder="1" applyAlignment="1" applyProtection="1">
      <alignment horizontal="center" vertical="center" wrapText="1"/>
    </xf>
    <xf numFmtId="0" fontId="81" fillId="0" borderId="11" xfId="0"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7" borderId="30"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93" fillId="7" borderId="61" xfId="0" applyFont="1" applyFill="1" applyBorder="1" applyAlignment="1" applyProtection="1">
      <alignment vertical="center" textRotation="255" wrapText="1"/>
    </xf>
    <xf numFmtId="0" fontId="68" fillId="0" borderId="14" xfId="0"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wrapText="1"/>
      <protection locked="0"/>
    </xf>
    <xf numFmtId="0" fontId="81" fillId="7" borderId="14"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81" fillId="7" borderId="34" xfId="0"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7" borderId="9" xfId="0" applyNumberFormat="1" applyFont="1" applyFill="1" applyBorder="1" applyAlignment="1" applyProtection="1">
      <alignment horizontal="center" vertical="center" wrapText="1"/>
    </xf>
    <xf numFmtId="0" fontId="76" fillId="7" borderId="27" xfId="0" applyFont="1" applyFill="1" applyBorder="1" applyAlignment="1" applyProtection="1">
      <alignment vertical="center" textRotation="255" wrapText="1"/>
    </xf>
    <xf numFmtId="49" fontId="75" fillId="10" borderId="10" xfId="0" applyNumberFormat="1" applyFont="1" applyFill="1" applyBorder="1" applyAlignment="1" applyProtection="1">
      <alignment horizontal="center" vertical="center" wrapText="1"/>
      <protection locked="0"/>
    </xf>
    <xf numFmtId="0" fontId="91" fillId="7" borderId="27" xfId="0" applyFont="1" applyFill="1" applyBorder="1" applyAlignment="1" applyProtection="1">
      <alignment vertical="center" textRotation="255" wrapText="1"/>
    </xf>
    <xf numFmtId="9" fontId="81" fillId="10" borderId="41"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93" fillId="7" borderId="27" xfId="0" applyFont="1" applyFill="1" applyBorder="1" applyAlignment="1" applyProtection="1">
      <alignment vertical="center" textRotation="255" wrapText="1"/>
    </xf>
    <xf numFmtId="0" fontId="85" fillId="0" borderId="44" xfId="0" applyNumberFormat="1" applyFont="1" applyFill="1" applyBorder="1" applyAlignment="1" applyProtection="1">
      <alignment horizontal="center" vertical="center" wrapText="1"/>
      <protection locked="0"/>
    </xf>
    <xf numFmtId="49" fontId="76" fillId="7" borderId="37" xfId="0" applyNumberFormat="1" applyFont="1" applyFill="1" applyBorder="1" applyAlignment="1" applyProtection="1">
      <alignment vertical="center"/>
    </xf>
    <xf numFmtId="49" fontId="76" fillId="10" borderId="9" xfId="0" applyNumberFormat="1" applyFont="1" applyFill="1" applyBorder="1" applyAlignment="1" applyProtection="1">
      <alignment vertical="center"/>
      <protection locked="0"/>
    </xf>
    <xf numFmtId="0" fontId="76" fillId="7" borderId="38" xfId="0" applyFont="1" applyFill="1" applyBorder="1" applyAlignment="1" applyProtection="1">
      <alignment horizontal="right" vertical="center" wrapText="1"/>
    </xf>
    <xf numFmtId="0" fontId="76" fillId="7" borderId="39" xfId="0" applyFont="1" applyFill="1" applyBorder="1" applyAlignment="1" applyProtection="1">
      <alignment vertical="center" wrapText="1"/>
    </xf>
    <xf numFmtId="0" fontId="94" fillId="8" borderId="38" xfId="0" applyFont="1" applyFill="1" applyBorder="1" applyAlignment="1" applyProtection="1">
      <alignment vertical="center" wrapText="1"/>
      <protection locked="0"/>
    </xf>
    <xf numFmtId="0" fontId="94" fillId="7" borderId="38" xfId="0" applyFont="1" applyFill="1" applyBorder="1" applyAlignment="1" applyProtection="1">
      <alignment vertical="center" wrapText="1"/>
    </xf>
    <xf numFmtId="0" fontId="94" fillId="8" borderId="37" xfId="0" applyFont="1" applyFill="1" applyBorder="1" applyAlignment="1" applyProtection="1">
      <alignment vertical="center" wrapText="1"/>
      <protection locked="0"/>
    </xf>
    <xf numFmtId="0" fontId="94" fillId="7" borderId="39" xfId="0" applyFont="1" applyFill="1" applyBorder="1" applyAlignment="1" applyProtection="1">
      <alignment vertical="center" wrapText="1"/>
    </xf>
    <xf numFmtId="49" fontId="76" fillId="7" borderId="44" xfId="0" applyNumberFormat="1" applyFont="1" applyFill="1" applyBorder="1" applyAlignment="1" applyProtection="1">
      <alignment vertical="center"/>
    </xf>
    <xf numFmtId="49" fontId="76" fillId="7" borderId="46" xfId="0" applyNumberFormat="1" applyFont="1" applyFill="1" applyBorder="1" applyAlignment="1" applyProtection="1">
      <alignment vertical="center"/>
    </xf>
    <xf numFmtId="184" fontId="76" fillId="7" borderId="45" xfId="0" applyNumberFormat="1" applyFont="1" applyFill="1" applyBorder="1" applyAlignment="1" applyProtection="1">
      <alignment vertical="center" wrapText="1"/>
    </xf>
    <xf numFmtId="0" fontId="52" fillId="16" borderId="46" xfId="0" applyNumberFormat="1" applyFont="1" applyFill="1" applyBorder="1" applyAlignment="1" applyProtection="1">
      <alignment horizontal="left" vertical="center" wrapText="1"/>
      <protection locked="0"/>
    </xf>
    <xf numFmtId="186" fontId="76" fillId="16" borderId="46" xfId="0" applyNumberFormat="1" applyFont="1" applyFill="1" applyBorder="1" applyAlignment="1" applyProtection="1">
      <alignment horizontal="left" vertical="center" wrapText="1"/>
      <protection locked="0"/>
    </xf>
    <xf numFmtId="184" fontId="76" fillId="7" borderId="44" xfId="0" applyNumberFormat="1" applyFont="1" applyFill="1" applyBorder="1" applyAlignment="1" applyProtection="1">
      <alignment vertical="center" wrapText="1"/>
    </xf>
    <xf numFmtId="49" fontId="76" fillId="0" borderId="61" xfId="0" applyNumberFormat="1" applyFont="1" applyFill="1" applyBorder="1" applyAlignment="1" applyProtection="1">
      <alignment vertical="center"/>
      <protection locked="0"/>
    </xf>
    <xf numFmtId="49" fontId="76" fillId="0" borderId="22" xfId="0" applyNumberFormat="1" applyFont="1" applyFill="1" applyBorder="1" applyAlignment="1" applyProtection="1">
      <alignment vertical="center"/>
      <protection locked="0"/>
    </xf>
    <xf numFmtId="184" fontId="76" fillId="7" borderId="21" xfId="0" applyNumberFormat="1" applyFont="1" applyFill="1" applyBorder="1" applyAlignment="1" applyProtection="1">
      <alignment vertical="center" wrapText="1"/>
    </xf>
    <xf numFmtId="0" fontId="75" fillId="14" borderId="0" xfId="0" applyFont="1" applyFill="1" applyAlignment="1" applyProtection="1">
      <alignment horizontal="center" vertical="center"/>
      <protection locked="0"/>
    </xf>
    <xf numFmtId="9" fontId="75" fillId="14" borderId="0" xfId="0" applyNumberFormat="1" applyFont="1" applyFill="1" applyAlignment="1" applyProtection="1">
      <alignment horizontal="center" vertical="center"/>
      <protection locked="0"/>
    </xf>
    <xf numFmtId="0" fontId="76" fillId="7" borderId="1" xfId="0" applyFont="1" applyFill="1" applyBorder="1" applyAlignment="1" applyProtection="1">
      <alignment horizontal="left" vertical="center"/>
    </xf>
    <xf numFmtId="186" fontId="75" fillId="7" borderId="2" xfId="0" applyNumberFormat="1" applyFont="1" applyFill="1" applyBorder="1" applyAlignment="1" applyProtection="1">
      <alignment horizontal="center" vertical="center"/>
    </xf>
    <xf numFmtId="186" fontId="75" fillId="7" borderId="4" xfId="0" applyNumberFormat="1" applyFont="1" applyFill="1" applyBorder="1" applyAlignment="1" applyProtection="1">
      <alignment vertical="center"/>
    </xf>
    <xf numFmtId="0" fontId="86" fillId="14" borderId="0" xfId="0" applyFont="1" applyFill="1" applyAlignment="1" applyProtection="1">
      <alignment horizontal="center" vertical="center"/>
      <protection locked="0"/>
    </xf>
    <xf numFmtId="14" fontId="75" fillId="14" borderId="0" xfId="0" applyNumberFormat="1" applyFont="1" applyFill="1" applyAlignment="1" applyProtection="1">
      <alignment horizontal="center" vertical="center"/>
      <protection locked="0"/>
    </xf>
    <xf numFmtId="178" fontId="75" fillId="7" borderId="0" xfId="0" applyNumberFormat="1" applyFont="1" applyFill="1" applyAlignment="1" applyProtection="1">
      <alignment horizontal="center" vertical="center"/>
    </xf>
    <xf numFmtId="0" fontId="86" fillId="7" borderId="0" xfId="0" applyFont="1" applyFill="1" applyAlignment="1" applyProtection="1">
      <alignment horizontal="center" vertical="center"/>
    </xf>
    <xf numFmtId="14" fontId="75" fillId="7" borderId="7" xfId="0" applyNumberFormat="1" applyFont="1" applyFill="1" applyBorder="1" applyAlignment="1" applyProtection="1">
      <alignment horizontal="left" vertical="center"/>
    </xf>
    <xf numFmtId="178" fontId="75" fillId="7" borderId="8" xfId="0" applyNumberFormat="1" applyFont="1" applyFill="1" applyBorder="1" applyAlignment="1" applyProtection="1">
      <alignment horizontal="center" vertical="center"/>
    </xf>
    <xf numFmtId="0" fontId="75" fillId="2" borderId="8" xfId="0" applyFont="1" applyFill="1" applyBorder="1" applyAlignment="1" applyProtection="1">
      <alignment horizontal="center" vertical="center"/>
      <protection locked="0"/>
    </xf>
    <xf numFmtId="0" fontId="75" fillId="7" borderId="31" xfId="0" applyFont="1" applyFill="1" applyBorder="1" applyAlignment="1" applyProtection="1">
      <alignment horizontal="center" vertical="center" wrapText="1"/>
      <protection locked="0"/>
    </xf>
    <xf numFmtId="0" fontId="75" fillId="7" borderId="8" xfId="0" applyFont="1" applyFill="1" applyBorder="1" applyAlignment="1" applyProtection="1">
      <alignment horizontal="center" vertical="center"/>
    </xf>
    <xf numFmtId="0" fontId="75" fillId="7" borderId="9" xfId="0" applyFont="1" applyFill="1" applyBorder="1" applyAlignment="1" applyProtection="1">
      <alignment horizontal="center" vertical="center"/>
    </xf>
    <xf numFmtId="0" fontId="20" fillId="7" borderId="10" xfId="0" applyFont="1" applyFill="1" applyBorder="1" applyAlignment="1" applyProtection="1"/>
    <xf numFmtId="184" fontId="20" fillId="7" borderId="1" xfId="14" applyNumberFormat="1" applyFont="1" applyFill="1" applyBorder="1" applyAlignment="1" applyProtection="1">
      <alignment horizontal="center"/>
    </xf>
    <xf numFmtId="0" fontId="20" fillId="7" borderId="1" xfId="0" applyFont="1" applyFill="1" applyBorder="1" applyAlignment="1" applyProtection="1">
      <alignment horizontal="center"/>
    </xf>
    <xf numFmtId="0" fontId="87" fillId="7" borderId="1" xfId="0" applyFont="1" applyFill="1" applyBorder="1" applyAlignment="1" applyProtection="1">
      <alignment horizontal="center" vertical="center"/>
      <protection locked="0"/>
    </xf>
    <xf numFmtId="187" fontId="20" fillId="7" borderId="11" xfId="14" applyNumberFormat="1" applyFont="1" applyFill="1" applyBorder="1" applyAlignment="1" applyProtection="1">
      <alignment horizontal="center"/>
    </xf>
    <xf numFmtId="0" fontId="20" fillId="7" borderId="10" xfId="14" applyFont="1" applyFill="1" applyBorder="1" applyAlignment="1" applyProtection="1"/>
    <xf numFmtId="9" fontId="87" fillId="2" borderId="1" xfId="0" applyNumberFormat="1" applyFont="1" applyFill="1" applyBorder="1" applyAlignment="1" applyProtection="1">
      <alignment horizontal="center" vertical="center"/>
      <protection locked="0"/>
    </xf>
    <xf numFmtId="189" fontId="20" fillId="0" borderId="1" xfId="14" applyNumberFormat="1" applyFont="1" applyFill="1" applyBorder="1" applyAlignment="1" applyProtection="1">
      <alignment horizontal="center"/>
      <protection locked="0"/>
    </xf>
    <xf numFmtId="0" fontId="30" fillId="7" borderId="10" xfId="0" applyFont="1" applyFill="1" applyBorder="1" applyAlignment="1" applyProtection="1">
      <alignment horizontal="center" vertical="center"/>
    </xf>
    <xf numFmtId="0" fontId="87" fillId="7"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xf>
    <xf numFmtId="0" fontId="87" fillId="7" borderId="13" xfId="0" applyFont="1" applyFill="1" applyBorder="1" applyAlignment="1" applyProtection="1">
      <alignment horizontal="center" vertical="center"/>
    </xf>
    <xf numFmtId="0" fontId="52" fillId="7" borderId="12" xfId="14" applyFont="1" applyFill="1" applyBorder="1" applyAlignment="1" applyProtection="1"/>
    <xf numFmtId="0" fontId="20" fillId="7" borderId="13" xfId="0" applyFont="1" applyFill="1" applyBorder="1" applyAlignment="1" applyProtection="1">
      <alignment horizontal="center"/>
    </xf>
    <xf numFmtId="187" fontId="52" fillId="7" borderId="14" xfId="0" applyNumberFormat="1" applyFont="1" applyFill="1" applyBorder="1" applyAlignment="1" applyProtection="1">
      <alignment horizontal="center"/>
    </xf>
    <xf numFmtId="0" fontId="20" fillId="7" borderId="0" xfId="0" applyFont="1" applyFill="1" applyAlignment="1" applyProtection="1">
      <protection locked="0"/>
    </xf>
    <xf numFmtId="0" fontId="75"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78" fontId="75" fillId="7" borderId="0" xfId="0" applyNumberFormat="1"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xf>
    <xf numFmtId="0" fontId="95" fillId="7" borderId="0" xfId="0" applyFont="1" applyFill="1" applyBorder="1" applyAlignment="1" applyProtection="1"/>
    <xf numFmtId="0" fontId="75" fillId="7" borderId="0" xfId="0" applyFont="1" applyFill="1" applyAlignment="1" applyProtection="1">
      <alignment horizontal="center" vertical="center"/>
    </xf>
    <xf numFmtId="0" fontId="75" fillId="7" borderId="0" xfId="0" applyFont="1" applyFill="1" applyBorder="1" applyAlignment="1" applyProtection="1"/>
    <xf numFmtId="0" fontId="75" fillId="7" borderId="0" xfId="0" applyFont="1" applyFill="1" applyBorder="1" applyAlignment="1" applyProtection="1">
      <alignment horizontal="center"/>
    </xf>
    <xf numFmtId="195" fontId="88" fillId="7" borderId="95" xfId="0" applyNumberFormat="1" applyFont="1" applyFill="1" applyBorder="1" applyAlignment="1" applyProtection="1">
      <alignment horizontal="center" vertical="center"/>
    </xf>
    <xf numFmtId="186" fontId="88" fillId="7" borderId="95" xfId="0" applyNumberFormat="1" applyFont="1" applyFill="1" applyBorder="1" applyAlignment="1" applyProtection="1">
      <alignment vertical="center"/>
    </xf>
    <xf numFmtId="0" fontId="88" fillId="7" borderId="95" xfId="0" applyFont="1" applyFill="1" applyBorder="1" applyAlignment="1" applyProtection="1">
      <alignment horizontal="center" vertical="center"/>
    </xf>
    <xf numFmtId="0" fontId="88" fillId="7" borderId="0" xfId="0" applyFont="1" applyFill="1" applyBorder="1" applyAlignment="1" applyProtection="1">
      <alignment horizontal="center" vertical="center"/>
    </xf>
    <xf numFmtId="195" fontId="88" fillId="7" borderId="0" xfId="0" applyNumberFormat="1" applyFont="1" applyFill="1" applyBorder="1" applyAlignment="1" applyProtection="1">
      <alignment horizontal="center" vertical="center"/>
      <protection locked="0"/>
    </xf>
    <xf numFmtId="186" fontId="88" fillId="14" borderId="0" xfId="0" applyNumberFormat="1" applyFont="1" applyFill="1" applyBorder="1" applyAlignment="1" applyProtection="1">
      <alignment vertical="center"/>
      <protection locked="0"/>
    </xf>
    <xf numFmtId="0" fontId="88" fillId="14" borderId="0" xfId="0" applyFont="1" applyFill="1" applyBorder="1" applyAlignment="1" applyProtection="1">
      <alignment horizontal="center" vertical="center"/>
      <protection locked="0"/>
    </xf>
    <xf numFmtId="195" fontId="81" fillId="7" borderId="4" xfId="0" applyNumberFormat="1" applyFont="1" applyFill="1" applyBorder="1" applyAlignment="1" applyProtection="1">
      <alignment horizontal="center" vertical="center" wrapText="1"/>
    </xf>
    <xf numFmtId="186" fontId="81" fillId="14" borderId="0" xfId="0" applyNumberFormat="1" applyFont="1" applyFill="1" applyBorder="1" applyAlignment="1" applyProtection="1">
      <alignment vertical="center" wrapText="1"/>
      <protection locked="0"/>
    </xf>
    <xf numFmtId="0" fontId="75" fillId="14" borderId="0" xfId="0" applyFont="1" applyFill="1" applyBorder="1" applyAlignment="1" applyProtection="1">
      <alignment horizontal="center" vertical="center"/>
      <protection locked="0"/>
    </xf>
    <xf numFmtId="0" fontId="81" fillId="7" borderId="4" xfId="0" applyNumberFormat="1" applyFont="1" applyFill="1" applyBorder="1" applyAlignment="1" applyProtection="1">
      <alignment horizontal="center" vertical="center" wrapText="1"/>
    </xf>
    <xf numFmtId="186" fontId="81" fillId="14" borderId="0" xfId="0" applyNumberFormat="1" applyFont="1" applyFill="1" applyBorder="1" applyAlignment="1" applyProtection="1">
      <alignment horizontal="center" vertical="center" wrapText="1"/>
      <protection locked="0"/>
    </xf>
    <xf numFmtId="0" fontId="81" fillId="14" borderId="0" xfId="0" applyFont="1" applyFill="1" applyBorder="1" applyAlignment="1" applyProtection="1">
      <alignment horizontal="center" vertical="center"/>
      <protection locked="0"/>
    </xf>
    <xf numFmtId="0" fontId="81" fillId="14" borderId="119" xfId="0" applyFont="1" applyFill="1" applyBorder="1" applyAlignment="1" applyProtection="1">
      <alignment horizontal="center" vertical="center"/>
      <protection locked="0"/>
    </xf>
    <xf numFmtId="0" fontId="96" fillId="7" borderId="4" xfId="0" applyNumberFormat="1" applyFont="1" applyFill="1" applyBorder="1" applyAlignment="1" applyProtection="1">
      <alignment horizontal="center" vertical="center" wrapText="1"/>
    </xf>
    <xf numFmtId="186" fontId="84" fillId="14" borderId="0" xfId="0" applyNumberFormat="1" applyFont="1" applyFill="1" applyBorder="1" applyAlignment="1" applyProtection="1">
      <alignment horizontal="center" vertical="center" wrapText="1"/>
      <protection locked="0"/>
    </xf>
    <xf numFmtId="0" fontId="84" fillId="14" borderId="0" xfId="0" applyFont="1" applyFill="1" applyBorder="1" applyAlignment="1" applyProtection="1">
      <alignment horizontal="center" vertical="center"/>
      <protection locked="0"/>
    </xf>
    <xf numFmtId="0" fontId="84" fillId="14" borderId="119" xfId="0" applyFont="1" applyFill="1" applyBorder="1" applyAlignment="1" applyProtection="1">
      <alignment horizontal="center" vertical="center"/>
      <protection locked="0"/>
    </xf>
    <xf numFmtId="0" fontId="96" fillId="0" borderId="4" xfId="0" applyNumberFormat="1" applyFont="1" applyFill="1" applyBorder="1" applyAlignment="1" applyProtection="1">
      <alignment horizontal="center" vertical="center" wrapText="1"/>
      <protection locked="0"/>
    </xf>
    <xf numFmtId="186" fontId="85" fillId="14" borderId="0" xfId="0" applyNumberFormat="1" applyFont="1" applyFill="1" applyBorder="1" applyAlignment="1" applyProtection="1">
      <alignment horizontal="center" vertical="center" wrapText="1"/>
      <protection locked="0"/>
    </xf>
    <xf numFmtId="0" fontId="75" fillId="14" borderId="119" xfId="0" applyFont="1" applyFill="1" applyBorder="1" applyAlignment="1" applyProtection="1">
      <alignment horizontal="center" vertical="center"/>
      <protection locked="0"/>
    </xf>
    <xf numFmtId="186" fontId="86" fillId="14" borderId="0" xfId="0" applyNumberFormat="1" applyFont="1" applyFill="1" applyBorder="1" applyAlignment="1" applyProtection="1">
      <alignment horizontal="center" vertical="center" wrapText="1"/>
      <protection locked="0"/>
    </xf>
    <xf numFmtId="49" fontId="75" fillId="0" borderId="18" xfId="0" applyNumberFormat="1" applyFont="1" applyFill="1" applyBorder="1" applyAlignment="1" applyProtection="1">
      <alignment horizontal="center" vertical="center" wrapText="1"/>
      <protection locked="0"/>
    </xf>
    <xf numFmtId="49" fontId="75" fillId="0" borderId="27" xfId="0" applyNumberFormat="1" applyFont="1" applyFill="1" applyBorder="1" applyAlignment="1" applyProtection="1">
      <alignment horizontal="center" vertical="center" wrapText="1"/>
      <protection locked="0"/>
    </xf>
    <xf numFmtId="49" fontId="75" fillId="10" borderId="58" xfId="0" applyNumberFormat="1" applyFont="1" applyFill="1" applyBorder="1" applyAlignment="1" applyProtection="1">
      <alignment horizontal="center" vertical="center" wrapText="1"/>
      <protection locked="0"/>
    </xf>
    <xf numFmtId="0" fontId="96" fillId="7" borderId="4" xfId="0" applyNumberFormat="1" applyFont="1" applyFill="1" applyBorder="1" applyAlignment="1" applyProtection="1">
      <alignment horizontal="center" vertical="center" wrapText="1"/>
      <protection locked="0"/>
    </xf>
    <xf numFmtId="0" fontId="50" fillId="7" borderId="4" xfId="0" applyNumberFormat="1" applyFont="1" applyFill="1" applyBorder="1" applyAlignment="1" applyProtection="1">
      <alignment horizontal="center" vertical="center" wrapText="1"/>
    </xf>
    <xf numFmtId="0" fontId="50" fillId="0" borderId="4" xfId="0" applyNumberFormat="1" applyFont="1" applyFill="1" applyBorder="1" applyAlignment="1" applyProtection="1">
      <alignment horizontal="center" vertical="center" wrapText="1"/>
      <protection locked="0"/>
    </xf>
    <xf numFmtId="0" fontId="85" fillId="14" borderId="0" xfId="0" applyFont="1" applyFill="1" applyBorder="1" applyAlignment="1" applyProtection="1">
      <alignment horizontal="center" vertical="center"/>
      <protection locked="0"/>
    </xf>
    <xf numFmtId="0" fontId="85" fillId="14" borderId="119" xfId="0" applyFont="1" applyFill="1" applyBorder="1" applyAlignment="1" applyProtection="1">
      <alignment horizontal="center" vertical="center"/>
      <protection locked="0"/>
    </xf>
    <xf numFmtId="0" fontId="75" fillId="0" borderId="8" xfId="0" applyNumberFormat="1" applyFont="1" applyFill="1" applyBorder="1" applyAlignment="1" applyProtection="1">
      <alignment horizontal="center" vertical="center" wrapText="1"/>
      <protection locked="0"/>
    </xf>
    <xf numFmtId="0" fontId="97" fillId="7" borderId="4" xfId="0" applyNumberFormat="1" applyFont="1" applyFill="1" applyBorder="1" applyAlignment="1" applyProtection="1">
      <alignment horizontal="center" vertical="center" wrapText="1"/>
    </xf>
    <xf numFmtId="195" fontId="75" fillId="7" borderId="4" xfId="0" applyNumberFormat="1" applyFont="1" applyFill="1" applyBorder="1" applyAlignment="1" applyProtection="1">
      <alignment horizontal="center" vertical="center"/>
    </xf>
    <xf numFmtId="186" fontId="75" fillId="14" borderId="0" xfId="0" applyNumberFormat="1" applyFont="1" applyFill="1" applyBorder="1" applyAlignment="1" applyProtection="1">
      <alignment vertical="center" wrapText="1"/>
      <protection locked="0"/>
    </xf>
    <xf numFmtId="178" fontId="75" fillId="7" borderId="42" xfId="0" applyNumberFormat="1" applyFont="1" applyFill="1" applyBorder="1" applyAlignment="1" applyProtection="1">
      <alignment horizontal="left" vertical="center" wrapText="1"/>
    </xf>
    <xf numFmtId="195" fontId="75" fillId="7" borderId="1" xfId="0" applyNumberFormat="1" applyFont="1" applyFill="1" applyBorder="1" applyAlignment="1" applyProtection="1">
      <alignment horizontal="center" vertical="center" wrapText="1"/>
    </xf>
    <xf numFmtId="0" fontId="75" fillId="7" borderId="2" xfId="0" applyFont="1" applyFill="1" applyBorder="1" applyAlignment="1" applyProtection="1">
      <alignment horizontal="center" vertical="center" wrapText="1"/>
    </xf>
    <xf numFmtId="195" fontId="75" fillId="14" borderId="0" xfId="0" applyNumberFormat="1" applyFont="1" applyFill="1" applyAlignment="1" applyProtection="1">
      <alignment horizontal="center" vertical="center"/>
      <protection locked="0"/>
    </xf>
    <xf numFmtId="186" fontId="75" fillId="14" borderId="0" xfId="0" applyNumberFormat="1" applyFont="1" applyFill="1" applyAlignment="1" applyProtection="1">
      <alignment horizontal="center" vertical="center"/>
      <protection locked="0"/>
    </xf>
    <xf numFmtId="195" fontId="86" fillId="14" borderId="0" xfId="0" applyNumberFormat="1" applyFont="1" applyFill="1" applyAlignment="1" applyProtection="1">
      <alignment horizontal="center" vertical="center"/>
      <protection locked="0"/>
    </xf>
    <xf numFmtId="186" fontId="86" fillId="14" borderId="0" xfId="0" applyNumberFormat="1" applyFont="1" applyFill="1" applyAlignment="1" applyProtection="1">
      <alignment horizontal="center" vertical="center"/>
      <protection locked="0"/>
    </xf>
    <xf numFmtId="0" fontId="75" fillId="7" borderId="1" xfId="0" applyFont="1" applyFill="1" applyBorder="1" applyAlignment="1" applyProtection="1">
      <alignment horizontal="center" vertical="center"/>
    </xf>
    <xf numFmtId="0" fontId="98" fillId="7" borderId="0" xfId="0" applyFont="1" applyFill="1" applyAlignment="1" applyProtection="1">
      <alignment horizontal="left" vertical="center"/>
      <protection locked="0"/>
    </xf>
    <xf numFmtId="0" fontId="87" fillId="14" borderId="0" xfId="0" applyFont="1" applyFill="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195" fontId="75" fillId="7" borderId="0" xfId="0" applyNumberFormat="1" applyFont="1" applyFill="1" applyAlignment="1" applyProtection="1">
      <alignment horizontal="center" vertical="center"/>
      <protection locked="0"/>
    </xf>
    <xf numFmtId="186" fontId="75" fillId="7" borderId="0" xfId="0" applyNumberFormat="1" applyFont="1" applyFill="1" applyAlignment="1" applyProtection="1">
      <alignment horizontal="center" vertical="center"/>
      <protection locked="0"/>
    </xf>
    <xf numFmtId="195" fontId="75" fillId="7" borderId="0" xfId="0" applyNumberFormat="1" applyFont="1" applyFill="1" applyBorder="1" applyAlignment="1" applyProtection="1">
      <alignment horizontal="center"/>
    </xf>
    <xf numFmtId="186" fontId="75" fillId="7" borderId="0" xfId="0" applyNumberFormat="1" applyFont="1" applyFill="1" applyBorder="1" applyAlignment="1" applyProtection="1"/>
    <xf numFmtId="0" fontId="75" fillId="7" borderId="0" xfId="0" applyFont="1" applyFill="1" applyBorder="1" applyAlignment="1" applyProtection="1">
      <protection locked="0"/>
    </xf>
    <xf numFmtId="0" fontId="75" fillId="14" borderId="0" xfId="0" applyFont="1" applyFill="1" applyBorder="1" applyAlignment="1" applyProtection="1">
      <protection locked="0"/>
    </xf>
    <xf numFmtId="0" fontId="75" fillId="7" borderId="64" xfId="0" applyFont="1" applyFill="1" applyBorder="1" applyAlignment="1" applyProtection="1">
      <alignment horizontal="center" vertical="center"/>
    </xf>
    <xf numFmtId="196" fontId="81" fillId="7" borderId="2" xfId="0" applyNumberFormat="1" applyFont="1" applyFill="1" applyBorder="1" applyAlignment="1" applyProtection="1">
      <alignment horizontal="center" vertical="center"/>
    </xf>
    <xf numFmtId="49" fontId="81" fillId="7" borderId="4" xfId="0" applyNumberFormat="1" applyFont="1" applyFill="1" applyBorder="1" applyAlignment="1" applyProtection="1">
      <alignment horizontal="center" vertical="center"/>
    </xf>
    <xf numFmtId="0" fontId="81" fillId="7" borderId="64" xfId="0" applyFont="1" applyFill="1" applyBorder="1" applyAlignment="1" applyProtection="1">
      <alignment horizontal="center" vertical="center"/>
    </xf>
    <xf numFmtId="0" fontId="81" fillId="7" borderId="4" xfId="0" applyFont="1" applyFill="1" applyBorder="1" applyAlignment="1" applyProtection="1">
      <alignment horizontal="center" vertical="center"/>
    </xf>
    <xf numFmtId="0" fontId="81" fillId="7" borderId="1" xfId="0" applyFont="1" applyFill="1" applyBorder="1" applyAlignment="1" applyProtection="1">
      <alignment horizontal="center" vertical="center" wrapText="1"/>
    </xf>
    <xf numFmtId="196" fontId="75" fillId="7" borderId="2" xfId="0" applyNumberFormat="1" applyFont="1" applyFill="1" applyBorder="1" applyAlignment="1" applyProtection="1">
      <alignment horizontal="center" vertical="center"/>
    </xf>
    <xf numFmtId="49" fontId="75" fillId="7" borderId="4" xfId="0" applyNumberFormat="1" applyFont="1" applyFill="1" applyBorder="1" applyAlignment="1" applyProtection="1">
      <alignment horizontal="center" vertical="center"/>
    </xf>
    <xf numFmtId="196" fontId="85" fillId="7" borderId="2" xfId="0" applyNumberFormat="1" applyFont="1" applyFill="1" applyBorder="1" applyAlignment="1" applyProtection="1">
      <alignment horizontal="center" vertical="center"/>
    </xf>
    <xf numFmtId="49" fontId="85" fillId="7" borderId="4" xfId="0" applyNumberFormat="1" applyFont="1" applyFill="1" applyBorder="1" applyAlignment="1" applyProtection="1">
      <alignment horizontal="center" vertical="center"/>
    </xf>
    <xf numFmtId="0" fontId="85" fillId="7" borderId="64" xfId="0" applyFont="1" applyFill="1" applyBorder="1" applyAlignment="1" applyProtection="1">
      <alignment horizontal="center" vertical="center"/>
    </xf>
    <xf numFmtId="9" fontId="81" fillId="14"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xf>
    <xf numFmtId="0" fontId="88" fillId="7" borderId="96" xfId="0" applyFont="1" applyFill="1" applyBorder="1" applyAlignment="1" applyProtection="1">
      <alignment horizontal="center" vertical="center"/>
    </xf>
    <xf numFmtId="0" fontId="83" fillId="7" borderId="0" xfId="0" applyFont="1" applyFill="1" applyAlignment="1" applyProtection="1">
      <alignment horizontal="center" vertical="center"/>
    </xf>
    <xf numFmtId="0" fontId="81" fillId="7" borderId="1" xfId="0" applyNumberFormat="1" applyFont="1" applyFill="1" applyBorder="1" applyAlignment="1" applyProtection="1">
      <alignment horizontal="center" vertical="center"/>
    </xf>
    <xf numFmtId="0" fontId="81" fillId="7" borderId="1" xfId="0" applyFont="1" applyFill="1" applyBorder="1" applyAlignment="1" applyProtection="1">
      <alignment horizontal="center" vertical="center"/>
    </xf>
    <xf numFmtId="0" fontId="75" fillId="7" borderId="1" xfId="0" applyNumberFormat="1" applyFont="1" applyFill="1" applyBorder="1" applyAlignment="1" applyProtection="1">
      <alignment horizontal="center" vertical="center"/>
    </xf>
    <xf numFmtId="0" fontId="85" fillId="7" borderId="1" xfId="0" applyFont="1" applyFill="1" applyBorder="1" applyAlignment="1" applyProtection="1">
      <alignment horizontal="center" vertical="center"/>
    </xf>
    <xf numFmtId="0" fontId="75" fillId="7" borderId="16" xfId="0" applyFont="1" applyFill="1" applyBorder="1" applyAlignment="1" applyProtection="1">
      <alignment vertical="center" textRotation="255" wrapText="1"/>
    </xf>
    <xf numFmtId="0" fontId="91" fillId="7" borderId="49" xfId="0" applyNumberFormat="1" applyFont="1" applyFill="1" applyBorder="1" applyAlignment="1" applyProtection="1">
      <alignment vertical="center"/>
    </xf>
    <xf numFmtId="0" fontId="91" fillId="7" borderId="111" xfId="0" applyNumberFormat="1" applyFont="1" applyFill="1" applyBorder="1" applyAlignment="1" applyProtection="1">
      <alignment vertical="center"/>
    </xf>
    <xf numFmtId="0" fontId="81" fillId="7" borderId="113" xfId="0" applyNumberFormat="1" applyFont="1" applyFill="1" applyBorder="1" applyAlignment="1" applyProtection="1">
      <alignment horizontal="center" vertical="center" wrapText="1"/>
    </xf>
    <xf numFmtId="0" fontId="91" fillId="7" borderId="41" xfId="0" applyNumberFormat="1" applyFont="1" applyFill="1" applyBorder="1" applyAlignment="1" applyProtection="1">
      <alignment horizontal="center" vertical="center" wrapText="1"/>
    </xf>
    <xf numFmtId="10" fontId="91" fillId="7" borderId="1"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91" fillId="7" borderId="61" xfId="0" applyNumberFormat="1" applyFont="1" applyFill="1" applyBorder="1" applyAlignment="1" applyProtection="1">
      <alignment vertical="center"/>
    </xf>
    <xf numFmtId="0" fontId="91" fillId="7" borderId="68" xfId="0" applyNumberFormat="1" applyFont="1" applyFill="1" applyBorder="1" applyAlignment="1" applyProtection="1">
      <alignment vertical="center" wrapText="1"/>
    </xf>
    <xf numFmtId="0" fontId="81" fillId="0" borderId="68"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91" fillId="7" borderId="50" xfId="0" applyNumberFormat="1" applyFont="1" applyFill="1" applyBorder="1" applyAlignment="1" applyProtection="1">
      <alignment vertical="center" wrapText="1"/>
    </xf>
    <xf numFmtId="0" fontId="91" fillId="7" borderId="119" xfId="0" applyNumberFormat="1" applyFont="1" applyFill="1" applyBorder="1" applyAlignment="1" applyProtection="1">
      <alignment vertical="center" wrapText="1"/>
    </xf>
    <xf numFmtId="0" fontId="81" fillId="7" borderId="108" xfId="0" applyNumberFormat="1" applyFont="1" applyFill="1" applyBorder="1" applyAlignment="1" applyProtection="1">
      <alignment horizontal="center" vertical="center" wrapText="1"/>
    </xf>
    <xf numFmtId="0" fontId="81" fillId="0" borderId="16" xfId="0" applyNumberFormat="1" applyFont="1" applyFill="1" applyBorder="1" applyAlignment="1" applyProtection="1">
      <alignment horizontal="center" vertical="center" wrapText="1"/>
      <protection locked="0"/>
    </xf>
    <xf numFmtId="0" fontId="81" fillId="7" borderId="112" xfId="0" applyNumberFormat="1" applyFont="1" applyFill="1" applyBorder="1" applyAlignment="1" applyProtection="1">
      <alignment horizontal="center" vertical="center" wrapText="1"/>
    </xf>
    <xf numFmtId="0" fontId="81" fillId="0" borderId="15" xfId="0" applyNumberFormat="1" applyFont="1" applyFill="1" applyBorder="1" applyAlignment="1" applyProtection="1">
      <alignment horizontal="center" vertical="center" wrapText="1"/>
      <protection locked="0"/>
    </xf>
    <xf numFmtId="0" fontId="76" fillId="7" borderId="18" xfId="0" applyNumberFormat="1" applyFont="1" applyFill="1" applyBorder="1" applyAlignment="1" applyProtection="1">
      <alignment vertical="center" wrapText="1"/>
    </xf>
    <xf numFmtId="0" fontId="81" fillId="7" borderId="35" xfId="0" applyNumberFormat="1" applyFont="1" applyFill="1" applyBorder="1" applyAlignment="1" applyProtection="1">
      <alignment horizontal="center" vertical="center" wrapText="1"/>
    </xf>
    <xf numFmtId="0" fontId="76" fillId="7" borderId="27" xfId="0" applyNumberFormat="1" applyFont="1" applyFill="1" applyBorder="1" applyAlignment="1" applyProtection="1">
      <alignment vertical="center" wrapText="1"/>
    </xf>
    <xf numFmtId="0" fontId="85" fillId="7" borderId="121" xfId="0" applyNumberFormat="1" applyFont="1" applyFill="1" applyBorder="1" applyAlignment="1" applyProtection="1">
      <alignment horizontal="center" vertical="center" wrapText="1"/>
    </xf>
    <xf numFmtId="0" fontId="75" fillId="0" borderId="6" xfId="0" applyNumberFormat="1" applyFont="1" applyFill="1" applyBorder="1" applyAlignment="1" applyProtection="1">
      <alignment horizontal="center" vertical="center" wrapText="1"/>
      <protection locked="0"/>
    </xf>
    <xf numFmtId="0" fontId="81" fillId="7" borderId="122" xfId="0" applyNumberFormat="1" applyFont="1" applyFill="1" applyBorder="1" applyAlignment="1" applyProtection="1">
      <alignment horizontal="center" vertical="center" wrapText="1"/>
    </xf>
    <xf numFmtId="0" fontId="75" fillId="7" borderId="123" xfId="0" applyNumberFormat="1" applyFont="1" applyFill="1" applyBorder="1" applyAlignment="1" applyProtection="1">
      <alignment horizontal="center" vertical="center" wrapText="1"/>
    </xf>
    <xf numFmtId="0" fontId="81" fillId="7" borderId="121" xfId="0" applyNumberFormat="1" applyFont="1" applyFill="1" applyBorder="1" applyAlignment="1" applyProtection="1">
      <alignment horizontal="center" vertical="center" wrapText="1"/>
    </xf>
    <xf numFmtId="0" fontId="75" fillId="7" borderId="6" xfId="0" applyNumberFormat="1" applyFont="1" applyFill="1" applyBorder="1" applyAlignment="1" applyProtection="1">
      <alignment horizontal="center" vertical="center" wrapText="1"/>
    </xf>
    <xf numFmtId="0" fontId="81" fillId="7" borderId="64" xfId="0" applyNumberFormat="1" applyFont="1" applyFill="1" applyBorder="1" applyAlignment="1" applyProtection="1">
      <alignment horizontal="center" vertical="center" wrapText="1"/>
    </xf>
    <xf numFmtId="0" fontId="75" fillId="7" borderId="16" xfId="0" applyNumberFormat="1" applyFont="1" applyFill="1" applyBorder="1" applyAlignment="1" applyProtection="1">
      <alignment horizontal="center" vertical="center" wrapText="1"/>
    </xf>
    <xf numFmtId="0" fontId="85" fillId="7" borderId="64" xfId="0" applyNumberFormat="1" applyFont="1" applyFill="1" applyBorder="1" applyAlignment="1" applyProtection="1">
      <alignment horizontal="center" vertical="center" wrapText="1"/>
    </xf>
    <xf numFmtId="0" fontId="93" fillId="7" borderId="27" xfId="0" applyNumberFormat="1" applyFont="1" applyFill="1" applyBorder="1" applyAlignment="1" applyProtection="1">
      <alignment vertical="center" wrapText="1"/>
    </xf>
    <xf numFmtId="0" fontId="81" fillId="0" borderId="123"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93" fillId="7" borderId="110" xfId="0" applyNumberFormat="1" applyFont="1" applyFill="1" applyBorder="1" applyAlignment="1" applyProtection="1">
      <alignment vertical="center" wrapText="1"/>
    </xf>
    <xf numFmtId="0" fontId="81" fillId="7" borderId="20" xfId="0" applyNumberFormat="1" applyFont="1" applyFill="1" applyBorder="1" applyAlignment="1" applyProtection="1">
      <alignment horizontal="center" vertical="center" wrapText="1"/>
    </xf>
    <xf numFmtId="0" fontId="81" fillId="0" borderId="13" xfId="0" applyNumberFormat="1" applyFont="1" applyFill="1" applyBorder="1" applyAlignment="1" applyProtection="1">
      <alignment horizontal="center" vertical="center" wrapText="1"/>
      <protection locked="0"/>
    </xf>
    <xf numFmtId="0" fontId="85" fillId="0" borderId="13" xfId="0" applyNumberFormat="1" applyFont="1" applyFill="1" applyBorder="1" applyAlignment="1" applyProtection="1">
      <alignment horizontal="center" vertical="center" wrapText="1"/>
      <protection locked="0"/>
    </xf>
    <xf numFmtId="0" fontId="81" fillId="7" borderId="8" xfId="0" applyNumberFormat="1" applyFont="1" applyFill="1" applyBorder="1" applyAlignment="1" applyProtection="1">
      <alignment horizontal="center" vertical="center" wrapText="1"/>
    </xf>
    <xf numFmtId="0" fontId="75" fillId="7" borderId="8" xfId="0" applyNumberFormat="1" applyFont="1" applyFill="1" applyBorder="1" applyAlignment="1" applyProtection="1">
      <alignment horizontal="center" vertical="center" wrapText="1"/>
    </xf>
    <xf numFmtId="0" fontId="81" fillId="7" borderId="123" xfId="0" applyNumberFormat="1" applyFont="1" applyFill="1" applyBorder="1" applyAlignment="1" applyProtection="1">
      <alignment horizontal="center" vertical="center" wrapText="1"/>
    </xf>
    <xf numFmtId="0" fontId="91" fillId="7" borderId="27" xfId="0" applyNumberFormat="1" applyFont="1" applyFill="1" applyBorder="1" applyAlignment="1" applyProtection="1">
      <alignment vertical="center" wrapText="1"/>
    </xf>
    <xf numFmtId="0" fontId="81" fillId="7" borderId="6" xfId="0" applyNumberFormat="1" applyFont="1" applyFill="1" applyBorder="1" applyAlignment="1" applyProtection="1">
      <alignment horizontal="center" vertical="center" wrapText="1"/>
    </xf>
    <xf numFmtId="0" fontId="85" fillId="7" borderId="123" xfId="0" applyNumberFormat="1" applyFont="1" applyFill="1" applyBorder="1" applyAlignment="1" applyProtection="1">
      <alignment horizontal="center" vertical="center" wrapText="1"/>
    </xf>
    <xf numFmtId="0" fontId="85" fillId="7" borderId="6" xfId="0" applyNumberFormat="1" applyFont="1" applyFill="1" applyBorder="1" applyAlignment="1" applyProtection="1">
      <alignment horizontal="center" vertical="center" wrapText="1"/>
    </xf>
    <xf numFmtId="0" fontId="75" fillId="7" borderId="64" xfId="0" applyNumberFormat="1" applyFont="1" applyFill="1" applyBorder="1" applyAlignment="1" applyProtection="1">
      <alignment horizontal="center" vertical="center" wrapText="1"/>
    </xf>
    <xf numFmtId="0" fontId="75" fillId="0" borderId="123"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93" fillId="7" borderId="27" xfId="0" applyNumberFormat="1" applyFont="1" applyFill="1" applyBorder="1" applyAlignment="1" applyProtection="1">
      <alignment vertical="center" textRotation="255" wrapText="1"/>
    </xf>
    <xf numFmtId="0" fontId="81" fillId="7" borderId="50" xfId="0" applyNumberFormat="1" applyFont="1" applyFill="1" applyBorder="1" applyAlignment="1" applyProtection="1">
      <alignment horizontal="center" vertical="center"/>
    </xf>
    <xf numFmtId="0" fontId="75" fillId="0" borderId="15" xfId="0" applyNumberFormat="1" applyFont="1" applyFill="1" applyBorder="1" applyAlignment="1" applyProtection="1">
      <alignment horizontal="center" vertical="center" wrapText="1"/>
      <protection locked="0"/>
    </xf>
    <xf numFmtId="0" fontId="76" fillId="7" borderId="27" xfId="0" applyNumberFormat="1" applyFont="1" applyFill="1" applyBorder="1" applyAlignment="1" applyProtection="1">
      <alignment vertical="center" textRotation="255" wrapText="1"/>
    </xf>
    <xf numFmtId="0" fontId="85" fillId="7" borderId="20" xfId="0" applyNumberFormat="1" applyFont="1" applyFill="1" applyBorder="1" applyAlignment="1" applyProtection="1">
      <alignment horizontal="center" vertical="center" wrapText="1"/>
    </xf>
    <xf numFmtId="49" fontId="81" fillId="14"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1" fillId="0" borderId="47" xfId="0" applyNumberFormat="1" applyFont="1" applyFill="1" applyBorder="1" applyAlignment="1" applyProtection="1">
      <alignment horizontal="center" vertical="center" wrapText="1"/>
      <protection locked="0"/>
    </xf>
    <xf numFmtId="0" fontId="81" fillId="0" borderId="114"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28" xfId="0" applyNumberFormat="1" applyFont="1" applyFill="1" applyBorder="1" applyAlignment="1" applyProtection="1">
      <alignment horizontal="center" vertical="center" wrapText="1"/>
      <protection locked="0"/>
    </xf>
    <xf numFmtId="0" fontId="81" fillId="14" borderId="0" xfId="0" applyNumberFormat="1" applyFont="1" applyFill="1" applyBorder="1" applyAlignment="1" applyProtection="1">
      <alignment horizontal="center" vertical="center" wrapText="1"/>
      <protection locked="0"/>
    </xf>
    <xf numFmtId="0" fontId="68" fillId="14" borderId="0" xfId="0" applyFont="1" applyFill="1" applyBorder="1" applyAlignment="1" applyProtection="1">
      <alignment vertical="center"/>
      <protection locked="0"/>
    </xf>
    <xf numFmtId="0" fontId="81" fillId="0" borderId="40"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left"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14" borderId="0" xfId="0" applyNumberFormat="1" applyFont="1" applyFill="1" applyBorder="1" applyAlignment="1" applyProtection="1">
      <alignment horizontal="center" vertical="center" wrapText="1"/>
      <protection locked="0"/>
    </xf>
    <xf numFmtId="0" fontId="81" fillId="14" borderId="0" xfId="0" applyFont="1" applyFill="1" applyBorder="1" applyAlignment="1" applyProtection="1">
      <alignment horizontal="center" vertical="center" wrapText="1"/>
      <protection locked="0"/>
    </xf>
    <xf numFmtId="0" fontId="75" fillId="0" borderId="124" xfId="0" applyNumberFormat="1" applyFont="1" applyFill="1" applyBorder="1" applyAlignment="1" applyProtection="1">
      <alignment horizontal="center" vertical="center" wrapText="1"/>
      <protection locked="0"/>
    </xf>
    <xf numFmtId="0" fontId="75" fillId="14" borderId="0" xfId="0" applyNumberFormat="1" applyFont="1" applyFill="1" applyBorder="1" applyAlignment="1" applyProtection="1">
      <alignment horizontal="center" vertical="center" wrapText="1"/>
      <protection locked="0"/>
    </xf>
    <xf numFmtId="0" fontId="86" fillId="7" borderId="123" xfId="0" applyNumberFormat="1" applyFont="1" applyFill="1" applyBorder="1" applyAlignment="1" applyProtection="1">
      <alignment horizontal="center" vertical="center" wrapText="1"/>
    </xf>
    <xf numFmtId="0" fontId="86" fillId="7" borderId="123" xfId="0" applyNumberFormat="1" applyFont="1" applyFill="1" applyBorder="1" applyAlignment="1" applyProtection="1">
      <alignment horizontal="left" vertical="center" wrapText="1"/>
    </xf>
    <xf numFmtId="0" fontId="86" fillId="7" borderId="125" xfId="0" applyNumberFormat="1" applyFont="1" applyFill="1" applyBorder="1" applyAlignment="1" applyProtection="1">
      <alignment horizontal="center" vertical="center" wrapText="1"/>
    </xf>
    <xf numFmtId="0" fontId="75" fillId="7" borderId="124" xfId="0" applyNumberFormat="1"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0" borderId="1" xfId="0" applyNumberFormat="1" applyFont="1" applyFill="1" applyBorder="1" applyAlignment="1" applyProtection="1">
      <alignment horizontal="left"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left" vertical="center" wrapText="1"/>
      <protection locked="0"/>
    </xf>
    <xf numFmtId="0" fontId="85" fillId="0" borderId="125" xfId="0" applyNumberFormat="1" applyFont="1" applyFill="1" applyBorder="1" applyAlignment="1" applyProtection="1">
      <alignment horizontal="center" vertical="center" wrapText="1"/>
      <protection locked="0"/>
    </xf>
    <xf numFmtId="0" fontId="85" fillId="14" borderId="0" xfId="0" applyNumberFormat="1" applyFont="1" applyFill="1" applyBorder="1" applyAlignment="1" applyProtection="1">
      <alignment horizontal="center" vertical="center" wrapText="1"/>
      <protection locked="0"/>
    </xf>
    <xf numFmtId="0" fontId="85" fillId="14" borderId="0" xfId="0" applyFont="1" applyFill="1" applyBorder="1" applyAlignment="1" applyProtection="1">
      <alignment horizontal="center" vertical="center" wrapText="1"/>
      <protection locked="0"/>
    </xf>
    <xf numFmtId="0" fontId="85" fillId="0" borderId="124"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28" xfId="0" applyNumberFormat="1" applyFont="1" applyFill="1" applyBorder="1" applyAlignment="1" applyProtection="1">
      <alignment horizontal="center" vertical="center" wrapText="1"/>
      <protection locked="0"/>
    </xf>
    <xf numFmtId="0" fontId="85" fillId="14" borderId="0" xfId="0" applyFont="1" applyFill="1" applyBorder="1" applyAlignment="1" applyProtection="1">
      <alignment vertical="center" wrapText="1"/>
      <protection locked="0"/>
    </xf>
    <xf numFmtId="0" fontId="85" fillId="0" borderId="14" xfId="0" applyNumberFormat="1" applyFont="1" applyFill="1" applyBorder="1" applyAlignment="1" applyProtection="1">
      <alignment horizontal="center" vertical="center" wrapText="1"/>
      <protection locked="0"/>
    </xf>
    <xf numFmtId="0" fontId="86" fillId="7" borderId="8" xfId="0" applyNumberFormat="1" applyFont="1" applyFill="1" applyBorder="1" applyAlignment="1" applyProtection="1">
      <alignment horizontal="center" vertical="center" wrapText="1"/>
    </xf>
    <xf numFmtId="0" fontId="86" fillId="7" borderId="8" xfId="0" applyNumberFormat="1" applyFont="1" applyFill="1" applyBorder="1" applyAlignment="1" applyProtection="1">
      <alignment horizontal="left" vertical="center" wrapText="1"/>
    </xf>
    <xf numFmtId="0" fontId="86" fillId="7" borderId="9" xfId="0" applyNumberFormat="1" applyFont="1" applyFill="1" applyBorder="1" applyAlignment="1" applyProtection="1">
      <alignment horizontal="center" vertical="center" wrapText="1"/>
    </xf>
    <xf numFmtId="0" fontId="81" fillId="14" borderId="0" xfId="0" applyFont="1" applyFill="1" applyBorder="1" applyAlignment="1" applyProtection="1">
      <alignment vertical="center" wrapText="1"/>
      <protection locked="0"/>
    </xf>
    <xf numFmtId="0" fontId="81" fillId="7" borderId="123" xfId="0" applyNumberFormat="1" applyFont="1" applyFill="1" applyBorder="1" applyAlignment="1" applyProtection="1">
      <alignment horizontal="left" vertical="center" wrapText="1"/>
    </xf>
    <xf numFmtId="0" fontId="81" fillId="7" borderId="125" xfId="0" applyNumberFormat="1" applyFont="1" applyFill="1" applyBorder="1" applyAlignment="1" applyProtection="1">
      <alignment horizontal="center" vertical="center" wrapText="1"/>
    </xf>
    <xf numFmtId="0" fontId="85" fillId="7" borderId="123" xfId="0" applyNumberFormat="1" applyFont="1" applyFill="1" applyBorder="1" applyAlignment="1" applyProtection="1">
      <alignment horizontal="left" vertical="center" wrapText="1"/>
    </xf>
    <xf numFmtId="0" fontId="85" fillId="7" borderId="125" xfId="0" applyNumberFormat="1" applyFont="1" applyFill="1" applyBorder="1" applyAlignment="1" applyProtection="1">
      <alignment horizontal="center" vertical="center" wrapText="1"/>
    </xf>
    <xf numFmtId="0" fontId="85" fillId="7" borderId="124" xfId="0" applyNumberFormat="1" applyFont="1" applyFill="1" applyBorder="1" applyAlignment="1" applyProtection="1">
      <alignment horizontal="center" vertical="center" wrapText="1"/>
    </xf>
    <xf numFmtId="0" fontId="85" fillId="7" borderId="43" xfId="0" applyNumberFormat="1" applyFont="1" applyFill="1" applyBorder="1" applyAlignment="1" applyProtection="1">
      <alignment horizontal="center" vertical="center" wrapText="1"/>
    </xf>
    <xf numFmtId="0" fontId="86" fillId="0" borderId="123" xfId="0" applyNumberFormat="1" applyFont="1" applyFill="1" applyBorder="1" applyAlignment="1" applyProtection="1">
      <alignment horizontal="center" vertical="center" wrapText="1"/>
      <protection locked="0"/>
    </xf>
    <xf numFmtId="0" fontId="86" fillId="0" borderId="123" xfId="0" applyNumberFormat="1" applyFont="1" applyFill="1" applyBorder="1" applyAlignment="1" applyProtection="1">
      <alignment horizontal="left" vertical="center" wrapText="1"/>
      <protection locked="0"/>
    </xf>
    <xf numFmtId="0" fontId="86" fillId="0" borderId="125"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28"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1"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68" fillId="7" borderId="8" xfId="0" applyNumberFormat="1" applyFont="1" applyFill="1" applyBorder="1" applyAlignment="1" applyProtection="1">
      <alignment horizontal="center" vertical="center" wrapText="1"/>
    </xf>
    <xf numFmtId="0" fontId="68" fillId="7" borderId="9" xfId="0" applyNumberFormat="1" applyFont="1" applyFill="1" applyBorder="1" applyAlignment="1" applyProtection="1">
      <alignment horizontal="center" vertical="center" wrapText="1"/>
    </xf>
    <xf numFmtId="49" fontId="81" fillId="14" borderId="0" xfId="0" applyNumberFormat="1" applyFont="1" applyFill="1" applyAlignment="1" applyProtection="1">
      <alignment horizontal="center" vertical="center"/>
      <protection locked="0"/>
    </xf>
    <xf numFmtId="0" fontId="81" fillId="14" borderId="0" xfId="0" applyFont="1" applyFill="1" applyAlignment="1" applyProtection="1">
      <alignment horizontal="center" vertical="center"/>
      <protection locked="0"/>
    </xf>
    <xf numFmtId="9" fontId="85" fillId="14" borderId="0" xfId="0" applyNumberFormat="1" applyFont="1" applyFill="1" applyBorder="1" applyAlignment="1" applyProtection="1">
      <alignment horizontal="center" vertical="center" wrapText="1"/>
      <protection locked="0"/>
    </xf>
    <xf numFmtId="0" fontId="85" fillId="14" borderId="0" xfId="0" applyFont="1" applyFill="1" applyAlignment="1" applyProtection="1">
      <alignment horizontal="center" vertical="center"/>
      <protection locked="0"/>
    </xf>
    <xf numFmtId="9" fontId="85" fillId="14" borderId="0" xfId="0" applyNumberFormat="1" applyFont="1" applyFill="1" applyBorder="1" applyAlignment="1" applyProtection="1">
      <alignment horizontal="center" vertical="center"/>
      <protection locked="0"/>
    </xf>
    <xf numFmtId="0" fontId="51" fillId="7" borderId="0" xfId="0" applyFont="1" applyFill="1" applyBorder="1" applyAlignment="1" applyProtection="1">
      <alignment vertical="center"/>
      <protection locked="0"/>
    </xf>
    <xf numFmtId="49" fontId="81" fillId="0" borderId="58" xfId="0" applyNumberFormat="1" applyFont="1" applyFill="1" applyBorder="1" applyAlignment="1" applyProtection="1">
      <alignment horizontal="center" vertical="center" wrapText="1"/>
      <protection locked="0"/>
    </xf>
    <xf numFmtId="49" fontId="81" fillId="0" borderId="108" xfId="0" applyNumberFormat="1"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100" fillId="0" borderId="58"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xf>
    <xf numFmtId="49" fontId="75" fillId="7" borderId="18" xfId="0" applyNumberFormat="1" applyFont="1" applyFill="1" applyBorder="1" applyAlignment="1" applyProtection="1">
      <alignment horizontal="center" vertical="center" wrapText="1"/>
    </xf>
    <xf numFmtId="49" fontId="101" fillId="0" borderId="111"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xf>
    <xf numFmtId="0" fontId="81" fillId="7" borderId="48" xfId="0" applyFont="1" applyFill="1" applyBorder="1" applyAlignment="1" applyProtection="1">
      <alignment horizontal="center" vertical="center" wrapText="1"/>
    </xf>
    <xf numFmtId="0" fontId="75" fillId="10" borderId="27" xfId="0" applyNumberFormat="1" applyFont="1" applyFill="1" applyBorder="1" applyAlignment="1" applyProtection="1">
      <alignment horizontal="center" vertical="center" wrapText="1"/>
      <protection locked="0"/>
    </xf>
    <xf numFmtId="49" fontId="75" fillId="10" borderId="119" xfId="0" applyNumberFormat="1" applyFont="1" applyFill="1" applyBorder="1" applyAlignment="1" applyProtection="1">
      <alignment horizontal="center" vertical="center" wrapText="1"/>
      <protection locked="0"/>
    </xf>
    <xf numFmtId="49" fontId="75" fillId="0" borderId="112" xfId="0" applyNumberFormat="1"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0" fontId="81" fillId="7" borderId="50"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protection locked="0"/>
    </xf>
    <xf numFmtId="0" fontId="85" fillId="0" borderId="33" xfId="0" applyFont="1" applyFill="1" applyBorder="1" applyAlignment="1" applyProtection="1">
      <alignment horizontal="center" vertical="center"/>
      <protection locked="0"/>
    </xf>
    <xf numFmtId="0" fontId="101" fillId="0" borderId="2" xfId="0"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wrapText="1"/>
      <protection locked="0"/>
    </xf>
    <xf numFmtId="0" fontId="85" fillId="7" borderId="14" xfId="0" applyNumberFormat="1" applyFont="1" applyFill="1" applyBorder="1" applyAlignment="1" applyProtection="1">
      <alignment horizontal="center" vertical="center" wrapText="1"/>
    </xf>
    <xf numFmtId="0" fontId="76" fillId="0" borderId="38" xfId="0" applyFont="1" applyFill="1" applyBorder="1" applyAlignment="1" applyProtection="1">
      <alignment vertical="center" wrapText="1"/>
      <protection locked="0"/>
    </xf>
    <xf numFmtId="0" fontId="76" fillId="0" borderId="37" xfId="0" applyFont="1" applyFill="1" applyBorder="1" applyAlignment="1" applyProtection="1">
      <alignment vertical="center" wrapText="1"/>
      <protection locked="0"/>
    </xf>
    <xf numFmtId="184" fontId="75" fillId="14" borderId="0" xfId="0" applyNumberFormat="1" applyFont="1" applyFill="1" applyAlignment="1" applyProtection="1">
      <alignment horizontal="center" vertical="center"/>
      <protection locked="0"/>
    </xf>
    <xf numFmtId="0" fontId="75" fillId="7" borderId="32" xfId="0" applyFont="1" applyFill="1" applyBorder="1" applyAlignment="1" applyProtection="1">
      <alignment horizontal="center" vertical="center"/>
    </xf>
    <xf numFmtId="187" fontId="20" fillId="7" borderId="2" xfId="14" applyNumberFormat="1" applyFont="1" applyFill="1" applyBorder="1" applyAlignment="1" applyProtection="1">
      <alignment horizontal="center"/>
    </xf>
    <xf numFmtId="186" fontId="99" fillId="14" borderId="0" xfId="0" applyNumberFormat="1" applyFont="1" applyFill="1" applyBorder="1" applyAlignment="1" applyProtection="1">
      <alignment horizontal="center" vertical="center" wrapText="1"/>
      <protection locked="0"/>
    </xf>
    <xf numFmtId="49" fontId="101" fillId="0" borderId="18" xfId="0" applyNumberFormat="1" applyFont="1" applyFill="1" applyBorder="1" applyAlignment="1" applyProtection="1">
      <alignment horizontal="center" vertical="center" wrapText="1"/>
      <protection locked="0"/>
    </xf>
    <xf numFmtId="49" fontId="75" fillId="10" borderId="27" xfId="0" applyNumberFormat="1" applyFont="1" applyFill="1" applyBorder="1" applyAlignment="1" applyProtection="1">
      <alignment horizontal="center" vertical="center" wrapText="1"/>
      <protection locked="0"/>
    </xf>
    <xf numFmtId="49" fontId="75" fillId="0" borderId="51" xfId="0" applyNumberFormat="1" applyFont="1" applyFill="1" applyBorder="1" applyAlignment="1" applyProtection="1">
      <alignment horizontal="center" vertical="center" wrapText="1"/>
      <protection locked="0"/>
    </xf>
    <xf numFmtId="49" fontId="101" fillId="0" borderId="27" xfId="0" applyNumberFormat="1" applyFont="1" applyFill="1" applyBorder="1" applyAlignment="1" applyProtection="1">
      <alignment horizontal="center" vertical="center" wrapText="1"/>
      <protection locked="0"/>
    </xf>
    <xf numFmtId="0" fontId="96" fillId="17" borderId="4" xfId="0" applyNumberFormat="1" applyFont="1" applyFill="1" applyBorder="1" applyAlignment="1" applyProtection="1">
      <alignment horizontal="center" vertical="center" wrapText="1"/>
      <protection locked="0"/>
    </xf>
    <xf numFmtId="0" fontId="50" fillId="17" borderId="4" xfId="0" applyNumberFormat="1" applyFont="1" applyFill="1" applyBorder="1" applyAlignment="1" applyProtection="1">
      <alignment horizontal="center" vertical="center" wrapText="1"/>
      <protection locked="0"/>
    </xf>
    <xf numFmtId="0" fontId="68" fillId="7" borderId="9" xfId="0" applyFont="1" applyFill="1" applyBorder="1" applyAlignment="1" applyProtection="1">
      <alignment horizontal="center" vertical="center"/>
    </xf>
    <xf numFmtId="0" fontId="68" fillId="7" borderId="59" xfId="0" applyFont="1" applyFill="1" applyBorder="1" applyAlignment="1" applyProtection="1">
      <alignment horizontal="center" vertical="center"/>
    </xf>
    <xf numFmtId="0" fontId="30" fillId="7" borderId="11" xfId="0" applyFont="1" applyFill="1" applyBorder="1" applyAlignment="1" applyProtection="1">
      <alignment horizontal="center" vertical="center"/>
    </xf>
    <xf numFmtId="0" fontId="30" fillId="7" borderId="126" xfId="0" applyFont="1" applyFill="1" applyBorder="1" applyAlignment="1" applyProtection="1">
      <alignment horizontal="center" vertical="center"/>
    </xf>
    <xf numFmtId="0" fontId="30" fillId="0" borderId="126"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protection locked="0"/>
    </xf>
    <xf numFmtId="0" fontId="20" fillId="7" borderId="0" xfId="0" applyFont="1" applyFill="1" applyAlignment="1" applyProtection="1"/>
    <xf numFmtId="0" fontId="91" fillId="2" borderId="10" xfId="0" applyNumberFormat="1" applyFont="1" applyFill="1" applyBorder="1" applyAlignment="1" applyProtection="1">
      <alignment horizontal="center" vertical="center" wrapText="1"/>
      <protection locked="0"/>
    </xf>
    <xf numFmtId="0" fontId="101" fillId="0" borderId="8" xfId="0" applyNumberFormat="1" applyFont="1" applyFill="1" applyBorder="1" applyAlignment="1" applyProtection="1">
      <alignment horizontal="center" vertical="center" wrapText="1"/>
      <protection locked="0"/>
    </xf>
    <xf numFmtId="0" fontId="99" fillId="0" borderId="123" xfId="0" applyNumberFormat="1"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30" fillId="7" borderId="14" xfId="0" applyFont="1" applyFill="1" applyBorder="1" applyAlignment="1" applyProtection="1">
      <alignment horizontal="center" vertical="center"/>
    </xf>
    <xf numFmtId="0" fontId="30" fillId="0" borderId="60" xfId="0" applyFont="1" applyFill="1" applyBorder="1" applyAlignment="1" applyProtection="1">
      <alignment horizontal="center" vertical="center"/>
      <protection locked="0"/>
    </xf>
    <xf numFmtId="0" fontId="20" fillId="14" borderId="0" xfId="0" applyFont="1" applyFill="1" applyAlignment="1" applyProtection="1">
      <protection locked="0"/>
    </xf>
    <xf numFmtId="195" fontId="75" fillId="7" borderId="0" xfId="0" applyNumberFormat="1" applyFont="1" applyFill="1" applyBorder="1" applyAlignment="1" applyProtection="1">
      <alignment horizontal="center"/>
      <protection locked="0"/>
    </xf>
    <xf numFmtId="186" fontId="75" fillId="7" borderId="0" xfId="0" applyNumberFormat="1" applyFont="1" applyFill="1" applyBorder="1" applyAlignment="1" applyProtection="1">
      <protection locked="0"/>
    </xf>
    <xf numFmtId="0" fontId="81" fillId="0" borderId="4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53" fillId="7" borderId="127" xfId="0" applyFont="1" applyFill="1" applyBorder="1" applyAlignment="1" applyProtection="1">
      <alignment vertical="center"/>
    </xf>
    <xf numFmtId="0" fontId="88" fillId="10" borderId="128" xfId="0" applyFont="1" applyFill="1" applyBorder="1" applyAlignment="1" applyProtection="1">
      <alignment horizontal="right" vertical="center"/>
      <protection locked="0"/>
    </xf>
    <xf numFmtId="0" fontId="88" fillId="7" borderId="5" xfId="0" applyFont="1" applyFill="1" applyBorder="1" applyAlignment="1" applyProtection="1">
      <alignment horizontal="center" vertical="center"/>
    </xf>
    <xf numFmtId="0" fontId="88" fillId="10" borderId="128" xfId="0" applyFont="1" applyFill="1" applyBorder="1" applyAlignment="1" applyProtection="1">
      <alignment vertical="center"/>
      <protection locked="0"/>
    </xf>
    <xf numFmtId="0" fontId="88" fillId="7" borderId="128" xfId="0" applyFont="1" applyFill="1" applyBorder="1" applyAlignment="1" applyProtection="1">
      <alignment vertical="center"/>
    </xf>
    <xf numFmtId="0" fontId="88" fillId="2" borderId="6" xfId="0" applyFont="1" applyFill="1" applyBorder="1" applyAlignment="1" applyProtection="1">
      <alignment horizontal="center" vertical="center"/>
      <protection locked="0"/>
    </xf>
    <xf numFmtId="0" fontId="89" fillId="7" borderId="128" xfId="0" applyFont="1" applyFill="1" applyBorder="1" applyAlignment="1" applyProtection="1">
      <alignment vertical="center"/>
    </xf>
    <xf numFmtId="0" fontId="51" fillId="7" borderId="16" xfId="14" applyFont="1" applyFill="1" applyBorder="1" applyAlignment="1" applyProtection="1">
      <alignment vertical="center"/>
    </xf>
    <xf numFmtId="0" fontId="51" fillId="7" borderId="16" xfId="0" applyFont="1" applyFill="1" applyBorder="1" applyAlignment="1" applyProtection="1">
      <alignment horizontal="right" vertical="center"/>
    </xf>
    <xf numFmtId="0" fontId="52" fillId="2" borderId="34" xfId="14" applyFont="1" applyFill="1" applyBorder="1" applyAlignment="1" applyProtection="1">
      <alignment vertical="center"/>
      <protection locked="0"/>
    </xf>
    <xf numFmtId="0" fontId="51" fillId="7" borderId="108" xfId="14" applyFont="1" applyFill="1" applyBorder="1" applyAlignment="1" applyProtection="1">
      <alignment vertical="center"/>
      <protection locked="0"/>
    </xf>
    <xf numFmtId="0" fontId="51" fillId="2" borderId="16" xfId="14" applyFont="1" applyFill="1" applyBorder="1" applyAlignment="1" applyProtection="1">
      <alignment vertical="center"/>
      <protection locked="0"/>
    </xf>
    <xf numFmtId="0" fontId="51" fillId="7" borderId="15" xfId="0" applyFont="1" applyFill="1" applyBorder="1" applyAlignment="1" applyProtection="1">
      <alignment horizontal="center" vertical="center"/>
    </xf>
    <xf numFmtId="0" fontId="51" fillId="7" borderId="15" xfId="0" applyFont="1" applyFill="1" applyBorder="1" applyAlignment="1" applyProtection="1">
      <alignment horizontal="right" vertical="center"/>
    </xf>
    <xf numFmtId="0" fontId="81" fillId="0" borderId="37" xfId="0" applyNumberFormat="1" applyFont="1" applyFill="1" applyBorder="1" applyAlignment="1" applyProtection="1">
      <alignment horizontal="center" vertical="center" wrapText="1"/>
      <protection locked="0"/>
    </xf>
    <xf numFmtId="49" fontId="81" fillId="10" borderId="7" xfId="0" applyNumberFormat="1" applyFont="1" applyFill="1" applyBorder="1" applyAlignment="1" applyProtection="1">
      <alignment horizontal="center" vertical="center" wrapText="1"/>
      <protection locked="0"/>
    </xf>
    <xf numFmtId="0" fontId="81" fillId="7" borderId="32" xfId="0" applyNumberFormat="1" applyFont="1" applyFill="1" applyBorder="1" applyAlignment="1" applyProtection="1">
      <alignment horizontal="center" vertical="center" wrapText="1"/>
    </xf>
    <xf numFmtId="49" fontId="81" fillId="10" borderId="10" xfId="0" applyNumberFormat="1" applyFont="1" applyFill="1" applyBorder="1" applyAlignment="1" applyProtection="1">
      <alignment horizontal="center" vertical="center" wrapText="1"/>
      <protection locked="0"/>
    </xf>
    <xf numFmtId="0" fontId="81" fillId="7" borderId="2" xfId="0" applyNumberFormat="1" applyFont="1" applyFill="1" applyBorder="1" applyAlignment="1" applyProtection="1">
      <alignment horizontal="center" vertical="center" wrapText="1"/>
    </xf>
    <xf numFmtId="0" fontId="81" fillId="0" borderId="4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75" fillId="7" borderId="17" xfId="0" applyNumberFormat="1" applyFont="1" applyFill="1" applyBorder="1" applyAlignment="1" applyProtection="1">
      <alignment horizontal="center" vertical="center" wrapText="1"/>
    </xf>
    <xf numFmtId="0" fontId="75" fillId="7" borderId="34" xfId="0" applyNumberFormat="1" applyFont="1" applyFill="1" applyBorder="1" applyAlignment="1" applyProtection="1">
      <alignment horizontal="center" vertical="center" wrapText="1"/>
    </xf>
    <xf numFmtId="0" fontId="75" fillId="7" borderId="48" xfId="0" applyNumberFormat="1" applyFont="1" applyFill="1" applyBorder="1" applyAlignment="1" applyProtection="1">
      <alignment horizontal="center" vertical="center" wrapText="1"/>
    </xf>
    <xf numFmtId="0" fontId="75" fillId="7" borderId="50" xfId="0" applyNumberFormat="1" applyFont="1" applyFill="1" applyBorder="1" applyAlignment="1" applyProtection="1">
      <alignment horizontal="center" vertical="center" wrapText="1"/>
    </xf>
    <xf numFmtId="0" fontId="75" fillId="7" borderId="2" xfId="0" applyNumberFormat="1" applyFont="1" applyFill="1" applyBorder="1" applyAlignment="1" applyProtection="1">
      <alignment horizontal="center" vertical="center" wrapText="1"/>
    </xf>
    <xf numFmtId="0" fontId="75" fillId="0" borderId="129" xfId="0" applyNumberFormat="1" applyFont="1" applyFill="1" applyBorder="1" applyAlignment="1" applyProtection="1">
      <alignment horizontal="center" vertical="center" wrapText="1"/>
      <protection locked="0"/>
    </xf>
    <xf numFmtId="0" fontId="81" fillId="7" borderId="43" xfId="0" applyNumberFormat="1" applyFont="1" applyFill="1" applyBorder="1" applyAlignment="1" applyProtection="1">
      <alignment horizontal="center" vertical="center" wrapText="1"/>
    </xf>
    <xf numFmtId="0" fontId="81" fillId="7" borderId="50" xfId="0" applyNumberFormat="1" applyFont="1" applyFill="1" applyBorder="1" applyAlignment="1" applyProtection="1">
      <alignment horizontal="center" vertical="center" wrapText="1"/>
    </xf>
    <xf numFmtId="0" fontId="76" fillId="7" borderId="18" xfId="0" applyFont="1" applyFill="1" applyBorder="1" applyAlignment="1" applyProtection="1">
      <alignment vertical="center" textRotation="255" wrapText="1"/>
    </xf>
    <xf numFmtId="0" fontId="75" fillId="10" borderId="7" xfId="0" applyNumberFormat="1" applyFont="1" applyFill="1" applyBorder="1" applyAlignment="1" applyProtection="1">
      <alignment horizontal="center" vertical="center" wrapText="1"/>
      <protection locked="0"/>
    </xf>
    <xf numFmtId="0" fontId="75" fillId="7" borderId="32" xfId="0" applyNumberFormat="1" applyFont="1" applyFill="1" applyBorder="1" applyAlignment="1" applyProtection="1">
      <alignment horizontal="center" vertical="center" wrapText="1"/>
    </xf>
    <xf numFmtId="9" fontId="81" fillId="0" borderId="41" xfId="0" applyNumberFormat="1" applyFont="1" applyFill="1" applyBorder="1" applyAlignment="1" applyProtection="1">
      <alignment horizontal="center" vertical="center" wrapText="1"/>
      <protection locked="0"/>
    </xf>
    <xf numFmtId="9" fontId="81" fillId="0" borderId="4" xfId="0" applyNumberFormat="1" applyFont="1" applyFill="1" applyBorder="1" applyAlignment="1" applyProtection="1">
      <alignment horizontal="center" vertical="center" wrapText="1"/>
      <protection locked="0"/>
    </xf>
    <xf numFmtId="9" fontId="81" fillId="0" borderId="10" xfId="0" applyNumberFormat="1" applyFont="1" applyFill="1" applyBorder="1" applyAlignment="1" applyProtection="1">
      <alignment horizontal="center" vertical="center" wrapText="1"/>
      <protection locked="0"/>
    </xf>
    <xf numFmtId="0" fontId="75" fillId="10" borderId="10" xfId="0" applyNumberFormat="1" applyFont="1" applyFill="1" applyBorder="1" applyAlignment="1" applyProtection="1">
      <alignment horizontal="center" vertical="center" wrapText="1"/>
      <protection locked="0"/>
    </xf>
    <xf numFmtId="0" fontId="81" fillId="10" borderId="41" xfId="0" applyNumberFormat="1" applyFont="1" applyFill="1" applyBorder="1" applyAlignment="1" applyProtection="1">
      <alignment horizontal="center" vertical="center" wrapText="1"/>
      <protection locked="0"/>
    </xf>
    <xf numFmtId="0" fontId="76" fillId="7" borderId="110" xfId="0" applyFont="1" applyFill="1" applyBorder="1" applyAlignment="1" applyProtection="1">
      <alignment vertical="center" textRotation="255" wrapText="1"/>
    </xf>
    <xf numFmtId="0" fontId="75" fillId="7" borderId="33" xfId="0" applyNumberFormat="1" applyFont="1" applyFill="1" applyBorder="1" applyAlignment="1" applyProtection="1">
      <alignment horizontal="center" vertical="center" wrapText="1"/>
    </xf>
    <xf numFmtId="49" fontId="76" fillId="7" borderId="38" xfId="0" applyNumberFormat="1" applyFont="1" applyFill="1" applyBorder="1" applyAlignment="1" applyProtection="1">
      <alignment vertical="center"/>
    </xf>
    <xf numFmtId="0" fontId="76" fillId="7" borderId="37" xfId="0" applyNumberFormat="1" applyFont="1" applyFill="1" applyBorder="1" applyAlignment="1" applyProtection="1">
      <alignment horizontal="right" vertical="center" wrapText="1"/>
    </xf>
    <xf numFmtId="0" fontId="76" fillId="7" borderId="39" xfId="0" applyNumberFormat="1" applyFont="1" applyFill="1" applyBorder="1" applyAlignment="1" applyProtection="1">
      <alignment vertical="center" wrapText="1"/>
    </xf>
    <xf numFmtId="0" fontId="94" fillId="8" borderId="38" xfId="0" applyNumberFormat="1" applyFont="1" applyFill="1" applyBorder="1" applyAlignment="1" applyProtection="1">
      <alignment vertical="center" wrapText="1"/>
      <protection locked="0"/>
    </xf>
    <xf numFmtId="0" fontId="94" fillId="7" borderId="38" xfId="0" applyNumberFormat="1" applyFont="1" applyFill="1" applyBorder="1" applyAlignment="1" applyProtection="1">
      <alignment vertical="center" wrapText="1"/>
    </xf>
    <xf numFmtId="0" fontId="94" fillId="8" borderId="37" xfId="0" applyNumberFormat="1" applyFont="1" applyFill="1" applyBorder="1" applyAlignment="1" applyProtection="1">
      <alignment vertical="center" wrapText="1"/>
      <protection locked="0"/>
    </xf>
    <xf numFmtId="0" fontId="94" fillId="7" borderId="39" xfId="0" applyNumberFormat="1" applyFont="1" applyFill="1" applyBorder="1" applyAlignment="1" applyProtection="1">
      <alignment vertical="center" wrapText="1"/>
    </xf>
    <xf numFmtId="49" fontId="76" fillId="7" borderId="45" xfId="0" applyNumberFormat="1" applyFont="1" applyFill="1" applyBorder="1" applyAlignment="1" applyProtection="1">
      <alignment vertical="center"/>
    </xf>
    <xf numFmtId="0" fontId="76" fillId="7" borderId="44" xfId="0" applyNumberFormat="1" applyFont="1" applyFill="1" applyBorder="1" applyAlignment="1" applyProtection="1">
      <alignment vertical="center" wrapText="1"/>
    </xf>
    <xf numFmtId="0" fontId="76" fillId="7" borderId="45" xfId="0" applyNumberFormat="1" applyFont="1" applyFill="1" applyBorder="1" applyAlignment="1" applyProtection="1">
      <alignment vertical="center" wrapText="1"/>
    </xf>
    <xf numFmtId="0" fontId="76" fillId="7" borderId="21" xfId="0" applyNumberFormat="1" applyFont="1" applyFill="1" applyBorder="1" applyAlignment="1" applyProtection="1">
      <alignment vertical="center" wrapText="1"/>
    </xf>
    <xf numFmtId="178" fontId="75" fillId="14" borderId="0" xfId="0" applyNumberFormat="1" applyFont="1" applyFill="1" applyAlignment="1" applyProtection="1">
      <alignment horizontal="center" vertical="center"/>
      <protection locked="0"/>
    </xf>
    <xf numFmtId="0" fontId="91" fillId="7" borderId="49" xfId="0" applyNumberFormat="1" applyFont="1" applyFill="1" applyBorder="1" applyAlignment="1" applyProtection="1">
      <alignment vertical="center" wrapText="1"/>
    </xf>
    <xf numFmtId="0" fontId="91" fillId="7" borderId="111" xfId="0" applyNumberFormat="1" applyFont="1" applyFill="1" applyBorder="1" applyAlignment="1" applyProtection="1">
      <alignment vertical="center" wrapText="1"/>
    </xf>
    <xf numFmtId="183" fontId="81" fillId="7" borderId="113" xfId="0" applyNumberFormat="1" applyFont="1" applyFill="1" applyBorder="1" applyAlignment="1" applyProtection="1">
      <alignment horizontal="center" vertical="center" wrapText="1"/>
    </xf>
    <xf numFmtId="183" fontId="81" fillId="7" borderId="8" xfId="0" applyNumberFormat="1" applyFont="1" applyFill="1" applyBorder="1" applyAlignment="1" applyProtection="1">
      <alignment horizontal="center" vertical="center" wrapText="1"/>
    </xf>
    <xf numFmtId="0" fontId="91" fillId="7" borderId="30" xfId="0" applyNumberFormat="1" applyFont="1" applyFill="1" applyBorder="1" applyAlignment="1" applyProtection="1">
      <alignment vertical="center" wrapText="1"/>
    </xf>
    <xf numFmtId="0" fontId="75" fillId="7" borderId="15" xfId="0" applyNumberFormat="1" applyFont="1" applyFill="1" applyBorder="1" applyAlignment="1" applyProtection="1">
      <alignment horizontal="center" vertical="center" wrapText="1"/>
      <protection locked="0"/>
    </xf>
    <xf numFmtId="195" fontId="88" fillId="7" borderId="128" xfId="0" applyNumberFormat="1" applyFont="1" applyFill="1" applyBorder="1" applyAlignment="1" applyProtection="1">
      <alignment horizontal="center" vertical="center"/>
    </xf>
    <xf numFmtId="186" fontId="88" fillId="7" borderId="128" xfId="0" applyNumberFormat="1" applyFont="1" applyFill="1" applyBorder="1" applyAlignment="1" applyProtection="1">
      <alignment vertical="center"/>
    </xf>
    <xf numFmtId="0" fontId="88" fillId="7" borderId="128" xfId="0" applyFont="1" applyFill="1" applyBorder="1" applyAlignment="1" applyProtection="1">
      <alignment horizontal="center" vertical="center"/>
    </xf>
    <xf numFmtId="0" fontId="50" fillId="0" borderId="51" xfId="0" applyNumberFormat="1" applyFont="1" applyFill="1" applyBorder="1" applyAlignment="1" applyProtection="1">
      <alignment horizontal="center" vertical="center" wrapText="1"/>
      <protection locked="0"/>
    </xf>
    <xf numFmtId="0" fontId="50" fillId="7" borderId="58" xfId="0" applyNumberFormat="1" applyFont="1" applyFill="1" applyBorder="1" applyAlignment="1" applyProtection="1">
      <alignment horizontal="center" vertical="center" wrapText="1"/>
    </xf>
    <xf numFmtId="0" fontId="50" fillId="7" borderId="27"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0" fontId="85" fillId="7" borderId="1" xfId="0" applyFont="1" applyFill="1" applyBorder="1" applyAlignment="1" applyProtection="1">
      <alignment horizontal="center" vertical="center" wrapText="1"/>
    </xf>
    <xf numFmtId="0" fontId="83" fillId="7" borderId="5" xfId="0" applyFont="1" applyFill="1" applyBorder="1" applyAlignment="1" applyProtection="1">
      <alignment horizontal="center" vertical="center"/>
    </xf>
    <xf numFmtId="0" fontId="75" fillId="7" borderId="122"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7" borderId="125" xfId="0" applyNumberFormat="1" applyFont="1" applyFill="1" applyBorder="1" applyAlignment="1" applyProtection="1">
      <alignment horizontal="center" vertical="center" wrapText="1"/>
    </xf>
    <xf numFmtId="0" fontId="81" fillId="0" borderId="123" xfId="0" applyNumberFormat="1" applyFont="1" applyFill="1" applyBorder="1" applyAlignment="1" applyProtection="1">
      <alignment horizontal="left" vertical="center" wrapText="1"/>
      <protection locked="0"/>
    </xf>
    <xf numFmtId="0" fontId="81" fillId="0" borderId="125" xfId="0" applyNumberFormat="1" applyFont="1" applyFill="1" applyBorder="1" applyAlignment="1" applyProtection="1">
      <alignment horizontal="center" vertical="center" wrapText="1"/>
      <protection locked="0"/>
    </xf>
    <xf numFmtId="0" fontId="86" fillId="7" borderId="64" xfId="0" applyNumberFormat="1" applyFont="1" applyFill="1" applyBorder="1" applyAlignment="1" applyProtection="1">
      <alignment horizontal="center" vertical="center" wrapText="1"/>
    </xf>
    <xf numFmtId="0" fontId="86" fillId="7" borderId="64" xfId="0" applyNumberFormat="1" applyFont="1" applyFill="1" applyBorder="1" applyAlignment="1" applyProtection="1">
      <alignment horizontal="left" vertical="center" wrapText="1"/>
    </xf>
    <xf numFmtId="0" fontId="86" fillId="7" borderId="43" xfId="0" applyNumberFormat="1" applyFont="1" applyFill="1" applyBorder="1" applyAlignment="1" applyProtection="1">
      <alignment horizontal="center" vertical="center" wrapText="1"/>
    </xf>
    <xf numFmtId="0" fontId="75" fillId="14" borderId="0" xfId="0" applyFont="1" applyFill="1" applyBorder="1" applyAlignment="1" applyProtection="1">
      <alignment horizontal="center" vertical="center" wrapText="1"/>
      <protection locked="0"/>
    </xf>
    <xf numFmtId="195" fontId="75" fillId="0" borderId="0" xfId="0" applyNumberFormat="1" applyFont="1" applyFill="1" applyAlignment="1" applyProtection="1">
      <alignment horizontal="center" vertical="center"/>
    </xf>
    <xf numFmtId="186" fontId="75" fillId="0" borderId="0" xfId="0" applyNumberFormat="1" applyFont="1" applyFill="1" applyAlignment="1" applyProtection="1">
      <alignment horizontal="center" vertical="center"/>
    </xf>
    <xf numFmtId="9" fontId="75" fillId="14" borderId="0" xfId="0" applyNumberFormat="1" applyFont="1" applyFill="1" applyBorder="1" applyAlignment="1" applyProtection="1">
      <alignment horizontal="center" vertical="center" wrapText="1"/>
      <protection locked="0"/>
    </xf>
    <xf numFmtId="0" fontId="75" fillId="0" borderId="50" xfId="0" applyFont="1" applyFill="1" applyBorder="1" applyAlignment="1" applyProtection="1">
      <alignment horizontal="center" vertical="center"/>
      <protection locked="0"/>
    </xf>
    <xf numFmtId="0" fontId="88" fillId="7" borderId="128" xfId="0" applyFont="1" applyFill="1" applyBorder="1" applyAlignment="1" applyProtection="1">
      <alignment vertical="center"/>
      <protection locked="0"/>
    </xf>
    <xf numFmtId="0" fontId="89" fillId="7" borderId="128" xfId="0" applyFont="1" applyFill="1" applyBorder="1" applyAlignment="1" applyProtection="1">
      <alignment vertical="center"/>
      <protection locked="0"/>
    </xf>
    <xf numFmtId="0" fontId="91" fillId="7" borderId="130" xfId="0" applyFont="1" applyFill="1" applyBorder="1" applyAlignment="1" applyProtection="1">
      <alignment vertical="center" wrapText="1"/>
    </xf>
    <xf numFmtId="0" fontId="81" fillId="7" borderId="38" xfId="0" applyFont="1" applyFill="1" applyBorder="1" applyAlignment="1" applyProtection="1">
      <alignment horizontal="center" vertical="center" wrapText="1"/>
    </xf>
    <xf numFmtId="49" fontId="81" fillId="10" borderId="113" xfId="0" applyNumberFormat="1" applyFont="1" applyFill="1" applyBorder="1" applyAlignment="1" applyProtection="1">
      <alignment horizontal="center" vertical="center" wrapText="1"/>
      <protection locked="0"/>
    </xf>
    <xf numFmtId="0" fontId="92" fillId="7" borderId="131" xfId="0" applyFont="1" applyFill="1" applyBorder="1" applyAlignment="1" applyProtection="1">
      <alignment vertical="center" wrapText="1"/>
    </xf>
    <xf numFmtId="0" fontId="81" fillId="7" borderId="3" xfId="0" applyFont="1" applyFill="1" applyBorder="1" applyAlignment="1" applyProtection="1">
      <alignment horizontal="center" vertical="center" wrapText="1"/>
    </xf>
    <xf numFmtId="49" fontId="81" fillId="10" borderId="4" xfId="0" applyNumberFormat="1" applyFont="1" applyFill="1" applyBorder="1" applyAlignment="1" applyProtection="1">
      <alignment horizontal="center" vertical="center" wrapText="1"/>
      <protection locked="0"/>
    </xf>
    <xf numFmtId="0" fontId="76" fillId="7" borderId="131" xfId="0" applyFont="1" applyFill="1" applyBorder="1" applyAlignment="1" applyProtection="1">
      <alignment vertical="center" wrapText="1"/>
    </xf>
    <xf numFmtId="0" fontId="81" fillId="0" borderId="95" xfId="0" applyFont="1" applyFill="1" applyBorder="1" applyAlignment="1" applyProtection="1">
      <alignment horizontal="center" vertical="center" wrapText="1"/>
      <protection locked="0"/>
    </xf>
    <xf numFmtId="0" fontId="91" fillId="7" borderId="131" xfId="0" applyFont="1" applyFill="1" applyBorder="1" applyAlignment="1" applyProtection="1">
      <alignment vertical="center" wrapText="1"/>
    </xf>
    <xf numFmtId="0" fontId="76" fillId="7" borderId="132" xfId="0" applyFont="1" applyFill="1" applyBorder="1" applyAlignment="1" applyProtection="1">
      <alignment vertical="center" wrapText="1"/>
    </xf>
    <xf numFmtId="0" fontId="75" fillId="7" borderId="43" xfId="0" applyFont="1" applyFill="1" applyBorder="1" applyAlignment="1" applyProtection="1">
      <alignment horizontal="center" vertical="center"/>
    </xf>
    <xf numFmtId="0" fontId="81" fillId="0" borderId="40"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7" borderId="114" xfId="0" applyNumberFormat="1" applyFont="1" applyFill="1" applyBorder="1" applyAlignment="1" applyProtection="1">
      <alignment horizontal="center" vertical="center" wrapText="1"/>
    </xf>
    <xf numFmtId="0" fontId="81" fillId="0" borderId="110" xfId="0" applyNumberFormat="1" applyFont="1" applyFill="1" applyBorder="1" applyAlignment="1" applyProtection="1">
      <alignment horizontal="center" vertical="center" wrapText="1"/>
      <protection locked="0"/>
    </xf>
    <xf numFmtId="0" fontId="81" fillId="7" borderId="47" xfId="0" applyNumberFormat="1" applyFont="1" applyFill="1" applyBorder="1" applyAlignment="1" applyProtection="1">
      <alignment horizontal="center" vertical="center" wrapText="1"/>
    </xf>
    <xf numFmtId="0" fontId="76" fillId="7" borderId="49" xfId="0" applyFont="1" applyFill="1" applyBorder="1" applyAlignment="1" applyProtection="1">
      <alignment vertical="center" textRotation="255" wrapText="1"/>
    </xf>
    <xf numFmtId="0" fontId="81" fillId="7" borderId="9" xfId="0" applyFont="1" applyFill="1" applyBorder="1" applyAlignment="1" applyProtection="1">
      <alignment horizontal="center" vertical="center" wrapText="1"/>
    </xf>
    <xf numFmtId="0" fontId="75" fillId="7" borderId="58" xfId="0" applyNumberFormat="1" applyFont="1" applyFill="1" applyBorder="1" applyAlignment="1" applyProtection="1">
      <alignment horizontal="center" vertical="center" wrapText="1"/>
    </xf>
    <xf numFmtId="0" fontId="93" fillId="7" borderId="30" xfId="0" applyFont="1" applyFill="1" applyBorder="1" applyAlignment="1" applyProtection="1">
      <alignment vertical="center" textRotation="255" wrapText="1"/>
    </xf>
    <xf numFmtId="49" fontId="81" fillId="0" borderId="41" xfId="0" applyNumberFormat="1" applyFont="1" applyFill="1" applyBorder="1" applyAlignment="1" applyProtection="1">
      <alignment horizontal="center" vertical="center" wrapText="1"/>
      <protection locked="0"/>
    </xf>
    <xf numFmtId="0" fontId="76" fillId="7" borderId="30" xfId="0" applyFont="1" applyFill="1" applyBorder="1" applyAlignment="1" applyProtection="1">
      <alignment vertical="center" textRotation="255" wrapText="1"/>
    </xf>
    <xf numFmtId="0" fontId="91" fillId="7" borderId="30" xfId="0" applyFont="1" applyFill="1" applyBorder="1" applyAlignment="1" applyProtection="1">
      <alignment vertical="center" textRotation="255" wrapText="1"/>
    </xf>
    <xf numFmtId="0" fontId="76" fillId="7" borderId="61" xfId="0" applyFont="1" applyFill="1" applyBorder="1" applyAlignment="1" applyProtection="1">
      <alignment vertical="center" textRotation="255" wrapText="1"/>
    </xf>
    <xf numFmtId="49" fontId="76" fillId="2" borderId="38" xfId="0" applyNumberFormat="1" applyFont="1" applyFill="1" applyBorder="1" applyAlignment="1" applyProtection="1">
      <alignment vertical="center"/>
      <protection locked="0"/>
    </xf>
    <xf numFmtId="0" fontId="95" fillId="7" borderId="0" xfId="0" applyFont="1" applyFill="1" applyBorder="1" applyAlignment="1" applyProtection="1">
      <protection locked="0"/>
    </xf>
    <xf numFmtId="0" fontId="75" fillId="7" borderId="0" xfId="0" applyFont="1" applyFill="1" applyBorder="1" applyAlignment="1" applyProtection="1">
      <alignment horizontal="center"/>
      <protection locked="0"/>
    </xf>
    <xf numFmtId="0" fontId="81" fillId="7" borderId="112" xfId="0" applyNumberFormat="1" applyFont="1" applyFill="1" applyBorder="1" applyAlignment="1" applyProtection="1">
      <alignment horizontal="center" vertical="center" wrapText="1"/>
      <protection locked="0"/>
    </xf>
    <xf numFmtId="195" fontId="88" fillId="7" borderId="128" xfId="0" applyNumberFormat="1" applyFont="1" applyFill="1" applyBorder="1" applyAlignment="1" applyProtection="1">
      <alignment horizontal="center" vertical="center"/>
      <protection locked="0"/>
    </xf>
    <xf numFmtId="186" fontId="88" fillId="7" borderId="128" xfId="0" applyNumberFormat="1" applyFont="1" applyFill="1" applyBorder="1" applyAlignment="1" applyProtection="1">
      <alignment vertical="center"/>
      <protection locked="0"/>
    </xf>
    <xf numFmtId="0" fontId="88" fillId="7" borderId="128" xfId="0" applyFont="1" applyFill="1" applyBorder="1" applyAlignment="1" applyProtection="1">
      <alignment horizontal="center" vertical="center"/>
      <protection locked="0"/>
    </xf>
    <xf numFmtId="0" fontId="88" fillId="7" borderId="133" xfId="0" applyFont="1" applyFill="1" applyBorder="1" applyAlignment="1" applyProtection="1">
      <alignment horizontal="center" vertical="center"/>
    </xf>
    <xf numFmtId="0" fontId="88" fillId="7" borderId="50" xfId="0" applyFont="1" applyFill="1" applyBorder="1" applyAlignment="1" applyProtection="1">
      <alignment horizontal="center" vertical="center"/>
    </xf>
    <xf numFmtId="195" fontId="75" fillId="8" borderId="4" xfId="0" applyNumberFormat="1" applyFont="1" applyFill="1" applyBorder="1" applyAlignment="1" applyProtection="1">
      <alignment horizontal="center" vertical="center"/>
      <protection locked="0"/>
    </xf>
    <xf numFmtId="195" fontId="75" fillId="8" borderId="1" xfId="0" applyNumberFormat="1" applyFont="1" applyFill="1" applyBorder="1" applyAlignment="1" applyProtection="1">
      <alignment horizontal="center" vertical="center" wrapText="1"/>
      <protection locked="0"/>
    </xf>
    <xf numFmtId="0" fontId="75" fillId="14" borderId="50" xfId="0" applyFont="1" applyFill="1" applyBorder="1" applyAlignment="1" applyProtection="1">
      <alignment horizontal="center" vertical="center"/>
      <protection locked="0"/>
    </xf>
    <xf numFmtId="0" fontId="86" fillId="14" borderId="50" xfId="0" applyFont="1" applyFill="1" applyBorder="1" applyAlignment="1" applyProtection="1">
      <alignment horizontal="center" vertical="center"/>
      <protection locked="0"/>
    </xf>
    <xf numFmtId="0" fontId="75" fillId="14" borderId="50" xfId="0" applyFont="1" applyFill="1" applyBorder="1" applyAlignment="1" applyProtection="1">
      <protection locked="0"/>
    </xf>
    <xf numFmtId="49" fontId="81" fillId="14" borderId="50" xfId="0" applyNumberFormat="1" applyFont="1" applyFill="1" applyBorder="1" applyAlignment="1" applyProtection="1">
      <alignment horizontal="center" vertical="center"/>
      <protection locked="0"/>
    </xf>
    <xf numFmtId="9" fontId="81" fillId="14" borderId="50" xfId="0" applyNumberFormat="1" applyFont="1" applyFill="1" applyBorder="1" applyAlignment="1" applyProtection="1">
      <alignment horizontal="center" vertical="center" wrapText="1"/>
      <protection locked="0"/>
    </xf>
    <xf numFmtId="0" fontId="68" fillId="14" borderId="50" xfId="0" applyFont="1" applyFill="1" applyBorder="1" applyAlignment="1" applyProtection="1">
      <alignment vertical="center"/>
      <protection locked="0"/>
    </xf>
    <xf numFmtId="0" fontId="81" fillId="14" borderId="50" xfId="0" applyFont="1" applyFill="1" applyBorder="1" applyAlignment="1" applyProtection="1">
      <alignment horizontal="center" vertical="center" wrapText="1"/>
      <protection locked="0"/>
    </xf>
    <xf numFmtId="0" fontId="85" fillId="14" borderId="50" xfId="0" applyFont="1" applyFill="1" applyBorder="1" applyAlignment="1" applyProtection="1">
      <alignment horizontal="center" vertical="center" wrapText="1"/>
      <protection locked="0"/>
    </xf>
    <xf numFmtId="0" fontId="85" fillId="14" borderId="50" xfId="0" applyFont="1" applyFill="1" applyBorder="1" applyAlignment="1" applyProtection="1">
      <alignment horizontal="center" vertical="center"/>
      <protection locked="0"/>
    </xf>
    <xf numFmtId="0" fontId="81" fillId="14" borderId="50" xfId="0" applyFont="1" applyFill="1" applyBorder="1" applyAlignment="1" applyProtection="1">
      <alignment vertical="center" wrapText="1"/>
      <protection locked="0"/>
    </xf>
    <xf numFmtId="49" fontId="75" fillId="0" borderId="8" xfId="0" applyNumberFormat="1" applyFont="1" applyFill="1" applyBorder="1" applyAlignment="1" applyProtection="1">
      <alignment horizontal="center" vertical="center" wrapText="1"/>
      <protection locked="0"/>
    </xf>
    <xf numFmtId="49" fontId="86" fillId="0" borderId="8" xfId="0" applyNumberFormat="1" applyFont="1" applyFill="1" applyBorder="1" applyAlignment="1" applyProtection="1">
      <alignment horizontal="center" vertical="center" wrapText="1"/>
      <protection locked="0"/>
    </xf>
    <xf numFmtId="49" fontId="86" fillId="0" borderId="8" xfId="0" applyNumberFormat="1" applyFont="1" applyFill="1" applyBorder="1" applyAlignment="1" applyProtection="1">
      <alignment horizontal="left" vertical="center" wrapText="1"/>
      <protection locked="0"/>
    </xf>
    <xf numFmtId="49" fontId="86" fillId="0" borderId="9" xfId="0" applyNumberFormat="1"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86" fillId="0" borderId="64" xfId="0" applyNumberFormat="1" applyFont="1" applyFill="1" applyBorder="1" applyAlignment="1" applyProtection="1">
      <alignment horizontal="center" vertical="center" wrapText="1"/>
      <protection locked="0"/>
    </xf>
    <xf numFmtId="0" fontId="86" fillId="0" borderId="64" xfId="0" applyNumberFormat="1" applyFont="1" applyFill="1" applyBorder="1" applyAlignment="1" applyProtection="1">
      <alignment horizontal="left" vertical="center" wrapText="1"/>
      <protection locked="0"/>
    </xf>
    <xf numFmtId="0" fontId="86" fillId="0" borderId="43" xfId="0" applyNumberFormat="1" applyFont="1" applyFill="1" applyBorder="1" applyAlignment="1" applyProtection="1">
      <alignment horizontal="center" vertical="center" wrapText="1"/>
      <protection locked="0"/>
    </xf>
    <xf numFmtId="0" fontId="75" fillId="14" borderId="50" xfId="0" applyFont="1" applyFill="1" applyBorder="1" applyAlignment="1" applyProtection="1">
      <alignment horizontal="center" vertical="center" wrapText="1"/>
      <protection locked="0"/>
    </xf>
    <xf numFmtId="0" fontId="88" fillId="7" borderId="128" xfId="0" applyFont="1" applyFill="1" applyBorder="1" applyAlignment="1" applyProtection="1">
      <alignment horizontal="right" vertical="center"/>
    </xf>
    <xf numFmtId="0" fontId="81" fillId="0" borderId="3" xfId="0" applyNumberFormat="1" applyFont="1" applyFill="1" applyBorder="1" applyAlignment="1" applyProtection="1">
      <alignment horizontal="center" vertical="center" wrapText="1"/>
      <protection locked="0"/>
    </xf>
    <xf numFmtId="0" fontId="81" fillId="7" borderId="28" xfId="0" applyNumberFormat="1" applyFont="1" applyFill="1" applyBorder="1" applyAlignment="1" applyProtection="1">
      <alignment horizontal="center" vertical="center" wrapText="1"/>
    </xf>
    <xf numFmtId="0" fontId="81" fillId="7" borderId="34" xfId="0" applyNumberFormat="1" applyFont="1" applyFill="1" applyBorder="1" applyAlignment="1" applyProtection="1">
      <alignment horizontal="center" vertical="center" wrapText="1"/>
    </xf>
    <xf numFmtId="186" fontId="88" fillId="7" borderId="0" xfId="0" applyNumberFormat="1" applyFont="1" applyFill="1" applyBorder="1" applyAlignment="1" applyProtection="1">
      <alignment vertical="center"/>
      <protection locked="0"/>
    </xf>
    <xf numFmtId="0" fontId="88" fillId="7" borderId="0"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119"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119" xfId="0" applyFont="1" applyFill="1" applyBorder="1" applyAlignment="1" applyProtection="1">
      <alignment horizontal="center" vertical="center"/>
      <protection locked="0"/>
    </xf>
    <xf numFmtId="186" fontId="85" fillId="7" borderId="0" xfId="0" applyNumberFormat="1" applyFont="1" applyFill="1" applyBorder="1" applyAlignment="1" applyProtection="1">
      <alignment horizontal="center" vertical="center" wrapText="1"/>
      <protection locked="0"/>
    </xf>
    <xf numFmtId="0" fontId="75" fillId="7" borderId="119" xfId="0" applyFont="1" applyFill="1" applyBorder="1" applyAlignment="1" applyProtection="1">
      <alignment horizontal="center" vertical="center"/>
      <protection locked="0"/>
    </xf>
    <xf numFmtId="186" fontId="86"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119" xfId="0" applyFont="1" applyFill="1" applyBorder="1" applyAlignment="1" applyProtection="1">
      <alignment horizontal="center" vertical="center"/>
      <protection locked="0"/>
    </xf>
    <xf numFmtId="186" fontId="75" fillId="7" borderId="0" xfId="0" applyNumberFormat="1" applyFont="1" applyFill="1" applyBorder="1" applyAlignment="1" applyProtection="1">
      <alignment vertical="center" wrapText="1"/>
      <protection locked="0"/>
    </xf>
    <xf numFmtId="186" fontId="86" fillId="7" borderId="0" xfId="0" applyNumberFormat="1" applyFont="1" applyFill="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81" fillId="0" borderId="0" xfId="0" applyNumberFormat="1"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xf>
    <xf numFmtId="0" fontId="81" fillId="0" borderId="114" xfId="0" applyNumberFormat="1" applyFont="1" applyFill="1" applyBorder="1" applyAlignment="1" applyProtection="1">
      <alignment horizontal="center" vertical="center" wrapText="1"/>
    </xf>
    <xf numFmtId="0" fontId="81" fillId="7"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protection locked="0"/>
    </xf>
    <xf numFmtId="0" fontId="86" fillId="7"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wrapText="1"/>
      <protection locked="0"/>
    </xf>
    <xf numFmtId="0" fontId="76" fillId="7" borderId="110"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81"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1" fillId="7" borderId="0" xfId="0" applyFont="1" applyFill="1" applyBorder="1" applyAlignment="1" applyProtection="1">
      <alignment vertical="center"/>
    </xf>
    <xf numFmtId="0" fontId="83" fillId="7" borderId="0" xfId="0" applyFont="1" applyFill="1" applyAlignment="1" applyProtection="1">
      <alignment horizontal="center" vertical="center"/>
      <protection locked="0"/>
    </xf>
    <xf numFmtId="0" fontId="81" fillId="0" borderId="108" xfId="0" applyNumberFormat="1" applyFont="1" applyFill="1" applyBorder="1" applyAlignment="1" applyProtection="1">
      <alignment horizontal="center" vertical="center" wrapText="1"/>
      <protection locked="0"/>
    </xf>
    <xf numFmtId="49" fontId="75" fillId="7" borderId="111" xfId="0" applyNumberFormat="1" applyFont="1" applyFill="1" applyBorder="1" applyAlignment="1" applyProtection="1">
      <alignment horizontal="center" vertical="center" wrapText="1"/>
    </xf>
    <xf numFmtId="0" fontId="75" fillId="7" borderId="112" xfId="0" applyNumberFormat="1" applyFont="1" applyFill="1" applyBorder="1" applyAlignment="1" applyProtection="1">
      <alignment horizontal="center" vertical="center" wrapText="1"/>
    </xf>
    <xf numFmtId="0" fontId="75" fillId="10" borderId="119"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81" fillId="10" borderId="108" xfId="0" applyNumberFormat="1" applyFont="1" applyFill="1" applyBorder="1" applyAlignment="1" applyProtection="1">
      <alignment horizontal="center" vertical="center" wrapText="1"/>
      <protection locked="0"/>
    </xf>
    <xf numFmtId="0" fontId="81" fillId="10" borderId="58" xfId="0" applyNumberFormat="1" applyFont="1" applyFill="1" applyBorder="1" applyAlignment="1" applyProtection="1">
      <alignment horizontal="center" vertical="center" wrapText="1"/>
      <protection locked="0"/>
    </xf>
    <xf numFmtId="0" fontId="75" fillId="0" borderId="45" xfId="0" applyNumberFormat="1" applyFont="1" applyFill="1" applyBorder="1" applyAlignment="1" applyProtection="1">
      <alignment horizontal="center" vertical="center" wrapText="1"/>
      <protection locked="0"/>
    </xf>
    <xf numFmtId="0" fontId="81" fillId="0" borderId="112" xfId="0" applyNumberFormat="1" applyFont="1" applyFill="1" applyBorder="1" applyAlignment="1" applyProtection="1">
      <alignment horizontal="center" vertical="center" wrapText="1"/>
      <protection locked="0"/>
    </xf>
    <xf numFmtId="0" fontId="75" fillId="7" borderId="35" xfId="0" applyFont="1" applyFill="1" applyBorder="1" applyAlignment="1" applyProtection="1">
      <alignment horizontal="center" vertical="center"/>
    </xf>
    <xf numFmtId="0" fontId="75" fillId="7" borderId="21" xfId="0" applyFont="1" applyFill="1" applyBorder="1" applyAlignment="1" applyProtection="1">
      <alignment horizontal="center" vertical="center"/>
    </xf>
    <xf numFmtId="0" fontId="81" fillId="7" borderId="11" xfId="0" applyNumberFormat="1" applyFont="1" applyFill="1" applyBorder="1" applyAlignment="1" applyProtection="1">
      <alignment horizontal="center" vertical="center"/>
    </xf>
    <xf numFmtId="0" fontId="75" fillId="7" borderId="11" xfId="0" applyNumberFormat="1" applyFont="1" applyFill="1" applyBorder="1" applyAlignment="1" applyProtection="1">
      <alignment horizontal="center" vertical="center"/>
    </xf>
    <xf numFmtId="0" fontId="75" fillId="7" borderId="22" xfId="0" applyFont="1" applyFill="1" applyBorder="1" applyAlignment="1" applyProtection="1">
      <alignment horizontal="center" vertical="center"/>
    </xf>
    <xf numFmtId="0" fontId="81" fillId="0" borderId="134" xfId="0" applyNumberFormat="1" applyFont="1" applyFill="1" applyBorder="1" applyAlignment="1" applyProtection="1">
      <alignment horizontal="center" vertical="center"/>
      <protection locked="0"/>
    </xf>
    <xf numFmtId="0" fontId="85" fillId="14" borderId="50" xfId="0" applyFont="1" applyFill="1" applyBorder="1" applyAlignment="1" applyProtection="1">
      <alignment vertical="center" wrapText="1"/>
      <protection locked="0"/>
    </xf>
    <xf numFmtId="0" fontId="75" fillId="0" borderId="123" xfId="0" applyNumberFormat="1" applyFont="1" applyFill="1" applyBorder="1" applyAlignment="1" applyProtection="1">
      <alignment horizontal="left" vertical="center" wrapText="1"/>
      <protection locked="0"/>
    </xf>
    <xf numFmtId="0" fontId="75" fillId="0" borderId="125" xfId="0" applyNumberFormat="1"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protection locked="0"/>
    </xf>
    <xf numFmtId="0" fontId="88" fillId="7" borderId="127" xfId="0" applyFont="1" applyFill="1" applyBorder="1" applyAlignment="1" applyProtection="1">
      <alignment horizontal="right" vertical="center"/>
    </xf>
    <xf numFmtId="0" fontId="88" fillId="7" borderId="135" xfId="0" applyFont="1" applyFill="1" applyBorder="1" applyAlignment="1" applyProtection="1">
      <alignment vertical="center"/>
    </xf>
    <xf numFmtId="0" fontId="75" fillId="10" borderId="7" xfId="0" applyFont="1" applyFill="1" applyBorder="1" applyAlignment="1" applyProtection="1">
      <alignment horizontal="center" vertical="center" wrapText="1"/>
      <protection locked="0"/>
    </xf>
    <xf numFmtId="0" fontId="75" fillId="10" borderId="10" xfId="0" applyFont="1" applyFill="1" applyBorder="1" applyAlignment="1" applyProtection="1">
      <alignment horizontal="center" vertical="center" wrapText="1"/>
      <protection locked="0"/>
    </xf>
    <xf numFmtId="17" fontId="85" fillId="0" borderId="41" xfId="0" applyNumberFormat="1" applyFont="1" applyFill="1" applyBorder="1" applyAlignment="1" applyProtection="1">
      <alignment horizontal="center" vertical="center" wrapText="1"/>
      <protection locked="0"/>
    </xf>
    <xf numFmtId="0" fontId="85" fillId="0" borderId="41" xfId="0" applyNumberFormat="1" applyFont="1" applyFill="1" applyBorder="1" applyAlignment="1" applyProtection="1">
      <alignment horizontal="center" vertical="center" wrapText="1"/>
      <protection locked="0"/>
    </xf>
    <xf numFmtId="0" fontId="88" fillId="7" borderId="136" xfId="0" applyFont="1" applyFill="1" applyBorder="1" applyAlignment="1" applyProtection="1">
      <alignment horizontal="center" vertical="center"/>
      <protection locked="0"/>
    </xf>
    <xf numFmtId="0" fontId="88" fillId="7" borderId="30" xfId="0" applyFont="1" applyFill="1" applyBorder="1" applyAlignment="1" applyProtection="1">
      <alignment horizontal="center" vertical="center"/>
      <protection locked="0"/>
    </xf>
    <xf numFmtId="0" fontId="75" fillId="14" borderId="30" xfId="0" applyFont="1" applyFill="1" applyBorder="1" applyAlignment="1" applyProtection="1">
      <alignment horizontal="center" vertical="center"/>
      <protection locked="0"/>
    </xf>
    <xf numFmtId="0" fontId="86" fillId="14" borderId="30" xfId="0" applyFont="1" applyFill="1" applyBorder="1" applyAlignment="1" applyProtection="1">
      <alignment horizontal="center" vertical="center"/>
      <protection locked="0"/>
    </xf>
    <xf numFmtId="0" fontId="75" fillId="14" borderId="30" xfId="0" applyFont="1" applyFill="1" applyBorder="1" applyAlignment="1" applyProtection="1">
      <protection locked="0"/>
    </xf>
    <xf numFmtId="49" fontId="81" fillId="14" borderId="30" xfId="0" applyNumberFormat="1" applyFont="1" applyFill="1" applyBorder="1" applyAlignment="1" applyProtection="1">
      <alignment horizontal="center" vertical="center"/>
      <protection locked="0"/>
    </xf>
    <xf numFmtId="9" fontId="81" fillId="14" borderId="30" xfId="0" applyNumberFormat="1" applyFont="1" applyFill="1" applyBorder="1" applyAlignment="1" applyProtection="1">
      <alignment horizontal="center" vertical="center" wrapText="1"/>
      <protection locked="0"/>
    </xf>
    <xf numFmtId="0" fontId="68" fillId="14" borderId="30" xfId="0" applyFont="1" applyFill="1" applyBorder="1" applyAlignment="1" applyProtection="1">
      <alignment vertical="center"/>
      <protection locked="0"/>
    </xf>
    <xf numFmtId="0" fontId="81" fillId="14" borderId="30" xfId="0" applyFont="1" applyFill="1" applyBorder="1" applyAlignment="1" applyProtection="1">
      <alignment horizontal="center" vertical="center" wrapText="1"/>
      <protection locked="0"/>
    </xf>
    <xf numFmtId="0" fontId="88" fillId="7" borderId="5" xfId="0" applyFont="1" applyFill="1" applyBorder="1" applyAlignment="1" applyProtection="1">
      <alignment horizontal="center" vertical="center"/>
      <protection locked="0"/>
    </xf>
    <xf numFmtId="0" fontId="83" fillId="7" borderId="5" xfId="0" applyFont="1" applyFill="1" applyBorder="1" applyAlignment="1" applyProtection="1">
      <alignment horizontal="center" vertical="center"/>
      <protection locked="0"/>
    </xf>
    <xf numFmtId="0" fontId="83" fillId="7" borderId="0" xfId="0" applyFont="1" applyFill="1" applyBorder="1" applyAlignment="1" applyProtection="1">
      <alignment horizontal="center" vertical="center"/>
      <protection locked="0"/>
    </xf>
    <xf numFmtId="0" fontId="68" fillId="0" borderId="123" xfId="0" applyNumberFormat="1" applyFont="1" applyFill="1" applyBorder="1" applyAlignment="1" applyProtection="1">
      <alignment horizontal="center" vertical="center" wrapText="1"/>
      <protection locked="0"/>
    </xf>
    <xf numFmtId="0" fontId="85" fillId="14" borderId="30" xfId="0" applyFont="1" applyFill="1" applyBorder="1" applyAlignment="1" applyProtection="1">
      <alignment horizontal="center" vertical="center" wrapText="1"/>
      <protection locked="0"/>
    </xf>
    <xf numFmtId="0" fontId="85" fillId="14" borderId="30" xfId="0" applyFont="1" applyFill="1" applyBorder="1" applyAlignment="1" applyProtection="1">
      <alignment horizontal="center" vertical="center"/>
      <protection locked="0"/>
    </xf>
    <xf numFmtId="0" fontId="85" fillId="14" borderId="30" xfId="0" applyFont="1" applyFill="1" applyBorder="1" applyAlignment="1" applyProtection="1">
      <alignment vertical="center" wrapText="1"/>
      <protection locked="0"/>
    </xf>
    <xf numFmtId="0" fontId="81" fillId="14" borderId="30" xfId="0" applyFont="1" applyFill="1" applyBorder="1" applyAlignment="1" applyProtection="1">
      <alignment vertical="center" wrapText="1"/>
      <protection locked="0"/>
    </xf>
    <xf numFmtId="0" fontId="32" fillId="0" borderId="1" xfId="0" applyFont="1" applyFill="1" applyBorder="1" applyAlignment="1">
      <alignment horizontal="center" vertical="center"/>
    </xf>
    <xf numFmtId="0" fontId="36" fillId="0" borderId="1" xfId="0" applyFont="1" applyFill="1" applyBorder="1" applyAlignment="1">
      <alignment horizontal="center" vertical="center"/>
    </xf>
    <xf numFmtId="9" fontId="32" fillId="0" borderId="1" xfId="0" applyNumberFormat="1" applyFont="1" applyFill="1" applyBorder="1" applyAlignment="1">
      <alignment horizontal="center" vertical="center"/>
    </xf>
    <xf numFmtId="187" fontId="32" fillId="0" borderId="1" xfId="0" applyNumberFormat="1" applyFont="1" applyFill="1" applyBorder="1" applyAlignment="1">
      <alignment horizontal="center" vertical="center"/>
    </xf>
    <xf numFmtId="0" fontId="34" fillId="0" borderId="1" xfId="0" applyFont="1" applyFill="1" applyBorder="1" applyAlignment="1">
      <alignment horizontal="center" vertical="center"/>
    </xf>
    <xf numFmtId="9" fontId="35" fillId="0" borderId="1" xfId="0" applyNumberFormat="1" applyFont="1" applyFill="1" applyBorder="1" applyAlignment="1">
      <alignment horizontal="center" vertical="center"/>
    </xf>
    <xf numFmtId="187" fontId="35" fillId="0" borderId="1" xfId="0" applyNumberFormat="1" applyFont="1" applyFill="1" applyBorder="1" applyAlignment="1">
      <alignment horizontal="center" vertical="center"/>
    </xf>
    <xf numFmtId="0" fontId="103" fillId="0" borderId="1" xfId="0" applyFont="1" applyFill="1" applyBorder="1" applyAlignment="1">
      <alignment horizontal="center" vertical="center"/>
    </xf>
    <xf numFmtId="0" fontId="0" fillId="0" borderId="1" xfId="0" applyFill="1" applyBorder="1" applyAlignment="1">
      <alignment vertical="center"/>
    </xf>
    <xf numFmtId="0" fontId="36" fillId="0" borderId="1" xfId="0" applyFont="1" applyFill="1" applyBorder="1" applyAlignment="1">
      <alignment horizontal="center" vertical="center" wrapText="1"/>
    </xf>
    <xf numFmtId="0" fontId="103" fillId="0" borderId="1" xfId="0" applyFont="1" applyFill="1" applyBorder="1" applyAlignment="1">
      <alignment vertical="center"/>
    </xf>
    <xf numFmtId="9" fontId="104" fillId="0" borderId="1" xfId="0" applyNumberFormat="1" applyFont="1" applyFill="1" applyBorder="1" applyAlignment="1">
      <alignment horizontal="center" vertical="center"/>
    </xf>
    <xf numFmtId="0" fontId="36" fillId="0" borderId="1" xfId="0" applyFont="1" applyBorder="1" applyAlignment="1">
      <alignment horizontal="center" vertical="center"/>
    </xf>
    <xf numFmtId="9" fontId="36" fillId="0" borderId="1" xfId="0" applyNumberFormat="1" applyFont="1" applyBorder="1" applyAlignment="1">
      <alignment horizontal="center" vertical="center"/>
    </xf>
    <xf numFmtId="0" fontId="34" fillId="0" borderId="13" xfId="0" applyFont="1" applyFill="1" applyBorder="1" applyAlignment="1">
      <alignment horizontal="center" vertical="center"/>
    </xf>
    <xf numFmtId="9" fontId="34" fillId="0" borderId="13" xfId="0" applyNumberFormat="1" applyFont="1" applyFill="1" applyBorder="1" applyAlignment="1">
      <alignment horizontal="center" vertical="center"/>
    </xf>
    <xf numFmtId="187" fontId="34" fillId="0" borderId="13" xfId="0" applyNumberFormat="1" applyFont="1" applyFill="1" applyBorder="1" applyAlignment="1">
      <alignment horizontal="center" vertical="center"/>
    </xf>
    <xf numFmtId="0" fontId="34" fillId="18" borderId="1" xfId="0" applyFont="1" applyFill="1" applyBorder="1" applyAlignment="1">
      <alignment vertical="center"/>
    </xf>
    <xf numFmtId="0" fontId="105" fillId="0" borderId="0" xfId="0" applyFont="1">
      <alignment vertical="center"/>
    </xf>
    <xf numFmtId="0" fontId="32" fillId="0" borderId="1" xfId="0" applyFont="1" applyBorder="1" applyAlignment="1">
      <alignment horizontal="center"/>
    </xf>
    <xf numFmtId="0" fontId="32" fillId="0" borderId="1" xfId="0" applyFont="1" applyBorder="1" applyAlignment="1"/>
    <xf numFmtId="49" fontId="32" fillId="0" borderId="1" xfId="0" applyNumberFormat="1" applyFont="1" applyBorder="1" applyAlignment="1">
      <alignment horizontal="center"/>
    </xf>
    <xf numFmtId="9" fontId="32" fillId="0" borderId="1" xfId="0" applyNumberFormat="1" applyFont="1" applyBorder="1" applyAlignment="1"/>
    <xf numFmtId="0" fontId="32" fillId="0" borderId="1" xfId="0" applyFont="1" applyFill="1" applyBorder="1" applyAlignment="1">
      <alignment horizontal="center"/>
    </xf>
    <xf numFmtId="187" fontId="32" fillId="0" borderId="11" xfId="0" applyNumberFormat="1" applyFont="1" applyFill="1" applyBorder="1" applyAlignment="1">
      <alignment horizontal="center" vertical="center"/>
    </xf>
    <xf numFmtId="0" fontId="32" fillId="0" borderId="11" xfId="0" applyFont="1" applyFill="1" applyBorder="1" applyAlignment="1">
      <alignment horizontal="center" vertical="center"/>
    </xf>
    <xf numFmtId="0" fontId="35" fillId="0" borderId="11" xfId="0" applyFont="1" applyFill="1" applyBorder="1" applyAlignment="1">
      <alignment horizontal="center" vertical="center"/>
    </xf>
    <xf numFmtId="0" fontId="34" fillId="0" borderId="11" xfId="0" applyFont="1" applyFill="1" applyBorder="1" applyAlignment="1">
      <alignment horizontal="center" vertical="center"/>
    </xf>
    <xf numFmtId="0" fontId="36" fillId="0" borderId="11" xfId="0" applyFont="1" applyFill="1" applyBorder="1" applyAlignment="1">
      <alignment horizontal="center" vertical="center"/>
    </xf>
    <xf numFmtId="0" fontId="35" fillId="0" borderId="14" xfId="0" applyFont="1" applyFill="1" applyBorder="1" applyAlignment="1">
      <alignment horizontal="center" vertical="center"/>
    </xf>
    <xf numFmtId="0" fontId="68" fillId="7" borderId="31" xfId="0" applyFont="1" applyFill="1" applyBorder="1">
      <alignment vertical="center"/>
    </xf>
    <xf numFmtId="0" fontId="68" fillId="7" borderId="29" xfId="0" applyFont="1" applyFill="1" applyBorder="1">
      <alignment vertical="center"/>
    </xf>
    <xf numFmtId="0" fontId="68" fillId="14" borderId="0" xfId="0" applyFont="1" applyFill="1">
      <alignment vertical="center"/>
    </xf>
    <xf numFmtId="0" fontId="68" fillId="0" borderId="0" xfId="0" applyFont="1" applyProtection="1">
      <alignment vertical="center"/>
      <protection locked="0"/>
    </xf>
    <xf numFmtId="0" fontId="51" fillId="7" borderId="10" xfId="14" applyFont="1" applyFill="1" applyBorder="1" applyAlignment="1" applyProtection="1">
      <alignment vertical="center"/>
    </xf>
    <xf numFmtId="0" fontId="68" fillId="7" borderId="2" xfId="0" applyFont="1" applyFill="1" applyBorder="1">
      <alignment vertical="center"/>
    </xf>
    <xf numFmtId="0" fontId="68" fillId="7" borderId="4" xfId="0" applyFont="1" applyFill="1" applyBorder="1">
      <alignment vertical="center"/>
    </xf>
    <xf numFmtId="0" fontId="80" fillId="7" borderId="1" xfId="0" applyFont="1" applyFill="1" applyBorder="1">
      <alignment vertical="center"/>
    </xf>
    <xf numFmtId="0" fontId="68" fillId="7" borderId="11" xfId="0" applyFont="1" applyFill="1" applyBorder="1" applyAlignment="1" applyProtection="1">
      <alignment horizontal="left" vertical="center"/>
    </xf>
    <xf numFmtId="0" fontId="68" fillId="7" borderId="2" xfId="0" applyFont="1" applyFill="1" applyBorder="1" applyAlignment="1">
      <alignment horizontal="right" vertical="center"/>
    </xf>
    <xf numFmtId="0" fontId="68" fillId="14" borderId="0" xfId="0" applyFont="1" applyFill="1" applyBorder="1">
      <alignment vertical="center"/>
    </xf>
    <xf numFmtId="0" fontId="68" fillId="14" borderId="23" xfId="0" applyFont="1" applyFill="1" applyBorder="1" applyProtection="1">
      <alignment vertical="center"/>
    </xf>
    <xf numFmtId="0" fontId="51" fillId="14" borderId="30" xfId="14" applyFont="1" applyFill="1" applyBorder="1" applyAlignment="1" applyProtection="1">
      <alignment vertical="center"/>
    </xf>
    <xf numFmtId="0" fontId="80" fillId="7" borderId="10" xfId="0" applyFont="1" applyFill="1" applyBorder="1" applyAlignment="1">
      <alignment horizontal="left" vertical="center"/>
    </xf>
    <xf numFmtId="0" fontId="80" fillId="14" borderId="0" xfId="0" applyFont="1" applyFill="1" applyBorder="1">
      <alignment vertical="center"/>
    </xf>
    <xf numFmtId="0" fontId="80" fillId="7" borderId="2" xfId="0" applyFont="1" applyFill="1" applyBorder="1" applyAlignment="1" applyProtection="1">
      <alignment horizontal="center" vertical="center"/>
    </xf>
    <xf numFmtId="0" fontId="68" fillId="7" borderId="1" xfId="0" applyFont="1" applyFill="1" applyBorder="1" applyAlignment="1">
      <alignment horizontal="center" vertical="center"/>
    </xf>
    <xf numFmtId="0" fontId="68" fillId="7" borderId="10" xfId="0" applyFont="1" applyFill="1" applyBorder="1" applyAlignment="1">
      <alignment horizontal="left" vertical="center"/>
    </xf>
    <xf numFmtId="0" fontId="68" fillId="7" borderId="2" xfId="0" applyFont="1" applyFill="1" applyBorder="1" applyAlignment="1" applyProtection="1">
      <alignment horizontal="left" vertical="center"/>
    </xf>
    <xf numFmtId="0" fontId="68" fillId="2" borderId="1" xfId="0" applyFont="1" applyFill="1" applyBorder="1" applyAlignment="1" applyProtection="1">
      <alignment horizontal="center" vertical="center"/>
      <protection locked="0"/>
    </xf>
    <xf numFmtId="0" fontId="68" fillId="7" borderId="12" xfId="0" applyFont="1" applyFill="1" applyBorder="1" applyAlignment="1">
      <alignment horizontal="left" vertical="center"/>
    </xf>
    <xf numFmtId="0" fontId="68" fillId="7" borderId="62" xfId="0" applyFont="1" applyFill="1" applyBorder="1">
      <alignment vertical="center"/>
    </xf>
    <xf numFmtId="0" fontId="68" fillId="14" borderId="21" xfId="0" applyFont="1" applyFill="1" applyBorder="1">
      <alignment vertical="center"/>
    </xf>
    <xf numFmtId="0" fontId="83"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106" fillId="7" borderId="96" xfId="0" applyNumberFormat="1" applyFont="1" applyFill="1" applyBorder="1" applyAlignment="1" applyProtection="1"/>
    <xf numFmtId="49" fontId="51" fillId="10" borderId="130"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7" borderId="0" xfId="0" applyNumberFormat="1" applyFont="1" applyFill="1" applyBorder="1" applyAlignment="1" applyProtection="1">
      <alignment horizontal="center"/>
    </xf>
    <xf numFmtId="0" fontId="50" fillId="7" borderId="0" xfId="0" applyNumberFormat="1" applyFont="1" applyFill="1" applyBorder="1" applyAlignment="1" applyProtection="1">
      <alignment horizontal="center"/>
    </xf>
    <xf numFmtId="187" fontId="51" fillId="7" borderId="96" xfId="0" applyNumberFormat="1" applyFont="1" applyFill="1" applyBorder="1" applyAlignment="1" applyProtection="1"/>
    <xf numFmtId="0" fontId="83" fillId="7" borderId="0" xfId="0" applyFont="1" applyFill="1" applyAlignment="1" applyProtection="1">
      <alignment vertical="center"/>
      <protection locked="0"/>
    </xf>
    <xf numFmtId="0" fontId="52" fillId="7" borderId="1" xfId="14" applyFont="1" applyFill="1" applyBorder="1" applyAlignment="1" applyProtection="1">
      <alignment vertical="center"/>
    </xf>
    <xf numFmtId="0" fontId="60" fillId="7" borderId="1" xfId="0" applyFont="1" applyFill="1" applyBorder="1" applyAlignment="1" applyProtection="1">
      <alignment horizontal="right" vertical="center"/>
    </xf>
    <xf numFmtId="0" fontId="20" fillId="7" borderId="0" xfId="0" applyFont="1" applyFill="1" applyBorder="1" applyAlignment="1" applyProtection="1">
      <alignment vertical="center"/>
    </xf>
    <xf numFmtId="0" fontId="52" fillId="7" borderId="0" xfId="0" applyFont="1" applyFill="1" applyBorder="1" applyAlignment="1" applyProtection="1">
      <alignment vertical="center"/>
    </xf>
    <xf numFmtId="49" fontId="20" fillId="7" borderId="0" xfId="0" applyNumberFormat="1" applyFont="1" applyFill="1" applyBorder="1" applyAlignment="1" applyProtection="1"/>
    <xf numFmtId="49" fontId="52" fillId="7" borderId="0" xfId="0" applyNumberFormat="1" applyFont="1" applyFill="1" applyBorder="1" applyAlignment="1" applyProtection="1"/>
    <xf numFmtId="187" fontId="52" fillId="4" borderId="0" xfId="0" applyNumberFormat="1" applyFont="1" applyFill="1" applyBorder="1" applyAlignment="1" applyProtection="1">
      <protection locked="0"/>
    </xf>
    <xf numFmtId="49" fontId="52" fillId="7" borderId="0" xfId="0" applyNumberFormat="1" applyFont="1" applyFill="1" applyBorder="1" applyAlignment="1" applyProtection="1">
      <alignment horizontal="center"/>
      <protection locked="0"/>
    </xf>
    <xf numFmtId="0" fontId="52" fillId="7" borderId="13" xfId="14" applyFont="1" applyFill="1" applyBorder="1" applyAlignment="1" applyProtection="1">
      <alignment vertical="center"/>
    </xf>
    <xf numFmtId="0" fontId="60" fillId="7" borderId="13" xfId="0" applyFont="1" applyFill="1" applyBorder="1" applyAlignment="1" applyProtection="1">
      <alignment horizontal="right" vertical="center"/>
    </xf>
    <xf numFmtId="49" fontId="51" fillId="7" borderId="0" xfId="0" applyNumberFormat="1" applyFont="1" applyFill="1" applyBorder="1" applyAlignment="1" applyProtection="1">
      <alignment horizontal="center"/>
    </xf>
    <xf numFmtId="49" fontId="58" fillId="7" borderId="7" xfId="0" applyNumberFormat="1" applyFont="1" applyFill="1" applyBorder="1" applyAlignment="1" applyProtection="1">
      <alignment horizontal="center" vertical="center"/>
    </xf>
    <xf numFmtId="0" fontId="58" fillId="7" borderId="8" xfId="0" applyFont="1" applyFill="1" applyBorder="1" applyAlignment="1" applyProtection="1">
      <alignment horizontal="center" vertical="center"/>
    </xf>
    <xf numFmtId="0" fontId="58" fillId="7" borderId="32" xfId="0" applyFont="1" applyFill="1" applyBorder="1" applyAlignment="1" applyProtection="1">
      <alignment horizontal="right" vertical="center"/>
    </xf>
    <xf numFmtId="0" fontId="58" fillId="7" borderId="39" xfId="0" applyFont="1" applyFill="1" applyBorder="1" applyAlignment="1" applyProtection="1">
      <alignment horizontal="center" vertical="center"/>
    </xf>
    <xf numFmtId="49" fontId="60" fillId="7" borderId="51" xfId="0" applyNumberFormat="1" applyFont="1" applyFill="1" applyBorder="1" applyAlignment="1" applyProtection="1">
      <alignment vertical="center"/>
    </xf>
    <xf numFmtId="0" fontId="60" fillId="7" borderId="15" xfId="0" applyFont="1" applyFill="1" applyBorder="1" applyAlignment="1" applyProtection="1">
      <alignment vertical="center" wrapText="1"/>
    </xf>
    <xf numFmtId="0" fontId="58" fillId="7" borderId="64" xfId="0" applyFont="1" applyFill="1" applyBorder="1" applyAlignment="1" applyProtection="1">
      <alignment horizontal="center" vertical="center"/>
    </xf>
    <xf numFmtId="0" fontId="20" fillId="7" borderId="15" xfId="0" applyFont="1" applyFill="1" applyBorder="1" applyAlignment="1" applyProtection="1">
      <alignment vertical="center"/>
    </xf>
    <xf numFmtId="0" fontId="58" fillId="7" borderId="34" xfId="0" applyFont="1" applyFill="1" applyBorder="1" applyAlignment="1" applyProtection="1">
      <alignment horizontal="right" vertical="center"/>
    </xf>
    <xf numFmtId="0" fontId="58" fillId="7" borderId="116" xfId="0" applyFont="1" applyFill="1" applyBorder="1" applyAlignment="1" applyProtection="1">
      <alignment horizontal="center" vertical="center"/>
    </xf>
    <xf numFmtId="49" fontId="58" fillId="7" borderId="51" xfId="0" applyNumberFormat="1" applyFont="1" applyFill="1" applyBorder="1" applyAlignment="1" applyProtection="1">
      <alignment horizontal="left" vertical="center"/>
    </xf>
    <xf numFmtId="0" fontId="60" fillId="7" borderId="112" xfId="0" applyFont="1" applyFill="1" applyBorder="1" applyAlignment="1" applyProtection="1">
      <alignment horizontal="center" vertical="center"/>
    </xf>
    <xf numFmtId="0" fontId="58" fillId="7" borderId="15" xfId="0" applyFont="1" applyFill="1" applyBorder="1" applyAlignment="1" applyProtection="1">
      <alignment vertical="center"/>
    </xf>
    <xf numFmtId="0" fontId="58" fillId="7" borderId="1" xfId="0" applyFont="1" applyFill="1" applyBorder="1" applyAlignment="1" applyProtection="1">
      <alignment horizontal="left" vertical="center"/>
    </xf>
    <xf numFmtId="0" fontId="60" fillId="7" borderId="11" xfId="0" applyFont="1" applyFill="1" applyBorder="1" applyAlignment="1" applyProtection="1">
      <alignment horizontal="center" vertical="center"/>
    </xf>
    <xf numFmtId="49" fontId="58" fillId="7" borderId="119" xfId="0" applyNumberFormat="1" applyFont="1" applyFill="1" applyBorder="1" applyAlignment="1" applyProtection="1">
      <alignment horizontal="left" vertical="center"/>
    </xf>
    <xf numFmtId="0" fontId="60" fillId="7" borderId="0" xfId="0" applyFont="1" applyFill="1" applyBorder="1" applyAlignment="1" applyProtection="1">
      <alignment horizontal="center" vertical="center"/>
    </xf>
    <xf numFmtId="0" fontId="58" fillId="7" borderId="64" xfId="0" applyFont="1" applyFill="1" applyBorder="1" applyAlignment="1" applyProtection="1">
      <alignment vertical="center"/>
    </xf>
    <xf numFmtId="0" fontId="58" fillId="7" borderId="4" xfId="0" applyFont="1" applyFill="1" applyBorder="1" applyAlignment="1" applyProtection="1">
      <alignment horizontal="left" vertical="center"/>
    </xf>
    <xf numFmtId="49" fontId="60" fillId="7" borderId="27" xfId="0" applyNumberFormat="1" applyFont="1" applyFill="1" applyBorder="1" applyAlignment="1" applyProtection="1">
      <alignment vertical="center"/>
    </xf>
    <xf numFmtId="0" fontId="60" fillId="7" borderId="64" xfId="0" applyFont="1" applyFill="1" applyBorder="1" applyAlignment="1" applyProtection="1">
      <alignment horizontal="center" vertical="center"/>
    </xf>
    <xf numFmtId="186" fontId="60" fillId="7" borderId="11" xfId="0" applyNumberFormat="1" applyFont="1" applyFill="1" applyBorder="1" applyAlignment="1" applyProtection="1">
      <alignment horizontal="center" vertical="center"/>
    </xf>
    <xf numFmtId="0" fontId="58" fillId="7" borderId="112" xfId="0" applyFont="1" applyFill="1" applyBorder="1" applyAlignment="1" applyProtection="1">
      <alignment vertical="center" wrapText="1"/>
    </xf>
    <xf numFmtId="0" fontId="58" fillId="7" borderId="112" xfId="0" applyFont="1" applyFill="1" applyBorder="1" applyAlignment="1" applyProtection="1">
      <alignment vertical="center"/>
    </xf>
    <xf numFmtId="0" fontId="58" fillId="7" borderId="15" xfId="0" applyFont="1" applyFill="1" applyBorder="1" applyAlignment="1" applyProtection="1">
      <alignment horizontal="left" vertical="center"/>
    </xf>
    <xf numFmtId="186" fontId="60" fillId="2" borderId="40" xfId="0" applyNumberFormat="1" applyFont="1" applyFill="1" applyBorder="1" applyAlignment="1" applyProtection="1">
      <alignment horizontal="center" vertical="center"/>
      <protection locked="0"/>
    </xf>
    <xf numFmtId="49" fontId="60" fillId="7" borderId="58" xfId="0" applyNumberFormat="1" applyFont="1" applyFill="1" applyBorder="1" applyAlignment="1" applyProtection="1">
      <alignment vertical="center"/>
    </xf>
    <xf numFmtId="0" fontId="107" fillId="7" borderId="1" xfId="0" applyFont="1" applyFill="1" applyBorder="1" applyAlignment="1" applyProtection="1">
      <alignment horizontal="right" vertical="center" wrapText="1"/>
    </xf>
    <xf numFmtId="0" fontId="60" fillId="7" borderId="1" xfId="0" applyFont="1" applyFill="1" applyBorder="1" applyAlignment="1" applyProtection="1">
      <alignment horizontal="center" vertical="center"/>
      <protection locked="0"/>
    </xf>
    <xf numFmtId="186" fontId="60" fillId="7" borderId="40" xfId="0" applyNumberFormat="1" applyFont="1" applyFill="1" applyBorder="1" applyAlignment="1" applyProtection="1">
      <alignment horizontal="center" vertical="center"/>
    </xf>
    <xf numFmtId="49" fontId="60" fillId="7" borderId="120" xfId="0" applyNumberFormat="1" applyFont="1" applyFill="1" applyBorder="1" applyAlignment="1" applyProtection="1">
      <alignment vertical="center"/>
    </xf>
    <xf numFmtId="49" fontId="58" fillId="7" borderId="137" xfId="0" applyNumberFormat="1" applyFont="1" applyFill="1" applyBorder="1" applyAlignment="1" applyProtection="1">
      <alignment vertical="center"/>
    </xf>
    <xf numFmtId="0" fontId="58" fillId="7" borderId="135" xfId="0" applyFont="1" applyFill="1" applyBorder="1" applyAlignment="1" applyProtection="1">
      <alignment vertical="center" wrapText="1"/>
    </xf>
    <xf numFmtId="0" fontId="60" fillId="0" borderId="6" xfId="0" applyFont="1" applyFill="1" applyBorder="1" applyAlignment="1" applyProtection="1">
      <alignment horizontal="center" vertical="center"/>
      <protection locked="0"/>
    </xf>
    <xf numFmtId="0" fontId="58" fillId="7" borderId="6" xfId="0" applyFont="1" applyFill="1" applyBorder="1" applyAlignment="1" applyProtection="1">
      <alignment vertical="center"/>
    </xf>
    <xf numFmtId="0" fontId="58" fillId="7" borderId="6" xfId="0" applyFont="1" applyFill="1" applyBorder="1" applyAlignment="1" applyProtection="1">
      <alignment horizontal="left" vertical="center"/>
    </xf>
    <xf numFmtId="186" fontId="60" fillId="7" borderId="124" xfId="0" applyNumberFormat="1" applyFont="1" applyFill="1" applyBorder="1" applyAlignment="1" applyProtection="1">
      <alignment horizontal="center" vertical="center"/>
    </xf>
    <xf numFmtId="49" fontId="60" fillId="7" borderId="58" xfId="0" applyNumberFormat="1" applyFont="1" applyFill="1" applyBorder="1" applyAlignment="1" applyProtection="1">
      <alignment horizontal="left" vertical="center"/>
    </xf>
    <xf numFmtId="0" fontId="60" fillId="7" borderId="16" xfId="0" applyFont="1" applyFill="1" applyBorder="1" applyAlignment="1" applyProtection="1">
      <alignment horizontal="left" vertical="center"/>
    </xf>
    <xf numFmtId="0" fontId="60" fillId="7" borderId="16" xfId="0" applyFont="1" applyFill="1" applyBorder="1" applyAlignment="1" applyProtection="1">
      <alignment horizontal="center" vertical="center"/>
    </xf>
    <xf numFmtId="0" fontId="58" fillId="7" borderId="64" xfId="0" applyFont="1" applyFill="1" applyBorder="1" applyAlignment="1" applyProtection="1">
      <alignment horizontal="left" vertical="center"/>
    </xf>
    <xf numFmtId="186" fontId="58" fillId="7" borderId="43" xfId="0" applyNumberFormat="1" applyFont="1" applyFill="1" applyBorder="1" applyAlignment="1" applyProtection="1">
      <alignment horizontal="center" vertical="center"/>
    </xf>
    <xf numFmtId="49" fontId="58" fillId="7" borderId="10" xfId="0" applyNumberFormat="1" applyFont="1" applyFill="1" applyBorder="1" applyAlignment="1" applyProtection="1">
      <alignment horizontal="left" vertical="center"/>
    </xf>
    <xf numFmtId="0" fontId="30" fillId="7" borderId="2" xfId="0" applyFont="1" applyFill="1" applyBorder="1" applyAlignment="1" applyProtection="1">
      <alignment horizontal="center" vertical="center"/>
    </xf>
    <xf numFmtId="0" fontId="58" fillId="7" borderId="2" xfId="0" applyFont="1" applyFill="1" applyBorder="1" applyAlignment="1" applyProtection="1">
      <alignment horizontal="left" vertical="center" wrapText="1"/>
    </xf>
    <xf numFmtId="0" fontId="58" fillId="7" borderId="3" xfId="0" applyFont="1" applyFill="1" applyBorder="1" applyAlignment="1" applyProtection="1">
      <alignment horizontal="left" vertical="center" wrapText="1"/>
    </xf>
    <xf numFmtId="189" fontId="60" fillId="7" borderId="42" xfId="0" applyNumberFormat="1" applyFont="1" applyFill="1" applyBorder="1" applyAlignment="1" applyProtection="1">
      <alignment horizontal="center" vertical="center"/>
    </xf>
    <xf numFmtId="0" fontId="58" fillId="7" borderId="16" xfId="0" applyFont="1" applyFill="1" applyBorder="1" applyAlignment="1" applyProtection="1">
      <alignment horizontal="left" vertical="center"/>
    </xf>
    <xf numFmtId="186" fontId="58" fillId="7" borderId="28"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49" fontId="58" fillId="7" borderId="137" xfId="0" applyNumberFormat="1" applyFont="1" applyFill="1" applyBorder="1" applyAlignment="1" applyProtection="1">
      <alignment horizontal="left" vertical="center"/>
    </xf>
    <xf numFmtId="186" fontId="58" fillId="7" borderId="11" xfId="0" applyNumberFormat="1" applyFont="1" applyFill="1" applyBorder="1" applyAlignment="1" applyProtection="1">
      <alignment horizontal="center" vertical="center"/>
    </xf>
    <xf numFmtId="0" fontId="58" fillId="7" borderId="42" xfId="0" applyFont="1" applyFill="1" applyBorder="1" applyAlignment="1" applyProtection="1">
      <alignment horizontal="center" vertical="center"/>
    </xf>
    <xf numFmtId="0" fontId="58" fillId="7" borderId="2" xfId="0" applyFont="1" applyFill="1" applyBorder="1" applyAlignment="1" applyProtection="1">
      <alignment vertical="center"/>
    </xf>
    <xf numFmtId="0" fontId="58" fillId="7" borderId="1" xfId="0" applyFont="1" applyFill="1" applyBorder="1" applyAlignment="1" applyProtection="1">
      <alignment vertical="center" wrapText="1"/>
    </xf>
    <xf numFmtId="49" fontId="58" fillId="7" borderId="58" xfId="0" applyNumberFormat="1" applyFont="1" applyFill="1" applyBorder="1" applyAlignment="1" applyProtection="1">
      <alignment vertical="center"/>
    </xf>
    <xf numFmtId="0" fontId="58" fillId="7" borderId="1" xfId="0" applyFont="1" applyFill="1" applyBorder="1" applyAlignment="1" applyProtection="1">
      <alignment vertical="center"/>
    </xf>
    <xf numFmtId="0" fontId="58" fillId="7" borderId="11" xfId="0" applyFont="1" applyFill="1" applyBorder="1" applyAlignment="1" applyProtection="1">
      <alignment horizontal="center" vertical="center"/>
    </xf>
    <xf numFmtId="10" fontId="58" fillId="7" borderId="11" xfId="0" applyNumberFormat="1" applyFont="1" applyFill="1" applyBorder="1" applyAlignment="1" applyProtection="1">
      <alignment horizontal="center" vertical="center"/>
    </xf>
    <xf numFmtId="0" fontId="58" fillId="7" borderId="6" xfId="0" applyFont="1" applyFill="1" applyBorder="1" applyAlignment="1" applyProtection="1">
      <alignment horizontal="center" vertical="center"/>
    </xf>
    <xf numFmtId="0" fontId="58" fillId="7" borderId="6" xfId="0" applyFont="1" applyFill="1" applyBorder="1" applyAlignment="1" applyProtection="1">
      <alignment horizontal="left" vertical="center" wrapText="1"/>
    </xf>
    <xf numFmtId="186" fontId="58" fillId="7" borderId="124" xfId="0" applyNumberFormat="1" applyFont="1" applyFill="1" applyBorder="1" applyAlignment="1" applyProtection="1">
      <alignment horizontal="center" vertical="center"/>
    </xf>
    <xf numFmtId="49" fontId="60" fillId="7" borderId="12" xfId="0" applyNumberFormat="1" applyFont="1" applyFill="1" applyBorder="1" applyAlignment="1" applyProtection="1">
      <alignment horizontal="left" vertical="center"/>
    </xf>
    <xf numFmtId="0" fontId="58" fillId="7" borderId="34" xfId="0" applyFont="1" applyFill="1" applyBorder="1" applyAlignment="1" applyProtection="1">
      <alignment horizontal="left" vertical="center"/>
    </xf>
    <xf numFmtId="0" fontId="58" fillId="7" borderId="96" xfId="0" applyFont="1" applyFill="1" applyBorder="1" applyAlignment="1" applyProtection="1">
      <alignment horizontal="center" vertical="center"/>
    </xf>
    <xf numFmtId="49" fontId="52" fillId="7" borderId="0" xfId="0" applyNumberFormat="1" applyFont="1" applyFill="1" applyBorder="1" applyAlignment="1" applyProtection="1">
      <alignment horizontal="left" vertical="center"/>
      <protection locked="0"/>
    </xf>
    <xf numFmtId="0" fontId="58" fillId="16" borderId="1" xfId="0" applyFont="1" applyFill="1" applyBorder="1" applyAlignment="1" applyProtection="1">
      <alignment horizontal="center" vertical="center"/>
    </xf>
    <xf numFmtId="0" fontId="58" fillId="7" borderId="1" xfId="0" applyFont="1" applyFill="1" applyBorder="1" applyAlignment="1" applyProtection="1">
      <alignment horizontal="left" vertical="center" wrapText="1"/>
    </xf>
    <xf numFmtId="186" fontId="58" fillId="16" borderId="42"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left" vertical="center"/>
      <protection locked="0"/>
    </xf>
    <xf numFmtId="0" fontId="58" fillId="10" borderId="1" xfId="0" applyFont="1" applyFill="1" applyBorder="1" applyAlignment="1" applyProtection="1">
      <alignment horizontal="left" vertical="center" wrapText="1"/>
      <protection locked="0"/>
    </xf>
    <xf numFmtId="0" fontId="30" fillId="7" borderId="0" xfId="0" applyFont="1" applyFill="1" applyAlignment="1" applyProtection="1">
      <protection locked="0"/>
    </xf>
    <xf numFmtId="0" fontId="58" fillId="7" borderId="15" xfId="0" applyFont="1" applyFill="1" applyBorder="1" applyAlignment="1" applyProtection="1">
      <alignment horizontal="center" vertical="center"/>
    </xf>
    <xf numFmtId="0" fontId="58" fillId="7" borderId="15" xfId="0" applyFont="1" applyFill="1" applyBorder="1" applyAlignment="1" applyProtection="1">
      <alignment horizontal="left" vertical="center" wrapText="1"/>
    </xf>
    <xf numFmtId="49" fontId="58" fillId="7" borderId="108" xfId="0" applyNumberFormat="1" applyFont="1" applyFill="1" applyBorder="1" applyAlignment="1" applyProtection="1">
      <alignment vertical="center"/>
    </xf>
    <xf numFmtId="0" fontId="58" fillId="7" borderId="108" xfId="0" applyFont="1" applyFill="1" applyBorder="1" applyAlignment="1" applyProtection="1">
      <alignment vertical="center"/>
    </xf>
    <xf numFmtId="0" fontId="58" fillId="7" borderId="16" xfId="0" applyFont="1" applyFill="1" applyBorder="1" applyAlignment="1" applyProtection="1">
      <alignment horizontal="center" vertical="center"/>
    </xf>
    <xf numFmtId="0" fontId="58" fillId="7" borderId="16" xfId="0" applyFont="1" applyFill="1" applyBorder="1" applyAlignment="1" applyProtection="1">
      <alignment horizontal="left" vertical="center" wrapText="1"/>
    </xf>
    <xf numFmtId="49" fontId="58" fillId="7" borderId="58" xfId="0" applyNumberFormat="1" applyFont="1" applyFill="1" applyBorder="1" applyAlignment="1" applyProtection="1">
      <alignment horizontal="left" vertical="center"/>
    </xf>
    <xf numFmtId="10" fontId="60" fillId="7" borderId="11" xfId="0" applyNumberFormat="1" applyFont="1" applyFill="1" applyBorder="1" applyAlignment="1" applyProtection="1">
      <alignment horizontal="center" vertical="center"/>
    </xf>
    <xf numFmtId="177" fontId="60" fillId="7" borderId="11" xfId="0" applyNumberFormat="1" applyFont="1" applyFill="1" applyBorder="1" applyAlignment="1" applyProtection="1">
      <alignment horizontal="center" vertical="center"/>
    </xf>
    <xf numFmtId="0" fontId="60" fillId="7" borderId="16" xfId="0" applyFont="1" applyFill="1" applyBorder="1" applyAlignment="1" applyProtection="1">
      <alignment horizontal="left" vertical="center" wrapText="1"/>
    </xf>
    <xf numFmtId="0" fontId="58" fillId="7" borderId="34" xfId="0" applyFont="1" applyFill="1" applyBorder="1" applyAlignment="1" applyProtection="1">
      <alignment horizontal="left" vertical="center" wrapText="1"/>
    </xf>
    <xf numFmtId="0" fontId="58" fillId="7" borderId="96" xfId="0" applyFont="1" applyFill="1" applyBorder="1" applyAlignment="1" applyProtection="1">
      <alignment horizontal="center" vertical="center" wrapText="1"/>
    </xf>
    <xf numFmtId="0" fontId="58" fillId="7" borderId="116" xfId="0" applyFont="1" applyFill="1" applyBorder="1" applyAlignment="1" applyProtection="1">
      <alignment horizontal="center" vertical="center" wrapText="1"/>
    </xf>
    <xf numFmtId="0" fontId="60" fillId="7" borderId="15" xfId="0"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0" fillId="7" borderId="64" xfId="0" applyFont="1" applyFill="1" applyBorder="1" applyAlignment="1" applyProtection="1">
      <alignment vertical="center" wrapText="1"/>
    </xf>
    <xf numFmtId="0" fontId="58" fillId="7" borderId="64" xfId="0" applyFont="1" applyFill="1" applyBorder="1" applyAlignment="1" applyProtection="1">
      <alignment horizontal="left" vertical="center" wrapText="1"/>
    </xf>
    <xf numFmtId="189" fontId="60" fillId="7" borderId="11" xfId="0" applyNumberFormat="1" applyFont="1" applyFill="1" applyBorder="1" applyAlignment="1" applyProtection="1">
      <alignment horizontal="center" vertical="center"/>
    </xf>
    <xf numFmtId="0" fontId="58" fillId="7" borderId="0" xfId="0" applyFont="1" applyFill="1" applyAlignment="1" applyProtection="1">
      <alignment vertical="center"/>
      <protection locked="0"/>
    </xf>
    <xf numFmtId="0" fontId="60" fillId="7" borderId="16" xfId="0" applyFont="1" applyFill="1" applyBorder="1" applyAlignment="1" applyProtection="1">
      <alignment vertical="center" wrapText="1"/>
    </xf>
    <xf numFmtId="0" fontId="60" fillId="7" borderId="13" xfId="0" applyFont="1" applyFill="1" applyBorder="1" applyAlignment="1" applyProtection="1">
      <alignment horizontal="left" vertical="center"/>
    </xf>
    <xf numFmtId="0" fontId="60" fillId="7" borderId="13" xfId="0" applyFont="1" applyFill="1" applyBorder="1" applyAlignment="1" applyProtection="1">
      <alignment horizontal="center" vertical="center"/>
    </xf>
    <xf numFmtId="0" fontId="58" fillId="7" borderId="13" xfId="0" applyFont="1" applyFill="1" applyBorder="1" applyAlignment="1" applyProtection="1">
      <alignment vertical="center"/>
    </xf>
    <xf numFmtId="0" fontId="58" fillId="7" borderId="13" xfId="0" applyFont="1" applyFill="1" applyBorder="1" applyAlignment="1" applyProtection="1">
      <alignment horizontal="left" vertical="center"/>
    </xf>
    <xf numFmtId="189" fontId="60" fillId="7" borderId="14" xfId="0" applyNumberFormat="1" applyFont="1" applyFill="1" applyBorder="1" applyAlignment="1" applyProtection="1">
      <alignment horizontal="center" vertical="center"/>
    </xf>
    <xf numFmtId="0" fontId="58" fillId="4" borderId="0" xfId="0" applyFont="1" applyFill="1" applyAlignment="1" applyProtection="1">
      <protection locked="0"/>
    </xf>
    <xf numFmtId="0" fontId="58" fillId="4" borderId="0" xfId="0" applyFont="1" applyFill="1" applyAlignment="1" applyProtection="1">
      <alignment horizontal="center"/>
      <protection locked="0"/>
    </xf>
    <xf numFmtId="0" fontId="58" fillId="7" borderId="0" xfId="0" applyFont="1" applyFill="1" applyAlignment="1" applyProtection="1"/>
    <xf numFmtId="0" fontId="58" fillId="7" borderId="0" xfId="0" applyFont="1" applyFill="1" applyAlignment="1" applyProtection="1">
      <protection locked="0"/>
    </xf>
    <xf numFmtId="0" fontId="78" fillId="4" borderId="0" xfId="0" applyFont="1" applyFill="1" applyAlignment="1" applyProtection="1">
      <protection locked="0"/>
    </xf>
    <xf numFmtId="0" fontId="20" fillId="7" borderId="49" xfId="0" applyFont="1" applyFill="1" applyBorder="1" applyAlignment="1" applyProtection="1">
      <alignment horizontal="center" vertical="center"/>
    </xf>
    <xf numFmtId="0" fontId="58" fillId="7" borderId="29" xfId="0" applyFont="1" applyFill="1" applyBorder="1" applyAlignment="1" applyProtection="1"/>
    <xf numFmtId="49" fontId="58" fillId="7" borderId="7" xfId="0" applyNumberFormat="1" applyFont="1" applyFill="1" applyBorder="1" applyAlignment="1" applyProtection="1">
      <alignment horizontal="center" vertical="center"/>
      <protection locked="0"/>
    </xf>
    <xf numFmtId="0" fontId="58" fillId="7" borderId="35" xfId="0" applyFont="1" applyFill="1" applyBorder="1" applyAlignment="1" applyProtection="1">
      <alignment horizontal="center" vertical="center"/>
      <protection locked="0"/>
    </xf>
    <xf numFmtId="0" fontId="58" fillId="7" borderId="17" xfId="0" applyFont="1" applyFill="1" applyBorder="1" applyAlignment="1" applyProtection="1">
      <alignment horizontal="right" vertical="center"/>
      <protection locked="0"/>
    </xf>
    <xf numFmtId="189" fontId="20" fillId="4" borderId="0" xfId="0" applyNumberFormat="1" applyFont="1" applyFill="1" applyBorder="1" applyAlignment="1" applyProtection="1">
      <alignment horizontal="center" vertical="center"/>
      <protection locked="0"/>
    </xf>
    <xf numFmtId="49" fontId="58" fillId="7" borderId="30" xfId="0" applyNumberFormat="1" applyFont="1" applyFill="1" applyBorder="1" applyAlignment="1" applyProtection="1">
      <alignment horizontal="center" vertical="center"/>
      <protection locked="0"/>
    </xf>
    <xf numFmtId="0" fontId="58" fillId="7" borderId="2" xfId="0" applyFont="1" applyFill="1" applyBorder="1" applyAlignment="1" applyProtection="1">
      <alignment horizontal="center" vertical="center"/>
      <protection locked="0"/>
    </xf>
    <xf numFmtId="0" fontId="58" fillId="7" borderId="2" xfId="0" applyFont="1" applyFill="1" applyBorder="1" applyAlignment="1" applyProtection="1">
      <alignment horizontal="right" vertical="center"/>
      <protection locked="0"/>
    </xf>
    <xf numFmtId="0" fontId="58" fillId="7" borderId="42" xfId="0" applyFont="1" applyFill="1" applyBorder="1" applyAlignment="1" applyProtection="1">
      <alignment horizontal="center" vertical="center"/>
      <protection locked="0"/>
    </xf>
    <xf numFmtId="49" fontId="52" fillId="4" borderId="0" xfId="0" applyNumberFormat="1" applyFont="1" applyFill="1" applyBorder="1" applyAlignment="1" applyProtection="1">
      <alignment horizontal="left" vertical="center"/>
      <protection locked="0"/>
    </xf>
    <xf numFmtId="49" fontId="60" fillId="7" borderId="129" xfId="0" applyNumberFormat="1" applyFont="1" applyFill="1" applyBorder="1" applyAlignment="1" applyProtection="1">
      <alignment horizontal="left" vertical="center"/>
      <protection locked="0"/>
    </xf>
    <xf numFmtId="0" fontId="60" fillId="7" borderId="48" xfId="0" applyFont="1" applyFill="1" applyBorder="1" applyAlignment="1" applyProtection="1">
      <alignment vertical="center" wrapText="1"/>
      <protection locked="0"/>
    </xf>
    <xf numFmtId="0" fontId="60" fillId="7" borderId="48" xfId="0" applyFont="1" applyFill="1" applyBorder="1" applyAlignment="1" applyProtection="1">
      <alignment horizontal="center" vertical="center"/>
    </xf>
    <xf numFmtId="0" fontId="58" fillId="7" borderId="48" xfId="0" applyFont="1" applyFill="1" applyBorder="1" applyAlignment="1" applyProtection="1">
      <alignment vertical="center"/>
      <protection locked="0"/>
    </xf>
    <xf numFmtId="0" fontId="58" fillId="7" borderId="1" xfId="0" applyFont="1" applyFill="1" applyBorder="1" applyAlignment="1" applyProtection="1">
      <protection locked="0"/>
    </xf>
    <xf numFmtId="0" fontId="52" fillId="4" borderId="11" xfId="0" applyFont="1" applyFill="1" applyBorder="1" applyAlignment="1" applyProtection="1">
      <alignment horizontal="center" vertical="center"/>
      <protection locked="0"/>
    </xf>
    <xf numFmtId="0" fontId="20" fillId="4" borderId="0" xfId="0" applyFont="1" applyFill="1" applyBorder="1" applyAlignment="1" applyProtection="1">
      <alignment vertical="center"/>
      <protection locked="0"/>
    </xf>
    <xf numFmtId="49" fontId="60" fillId="7" borderId="30" xfId="0" applyNumberFormat="1" applyFont="1" applyFill="1" applyBorder="1" applyAlignment="1" applyProtection="1">
      <alignment horizontal="center" vertical="center"/>
      <protection locked="0"/>
    </xf>
    <xf numFmtId="0" fontId="60" fillId="7" borderId="50" xfId="0" applyFont="1" applyFill="1" applyBorder="1" applyAlignment="1" applyProtection="1">
      <alignment vertical="center" wrapText="1"/>
      <protection locked="0"/>
    </xf>
    <xf numFmtId="0" fontId="60" fillId="7" borderId="50" xfId="0" applyFont="1" applyFill="1" applyBorder="1" applyAlignment="1" applyProtection="1">
      <alignment horizontal="center" vertical="center"/>
      <protection locked="0"/>
    </xf>
    <xf numFmtId="0" fontId="58" fillId="7" borderId="64" xfId="0" applyFont="1" applyFill="1" applyBorder="1" applyAlignment="1" applyProtection="1">
      <alignment vertical="center"/>
      <protection locked="0"/>
    </xf>
    <xf numFmtId="0" fontId="58" fillId="7" borderId="108" xfId="0" applyFont="1" applyFill="1" applyBorder="1" applyAlignment="1" applyProtection="1">
      <alignment horizontal="left" vertical="center"/>
      <protection locked="0"/>
    </xf>
    <xf numFmtId="0" fontId="60" fillId="7" borderId="28" xfId="0" applyFont="1" applyFill="1" applyBorder="1" applyAlignment="1" applyProtection="1">
      <alignment horizontal="center" vertical="center"/>
    </xf>
    <xf numFmtId="49" fontId="60" fillId="7" borderId="30" xfId="0" applyNumberFormat="1" applyFont="1" applyFill="1" applyBorder="1" applyAlignment="1" applyProtection="1">
      <alignment horizontal="left" vertical="center"/>
      <protection locked="0"/>
    </xf>
    <xf numFmtId="0" fontId="58" fillId="7" borderId="4" xfId="0" applyFont="1" applyFill="1" applyBorder="1" applyAlignment="1" applyProtection="1">
      <alignment horizontal="left" vertical="center"/>
      <protection locked="0"/>
    </xf>
    <xf numFmtId="186" fontId="60" fillId="0" borderId="11" xfId="0" applyNumberFormat="1" applyFont="1" applyFill="1" applyBorder="1" applyAlignment="1" applyProtection="1">
      <alignment horizontal="center" vertical="center"/>
      <protection locked="0"/>
    </xf>
    <xf numFmtId="49" fontId="60" fillId="7" borderId="41" xfId="0" applyNumberFormat="1" applyFont="1" applyFill="1" applyBorder="1" applyAlignment="1" applyProtection="1">
      <alignment horizontal="left" vertical="center"/>
      <protection locked="0"/>
    </xf>
    <xf numFmtId="0" fontId="107" fillId="7" borderId="4" xfId="0" applyFont="1" applyFill="1" applyBorder="1" applyAlignment="1" applyProtection="1">
      <alignment horizontal="right" vertical="center" wrapText="1"/>
    </xf>
    <xf numFmtId="0" fontId="58" fillId="7" borderId="95" xfId="0" applyFont="1" applyFill="1" applyBorder="1" applyAlignment="1" applyProtection="1">
      <alignment horizontal="left" vertical="center"/>
    </xf>
    <xf numFmtId="0" fontId="20" fillId="7" borderId="42" xfId="0" applyFont="1" applyFill="1" applyBorder="1" applyAlignment="1" applyProtection="1">
      <alignment vertical="center"/>
      <protection locked="0"/>
    </xf>
    <xf numFmtId="49" fontId="60" fillId="7" borderId="10" xfId="0" applyNumberFormat="1" applyFont="1" applyFill="1" applyBorder="1" applyAlignment="1" applyProtection="1">
      <alignment horizontal="left" vertical="center"/>
      <protection locked="0"/>
    </xf>
    <xf numFmtId="0" fontId="60" fillId="7" borderId="1" xfId="0" applyFont="1" applyFill="1" applyBorder="1" applyAlignment="1" applyProtection="1">
      <alignment horizontal="left" vertical="center"/>
      <protection locked="0"/>
    </xf>
    <xf numFmtId="0" fontId="20" fillId="7" borderId="1" xfId="0" applyFont="1" applyFill="1" applyBorder="1" applyAlignment="1" applyProtection="1">
      <alignment vertical="center"/>
      <protection locked="0"/>
    </xf>
    <xf numFmtId="0" fontId="20" fillId="7" borderId="3" xfId="0" applyFont="1" applyFill="1" applyBorder="1" applyAlignment="1" applyProtection="1">
      <alignment vertical="center"/>
      <protection locked="0"/>
    </xf>
    <xf numFmtId="0" fontId="20" fillId="7" borderId="30" xfId="0" applyFont="1" applyFill="1" applyBorder="1" applyAlignment="1" applyProtection="1">
      <alignment vertical="center"/>
      <protection locked="0"/>
    </xf>
    <xf numFmtId="0" fontId="58" fillId="7" borderId="1" xfId="0" applyFont="1" applyFill="1" applyBorder="1" applyAlignment="1" applyProtection="1">
      <alignment horizontal="left" vertical="center"/>
      <protection locked="0"/>
    </xf>
    <xf numFmtId="0" fontId="20" fillId="7" borderId="34" xfId="0" applyFont="1" applyFill="1" applyBorder="1" applyAlignment="1" applyProtection="1">
      <alignment vertical="center"/>
      <protection locked="0"/>
    </xf>
    <xf numFmtId="0" fontId="20" fillId="7" borderId="96" xfId="0" applyFont="1" applyFill="1" applyBorder="1" applyAlignment="1" applyProtection="1">
      <alignment vertical="center"/>
      <protection locked="0"/>
    </xf>
    <xf numFmtId="0" fontId="20" fillId="7" borderId="116" xfId="0" applyFont="1" applyFill="1" applyBorder="1" applyAlignment="1" applyProtection="1">
      <alignment vertical="center"/>
      <protection locked="0"/>
    </xf>
    <xf numFmtId="49" fontId="60" fillId="7" borderId="10" xfId="0" applyNumberFormat="1" applyFont="1" applyFill="1" applyBorder="1" applyAlignment="1" applyProtection="1">
      <alignment horizontal="left" vertical="center"/>
    </xf>
    <xf numFmtId="0" fontId="58" fillId="7" borderId="2" xfId="0" applyFont="1" applyFill="1" applyBorder="1" applyAlignment="1" applyProtection="1">
      <alignment horizontal="left" vertical="center"/>
      <protection locked="0"/>
    </xf>
    <xf numFmtId="0" fontId="58" fillId="7" borderId="3" xfId="0" applyFont="1" applyFill="1" applyBorder="1" applyAlignment="1" applyProtection="1">
      <alignment horizontal="center" vertical="center"/>
      <protection locked="0"/>
    </xf>
    <xf numFmtId="0" fontId="58" fillId="7" borderId="2" xfId="0" applyFont="1" applyFill="1" applyBorder="1" applyAlignment="1" applyProtection="1">
      <alignment horizontal="left" vertical="center" wrapText="1"/>
      <protection locked="0"/>
    </xf>
    <xf numFmtId="0" fontId="58" fillId="7" borderId="1" xfId="0" applyFont="1" applyFill="1" applyBorder="1" applyAlignment="1" applyProtection="1">
      <alignment horizontal="left" vertical="center" wrapText="1"/>
      <protection locked="0"/>
    </xf>
    <xf numFmtId="0" fontId="58" fillId="7" borderId="15" xfId="0" applyFont="1" applyFill="1" applyBorder="1" applyAlignment="1" applyProtection="1">
      <alignment vertical="center"/>
      <protection locked="0"/>
    </xf>
    <xf numFmtId="0" fontId="58" fillId="7" borderId="15" xfId="0" applyFont="1" applyFill="1" applyBorder="1" applyAlignment="1" applyProtection="1">
      <alignment horizontal="left" vertical="center" wrapText="1"/>
      <protection locked="0"/>
    </xf>
    <xf numFmtId="0" fontId="58" fillId="7" borderId="16" xfId="0" applyFont="1" applyFill="1" applyBorder="1" applyAlignment="1" applyProtection="1">
      <alignment vertical="center"/>
      <protection locked="0"/>
    </xf>
    <xf numFmtId="0" fontId="58" fillId="7" borderId="16" xfId="0" applyFont="1" applyFill="1" applyBorder="1" applyAlignment="1" applyProtection="1">
      <alignment horizontal="left" vertical="center" wrapText="1"/>
      <protection locked="0"/>
    </xf>
    <xf numFmtId="49" fontId="88" fillId="7" borderId="0" xfId="0" applyNumberFormat="1" applyFont="1" applyFill="1" applyBorder="1" applyAlignment="1" applyProtection="1">
      <alignment horizontal="center"/>
      <protection locked="0"/>
    </xf>
    <xf numFmtId="49" fontId="88" fillId="7" borderId="0" xfId="0" applyNumberFormat="1" applyFont="1" applyFill="1" applyBorder="1" applyAlignment="1" applyProtection="1">
      <alignment horizontal="left"/>
      <protection locked="0"/>
    </xf>
    <xf numFmtId="0" fontId="83" fillId="4" borderId="0" xfId="0" applyFont="1" applyFill="1" applyAlignment="1" applyProtection="1">
      <alignment vertical="center"/>
      <protection locked="0"/>
    </xf>
    <xf numFmtId="49" fontId="52" fillId="7" borderId="0" xfId="0" applyNumberFormat="1" applyFont="1" applyFill="1" applyBorder="1" applyAlignment="1" applyProtection="1">
      <alignment horizontal="left"/>
      <protection locked="0"/>
    </xf>
    <xf numFmtId="49" fontId="52" fillId="7" borderId="0" xfId="0" applyNumberFormat="1" applyFont="1" applyFill="1" applyBorder="1" applyAlignment="1" applyProtection="1">
      <alignment horizontal="center"/>
    </xf>
    <xf numFmtId="49" fontId="52" fillId="7" borderId="0" xfId="0" applyNumberFormat="1" applyFont="1" applyFill="1" applyBorder="1" applyAlignment="1" applyProtection="1">
      <alignment horizontal="left"/>
    </xf>
    <xf numFmtId="0" fontId="108" fillId="7" borderId="15" xfId="0" applyFont="1" applyFill="1" applyBorder="1" applyAlignment="1" applyProtection="1">
      <alignment vertical="center"/>
    </xf>
    <xf numFmtId="0" fontId="108" fillId="7" borderId="112" xfId="0" applyFont="1" applyFill="1" applyBorder="1" applyAlignment="1" applyProtection="1">
      <alignment vertical="center"/>
    </xf>
    <xf numFmtId="0" fontId="58" fillId="7" borderId="0" xfId="0" applyFont="1" applyFill="1" applyBorder="1" applyAlignment="1" applyProtection="1">
      <alignment vertical="center"/>
    </xf>
    <xf numFmtId="186" fontId="60" fillId="7" borderId="69" xfId="0" applyNumberFormat="1" applyFont="1" applyFill="1" applyBorder="1" applyAlignment="1" applyProtection="1">
      <alignment horizontal="center" vertical="center"/>
    </xf>
    <xf numFmtId="0" fontId="58" fillId="7" borderId="127" xfId="0" applyFont="1" applyFill="1" applyBorder="1" applyAlignment="1" applyProtection="1">
      <alignment vertical="center"/>
    </xf>
    <xf numFmtId="186" fontId="60" fillId="7" borderId="6" xfId="0" applyNumberFormat="1" applyFont="1" applyFill="1" applyBorder="1" applyAlignment="1" applyProtection="1">
      <alignment horizontal="center" vertical="center"/>
    </xf>
    <xf numFmtId="0" fontId="60" fillId="7" borderId="34" xfId="0" applyFont="1" applyFill="1" applyBorder="1" applyAlignment="1" applyProtection="1">
      <alignment horizontal="center" vertical="center"/>
    </xf>
    <xf numFmtId="0" fontId="58" fillId="7" borderId="96" xfId="0" applyFont="1" applyFill="1" applyBorder="1" applyAlignment="1" applyProtection="1">
      <alignment vertical="center"/>
    </xf>
    <xf numFmtId="0" fontId="58" fillId="7" borderId="116" xfId="0" applyFont="1" applyFill="1" applyBorder="1" applyAlignment="1" applyProtection="1">
      <alignment vertical="center"/>
    </xf>
    <xf numFmtId="0" fontId="58" fillId="7" borderId="2" xfId="0" applyFont="1" applyFill="1" applyBorder="1" applyAlignment="1" applyProtection="1">
      <alignment horizontal="left" vertical="center"/>
    </xf>
    <xf numFmtId="0" fontId="58" fillId="7" borderId="3" xfId="0" applyFont="1" applyFill="1" applyBorder="1" applyAlignment="1" applyProtection="1">
      <alignment vertical="center"/>
    </xf>
    <xf numFmtId="0" fontId="58" fillId="7" borderId="42" xfId="0" applyFont="1" applyFill="1" applyBorder="1" applyAlignment="1" applyProtection="1">
      <alignment vertical="center"/>
    </xf>
    <xf numFmtId="0" fontId="58" fillId="7" borderId="127" xfId="0" applyFont="1" applyFill="1" applyBorder="1" applyAlignment="1" applyProtection="1">
      <alignment horizontal="left" vertical="center"/>
    </xf>
    <xf numFmtId="0" fontId="58" fillId="7" borderId="128" xfId="0" applyFont="1" applyFill="1" applyBorder="1" applyAlignment="1" applyProtection="1">
      <alignment vertical="center"/>
    </xf>
    <xf numFmtId="0" fontId="58" fillId="7" borderId="138" xfId="0" applyFont="1" applyFill="1" applyBorder="1" applyAlignment="1" applyProtection="1">
      <alignment vertical="center"/>
    </xf>
    <xf numFmtId="0" fontId="58" fillId="7" borderId="16" xfId="0" applyFont="1" applyFill="1" applyBorder="1" applyAlignment="1" applyProtection="1">
      <alignment vertical="center"/>
    </xf>
    <xf numFmtId="0" fontId="52" fillId="7" borderId="0" xfId="0" applyFont="1" applyFill="1" applyBorder="1" applyAlignment="1" applyProtection="1">
      <alignment horizontal="left" vertical="center"/>
      <protection locked="0"/>
    </xf>
    <xf numFmtId="0" fontId="57" fillId="7" borderId="0" xfId="0" applyFont="1" applyFill="1" applyBorder="1" applyAlignment="1" applyProtection="1">
      <alignment horizontal="center" vertical="center"/>
      <protection locked="0"/>
    </xf>
    <xf numFmtId="0" fontId="58" fillId="7" borderId="0" xfId="0" applyFont="1" applyFill="1" applyBorder="1" applyAlignment="1" applyProtection="1">
      <alignment vertical="center"/>
      <protection locked="0"/>
    </xf>
    <xf numFmtId="0" fontId="20" fillId="7" borderId="0" xfId="0" applyFont="1" applyFill="1" applyBorder="1" applyAlignment="1" applyProtection="1">
      <alignment horizontal="left" vertical="center"/>
      <protection locked="0"/>
    </xf>
    <xf numFmtId="189" fontId="57" fillId="7" borderId="0" xfId="0" applyNumberFormat="1" applyFont="1" applyFill="1" applyBorder="1" applyAlignment="1" applyProtection="1">
      <alignment horizontal="center" vertical="center"/>
      <protection locked="0"/>
    </xf>
    <xf numFmtId="0" fontId="30" fillId="7" borderId="0" xfId="0" applyFont="1" applyFill="1" applyAlignment="1" applyProtection="1">
      <alignment horizontal="left"/>
      <protection locked="0"/>
    </xf>
    <xf numFmtId="0" fontId="60" fillId="7" borderId="0" xfId="0" applyFont="1" applyFill="1" applyAlignment="1" applyProtection="1">
      <alignment horizontal="left"/>
      <protection locked="0"/>
    </xf>
    <xf numFmtId="0" fontId="60" fillId="7" borderId="0" xfId="0" applyFont="1" applyFill="1" applyAlignment="1" applyProtection="1">
      <protection locked="0"/>
    </xf>
    <xf numFmtId="0" fontId="58" fillId="7" borderId="0" xfId="0" applyFont="1" applyFill="1" applyAlignment="1" applyProtection="1">
      <alignment horizontal="left" vertical="center"/>
      <protection locked="0"/>
    </xf>
    <xf numFmtId="0" fontId="20" fillId="7" borderId="0" xfId="0" applyFont="1" applyFill="1" applyAlignment="1" applyProtection="1">
      <alignment horizontal="left" vertical="center"/>
      <protection locked="0"/>
    </xf>
    <xf numFmtId="0" fontId="20" fillId="4" borderId="0" xfId="0" applyFont="1" applyFill="1" applyAlignment="1" applyProtection="1">
      <alignment horizontal="left" vertical="center"/>
      <protection locked="0"/>
    </xf>
    <xf numFmtId="0" fontId="78" fillId="7" borderId="0" xfId="0" applyFont="1" applyFill="1" applyAlignment="1" applyProtection="1">
      <alignment vertical="center"/>
    </xf>
    <xf numFmtId="0" fontId="78" fillId="4" borderId="117" xfId="0" applyFont="1" applyFill="1" applyBorder="1" applyAlignment="1" applyProtection="1">
      <alignment vertical="center"/>
      <protection locked="0"/>
    </xf>
    <xf numFmtId="0" fontId="20" fillId="4" borderId="25" xfId="0" applyFont="1" applyFill="1" applyBorder="1" applyAlignment="1" applyProtection="1">
      <alignment vertical="center"/>
      <protection locked="0"/>
    </xf>
    <xf numFmtId="0" fontId="20" fillId="4" borderId="115" xfId="0" applyFont="1" applyFill="1" applyBorder="1" applyAlignment="1" applyProtection="1">
      <alignment horizontal="left" vertical="center"/>
      <protection locked="0"/>
    </xf>
    <xf numFmtId="0" fontId="63" fillId="7" borderId="139" xfId="0" applyFont="1" applyFill="1" applyBorder="1" applyAlignment="1" applyProtection="1">
      <alignment horizontal="center" vertical="center"/>
    </xf>
    <xf numFmtId="0" fontId="30" fillId="7" borderId="139" xfId="0" applyFont="1" applyFill="1" applyBorder="1" applyAlignment="1" applyProtection="1">
      <alignment vertical="center" wrapText="1"/>
    </xf>
    <xf numFmtId="0" fontId="30" fillId="7" borderId="115" xfId="0" applyFont="1" applyFill="1" applyBorder="1" applyAlignment="1" applyProtection="1">
      <alignment vertical="center"/>
    </xf>
    <xf numFmtId="0" fontId="20" fillId="7" borderId="7" xfId="0" applyFont="1" applyFill="1" applyBorder="1" applyAlignment="1" applyProtection="1">
      <alignment vertical="center"/>
    </xf>
    <xf numFmtId="0" fontId="20" fillId="2" borderId="9" xfId="0" applyFont="1" applyFill="1" applyBorder="1" applyAlignment="1" applyProtection="1">
      <alignment horizontal="center" vertical="center"/>
      <protection locked="0"/>
    </xf>
    <xf numFmtId="0" fontId="20" fillId="7" borderId="7" xfId="0" applyFont="1" applyFill="1" applyBorder="1" applyAlignment="1" applyProtection="1">
      <alignment horizontal="left" vertical="center"/>
      <protection locked="0"/>
    </xf>
    <xf numFmtId="0" fontId="20" fillId="7" borderId="9" xfId="0" applyFont="1" applyFill="1" applyBorder="1" applyAlignment="1" applyProtection="1">
      <alignment horizontal="center" vertical="center"/>
    </xf>
    <xf numFmtId="0" fontId="20" fillId="7" borderId="0" xfId="0" applyFont="1" applyFill="1" applyAlignment="1" applyProtection="1">
      <alignment horizontal="center" vertical="center"/>
    </xf>
    <xf numFmtId="0" fontId="30" fillId="7" borderId="132" xfId="0" applyFont="1" applyFill="1" applyBorder="1" applyAlignment="1" applyProtection="1">
      <alignment vertical="center" wrapText="1"/>
    </xf>
    <xf numFmtId="0" fontId="30" fillId="7" borderId="22" xfId="0" applyFont="1" applyFill="1" applyBorder="1" applyAlignment="1" applyProtection="1">
      <alignment vertical="center"/>
    </xf>
    <xf numFmtId="0" fontId="30" fillId="2" borderId="11" xfId="0" applyFont="1" applyFill="1" applyBorder="1" applyAlignment="1" applyProtection="1">
      <alignment horizontal="center"/>
      <protection locked="0"/>
    </xf>
    <xf numFmtId="0" fontId="30" fillId="7" borderId="10" xfId="0" applyFont="1" applyFill="1" applyBorder="1" applyAlignment="1" applyProtection="1">
      <alignment horizontal="left"/>
      <protection locked="0"/>
    </xf>
    <xf numFmtId="0" fontId="20" fillId="7" borderId="11" xfId="0" applyFont="1" applyFill="1" applyBorder="1" applyAlignment="1" applyProtection="1">
      <alignment horizontal="center" vertical="center"/>
    </xf>
    <xf numFmtId="0" fontId="20" fillId="4" borderId="11" xfId="0" applyFont="1" applyFill="1" applyBorder="1" applyAlignment="1" applyProtection="1">
      <alignment horizontal="center" vertical="center"/>
      <protection locked="0"/>
    </xf>
    <xf numFmtId="0" fontId="20" fillId="0" borderId="11" xfId="0" applyFont="1" applyFill="1" applyBorder="1" applyAlignment="1" applyProtection="1">
      <alignment horizontal="center" vertical="center"/>
      <protection locked="0"/>
    </xf>
    <xf numFmtId="0" fontId="30" fillId="7" borderId="132" xfId="0" applyFont="1" applyFill="1" applyBorder="1" applyAlignment="1" applyProtection="1">
      <alignment horizontal="right" vertical="center" wrapText="1"/>
    </xf>
    <xf numFmtId="0" fontId="30" fillId="7" borderId="11" xfId="0" applyFont="1" applyFill="1" applyBorder="1" applyAlignment="1" applyProtection="1">
      <alignment horizontal="center"/>
    </xf>
    <xf numFmtId="0" fontId="20" fillId="4" borderId="119" xfId="0" applyFont="1" applyFill="1" applyBorder="1" applyAlignment="1" applyProtection="1">
      <alignment vertical="center" wrapText="1"/>
      <protection locked="0"/>
    </xf>
    <xf numFmtId="49" fontId="20" fillId="7" borderId="10" xfId="0" applyNumberFormat="1" applyFont="1" applyFill="1" applyBorder="1" applyAlignment="1" applyProtection="1">
      <alignment horizontal="left" vertical="center"/>
    </xf>
    <xf numFmtId="0" fontId="20" fillId="7" borderId="11" xfId="0" applyNumberFormat="1" applyFont="1" applyFill="1" applyBorder="1" applyAlignment="1" applyProtection="1">
      <alignment horizontal="center" vertical="center"/>
    </xf>
    <xf numFmtId="0" fontId="20" fillId="7" borderId="10" xfId="0" applyFont="1" applyFill="1" applyBorder="1" applyAlignment="1" applyProtection="1">
      <alignment vertical="center"/>
      <protection locked="0"/>
    </xf>
    <xf numFmtId="194" fontId="20" fillId="7" borderId="11" xfId="0" applyNumberFormat="1" applyFont="1" applyFill="1" applyBorder="1" applyAlignment="1" applyProtection="1">
      <alignment horizontal="center" vertical="center"/>
    </xf>
    <xf numFmtId="0" fontId="20" fillId="4" borderId="108" xfId="0" applyFont="1" applyFill="1" applyBorder="1" applyAlignment="1" applyProtection="1">
      <alignment vertical="center" wrapText="1"/>
      <protection locked="0"/>
    </xf>
    <xf numFmtId="0" fontId="20" fillId="7" borderId="12" xfId="0" applyFont="1" applyFill="1" applyBorder="1" applyAlignment="1" applyProtection="1">
      <alignment vertical="center"/>
    </xf>
    <xf numFmtId="10" fontId="20" fillId="0" borderId="14" xfId="0" applyNumberFormat="1" applyFont="1" applyFill="1" applyBorder="1" applyAlignment="1" applyProtection="1">
      <alignment horizontal="center" vertical="center"/>
      <protection locked="0"/>
    </xf>
    <xf numFmtId="0" fontId="20" fillId="7" borderId="19" xfId="0" applyFont="1" applyFill="1" applyBorder="1" applyAlignment="1" applyProtection="1">
      <alignment vertical="center" wrapText="1"/>
    </xf>
    <xf numFmtId="0" fontId="20" fillId="7" borderId="24" xfId="0"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21" fillId="7" borderId="21" xfId="0" applyFont="1" applyFill="1" applyBorder="1" applyAlignment="1" applyProtection="1">
      <alignment vertical="center" wrapText="1"/>
    </xf>
    <xf numFmtId="0" fontId="20" fillId="7" borderId="0" xfId="0" applyFont="1" applyFill="1" applyAlignment="1" applyProtection="1">
      <alignment vertical="center"/>
    </xf>
    <xf numFmtId="0" fontId="52" fillId="7" borderId="37" xfId="0" applyFont="1" applyFill="1" applyBorder="1" applyAlignment="1" applyProtection="1">
      <alignment horizontal="left" vertical="center" wrapText="1"/>
    </xf>
    <xf numFmtId="186" fontId="20" fillId="7" borderId="8" xfId="0" applyNumberFormat="1" applyFont="1" applyFill="1" applyBorder="1" applyAlignment="1" applyProtection="1">
      <alignment horizontal="center" vertical="center"/>
    </xf>
    <xf numFmtId="0" fontId="52" fillId="7" borderId="49" xfId="0" applyFont="1" applyFill="1" applyBorder="1" applyAlignment="1" applyProtection="1">
      <alignment horizontal="center" vertical="center"/>
    </xf>
    <xf numFmtId="0" fontId="20" fillId="2" borderId="39" xfId="0" applyFont="1" applyFill="1" applyBorder="1" applyAlignment="1" applyProtection="1">
      <alignment horizontal="center" vertical="center"/>
      <protection locked="0"/>
    </xf>
    <xf numFmtId="0" fontId="20" fillId="7" borderId="58" xfId="0" applyFont="1" applyFill="1" applyBorder="1" applyAlignment="1" applyProtection="1">
      <alignment vertical="center" wrapText="1"/>
    </xf>
    <xf numFmtId="0" fontId="20" fillId="2" borderId="0" xfId="0" applyFont="1" applyFill="1" applyBorder="1" applyAlignment="1" applyProtection="1">
      <alignment horizontal="center" vertical="center"/>
      <protection locked="0"/>
    </xf>
    <xf numFmtId="0" fontId="20" fillId="7" borderId="10" xfId="0" applyFont="1" applyFill="1" applyBorder="1" applyAlignment="1" applyProtection="1">
      <alignment vertical="center" wrapText="1"/>
    </xf>
    <xf numFmtId="0" fontId="20" fillId="7" borderId="2" xfId="0" applyFont="1" applyFill="1" applyBorder="1" applyAlignment="1" applyProtection="1">
      <alignment horizontal="center" vertical="center"/>
    </xf>
    <xf numFmtId="186" fontId="20" fillId="7" borderId="2" xfId="0" applyNumberFormat="1" applyFont="1" applyFill="1" applyBorder="1" applyAlignment="1" applyProtection="1">
      <alignment horizontal="center" vertical="center"/>
    </xf>
    <xf numFmtId="49" fontId="52" fillId="7" borderId="12" xfId="0" applyNumberFormat="1" applyFont="1" applyFill="1" applyBorder="1" applyAlignment="1" applyProtection="1">
      <alignment horizontal="left" vertical="center"/>
    </xf>
    <xf numFmtId="0" fontId="20" fillId="7" borderId="14" xfId="0" applyFont="1" applyFill="1" applyBorder="1" applyAlignment="1" applyProtection="1">
      <alignment horizontal="center" vertical="center"/>
    </xf>
    <xf numFmtId="0" fontId="52" fillId="7" borderId="12" xfId="0" applyFont="1" applyFill="1" applyBorder="1" applyAlignment="1" applyProtection="1">
      <alignment horizontal="center" vertical="center"/>
    </xf>
    <xf numFmtId="0" fontId="20" fillId="7" borderId="1" xfId="0" applyFont="1" applyFill="1" applyBorder="1" applyAlignment="1"/>
    <xf numFmtId="0" fontId="20" fillId="7" borderId="1" xfId="0" applyFont="1" applyFill="1" applyBorder="1" applyAlignment="1">
      <alignment horizontal="center"/>
    </xf>
    <xf numFmtId="0" fontId="20" fillId="7" borderId="1" xfId="0" applyFont="1" applyFill="1" applyBorder="1" applyAlignment="1" applyProtection="1">
      <alignment horizontal="center" vertical="center"/>
      <protection locked="0"/>
    </xf>
    <xf numFmtId="9" fontId="20" fillId="7" borderId="1" xfId="0" applyNumberFormat="1" applyFont="1" applyFill="1" applyBorder="1" applyAlignment="1" applyProtection="1">
      <alignment horizontal="center" vertical="center"/>
      <protection locked="0"/>
    </xf>
    <xf numFmtId="0" fontId="30" fillId="7" borderId="115" xfId="0" applyFont="1" applyFill="1" applyBorder="1" applyAlignment="1" applyProtection="1">
      <alignment vertical="center" wrapText="1"/>
    </xf>
    <xf numFmtId="0" fontId="30" fillId="7" borderId="22" xfId="0" applyFont="1" applyFill="1" applyBorder="1" applyAlignment="1" applyProtection="1">
      <alignment vertical="center" wrapText="1"/>
    </xf>
    <xf numFmtId="10" fontId="30" fillId="7" borderId="22" xfId="0" applyNumberFormat="1" applyFont="1" applyFill="1" applyBorder="1" applyAlignment="1" applyProtection="1">
      <alignment vertical="center" wrapText="1"/>
    </xf>
    <xf numFmtId="0" fontId="60" fillId="7" borderId="1" xfId="0" applyFont="1" applyFill="1" applyBorder="1" applyAlignment="1" applyProtection="1">
      <alignment horizontal="left" vertical="center" wrapText="1"/>
      <protection locked="0"/>
    </xf>
    <xf numFmtId="0" fontId="58" fillId="7" borderId="3" xfId="0" applyFont="1" applyFill="1" applyBorder="1" applyAlignment="1" applyProtection="1">
      <alignment horizontal="center" vertical="center" wrapText="1"/>
      <protection locked="0"/>
    </xf>
    <xf numFmtId="0" fontId="58" fillId="7" borderId="42" xfId="0" applyFont="1" applyFill="1" applyBorder="1" applyAlignment="1" applyProtection="1">
      <alignment horizontal="center" vertical="center" wrapText="1"/>
      <protection locked="0"/>
    </xf>
    <xf numFmtId="49" fontId="60" fillId="7" borderId="51" xfId="0" applyNumberFormat="1" applyFont="1" applyFill="1" applyBorder="1" applyAlignment="1" applyProtection="1">
      <alignment vertical="center"/>
      <protection locked="0"/>
    </xf>
    <xf numFmtId="0" fontId="60" fillId="7" borderId="15" xfId="0" applyFont="1" applyFill="1" applyBorder="1" applyAlignment="1" applyProtection="1">
      <alignment vertical="center" wrapText="1"/>
      <protection locked="0"/>
    </xf>
    <xf numFmtId="49" fontId="60" fillId="7" borderId="27" xfId="0" applyNumberFormat="1" applyFont="1" applyFill="1" applyBorder="1" applyAlignment="1" applyProtection="1">
      <alignment vertical="center"/>
      <protection locked="0"/>
    </xf>
    <xf numFmtId="0" fontId="60" fillId="7" borderId="64" xfId="0" applyFont="1" applyFill="1" applyBorder="1" applyAlignment="1" applyProtection="1">
      <alignment vertical="center" wrapText="1"/>
      <protection locked="0"/>
    </xf>
    <xf numFmtId="0" fontId="58" fillId="7" borderId="64" xfId="0" applyFont="1" applyFill="1" applyBorder="1" applyAlignment="1" applyProtection="1">
      <alignment horizontal="left" vertical="center" wrapText="1"/>
      <protection locked="0"/>
    </xf>
    <xf numFmtId="49" fontId="60" fillId="7" borderId="58" xfId="0" applyNumberFormat="1" applyFont="1" applyFill="1" applyBorder="1" applyAlignment="1" applyProtection="1">
      <alignment vertical="center"/>
      <protection locked="0"/>
    </xf>
    <xf numFmtId="0" fontId="60" fillId="7" borderId="16" xfId="0" applyFont="1" applyFill="1" applyBorder="1" applyAlignment="1" applyProtection="1">
      <alignment vertical="center" wrapText="1"/>
      <protection locked="0"/>
    </xf>
    <xf numFmtId="49" fontId="60" fillId="7" borderId="12" xfId="0" applyNumberFormat="1" applyFont="1" applyFill="1" applyBorder="1" applyAlignment="1" applyProtection="1">
      <alignment horizontal="left" vertical="center"/>
      <protection locked="0"/>
    </xf>
    <xf numFmtId="0" fontId="60" fillId="7" borderId="13" xfId="0" applyFont="1" applyFill="1" applyBorder="1" applyAlignment="1" applyProtection="1">
      <alignment horizontal="left" vertical="center"/>
      <protection locked="0"/>
    </xf>
    <xf numFmtId="0" fontId="58" fillId="7" borderId="13" xfId="0" applyFont="1" applyFill="1" applyBorder="1" applyAlignment="1" applyProtection="1">
      <alignment vertical="center"/>
      <protection locked="0"/>
    </xf>
    <xf numFmtId="0" fontId="58" fillId="7" borderId="13" xfId="0" applyFont="1" applyFill="1" applyBorder="1" applyAlignment="1" applyProtection="1">
      <alignment horizontal="left" vertical="center"/>
      <protection locked="0"/>
    </xf>
    <xf numFmtId="0" fontId="58" fillId="7" borderId="1" xfId="0" applyFont="1" applyFill="1" applyBorder="1" applyAlignment="1" applyProtection="1">
      <alignment horizontal="center"/>
    </xf>
    <xf numFmtId="0" fontId="20" fillId="7" borderId="1" xfId="0" applyFont="1" applyFill="1" applyBorder="1" applyAlignment="1" applyProtection="1">
      <alignment horizontal="left"/>
    </xf>
    <xf numFmtId="184" fontId="20" fillId="7" borderId="1" xfId="0" applyNumberFormat="1" applyFont="1" applyFill="1" applyBorder="1" applyAlignment="1" applyProtection="1">
      <alignment horizontal="center"/>
    </xf>
    <xf numFmtId="186" fontId="60" fillId="7" borderId="1" xfId="0" applyNumberFormat="1" applyFont="1" applyFill="1" applyBorder="1" applyAlignment="1" applyProtection="1">
      <alignment horizontal="center" vertical="center"/>
    </xf>
    <xf numFmtId="0" fontId="63" fillId="7" borderId="1" xfId="0" applyFont="1" applyFill="1" applyBorder="1" applyAlignment="1" applyProtection="1">
      <alignment horizontal="left"/>
    </xf>
    <xf numFmtId="0" fontId="63" fillId="7" borderId="1" xfId="0" applyFont="1" applyFill="1" applyBorder="1" applyAlignment="1" applyProtection="1">
      <alignment horizontal="center"/>
    </xf>
    <xf numFmtId="0" fontId="57" fillId="7" borderId="1" xfId="0" applyFont="1" applyFill="1" applyBorder="1" applyAlignment="1" applyProtection="1">
      <alignment horizontal="center"/>
    </xf>
    <xf numFmtId="0" fontId="29" fillId="7" borderId="22" xfId="0" applyFont="1" applyFill="1" applyBorder="1" applyAlignment="1" applyProtection="1">
      <alignment vertical="center"/>
    </xf>
    <xf numFmtId="194" fontId="30" fillId="7" borderId="22" xfId="0" applyNumberFormat="1" applyFont="1" applyFill="1" applyBorder="1" applyAlignment="1" applyProtection="1">
      <alignment vertical="center" wrapText="1"/>
    </xf>
    <xf numFmtId="0" fontId="21" fillId="7" borderId="64" xfId="0" applyFont="1" applyFill="1" applyBorder="1" applyAlignment="1" applyProtection="1">
      <alignment vertical="center"/>
    </xf>
    <xf numFmtId="0" fontId="58" fillId="7" borderId="35" xfId="0" applyFont="1" applyFill="1" applyBorder="1" applyAlignment="1" applyProtection="1">
      <alignment horizontal="center" vertical="center"/>
    </xf>
    <xf numFmtId="0" fontId="60" fillId="7" borderId="50" xfId="0" applyFont="1" applyFill="1" applyBorder="1" applyAlignment="1" applyProtection="1">
      <alignment horizontal="center" vertical="center"/>
    </xf>
    <xf numFmtId="49" fontId="60" fillId="7" borderId="112" xfId="0" applyNumberFormat="1" applyFont="1" applyFill="1" applyBorder="1" applyAlignment="1" applyProtection="1">
      <alignment horizontal="left" vertical="center"/>
      <protection locked="0"/>
    </xf>
    <xf numFmtId="0" fontId="58" fillId="7" borderId="4" xfId="0" applyFont="1" applyFill="1" applyBorder="1" applyAlignment="1" applyProtection="1">
      <alignment vertical="center" wrapText="1"/>
    </xf>
    <xf numFmtId="49" fontId="60" fillId="7" borderId="58" xfId="0" applyNumberFormat="1" applyFont="1" applyFill="1" applyBorder="1" applyAlignment="1" applyProtection="1">
      <alignment horizontal="left" vertical="center"/>
      <protection locked="0"/>
    </xf>
    <xf numFmtId="0" fontId="78" fillId="7" borderId="0" xfId="0" applyFont="1" applyFill="1" applyAlignment="1" applyProtection="1">
      <alignment vertical="center"/>
      <protection locked="0"/>
    </xf>
    <xf numFmtId="0" fontId="96" fillId="4"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81" fillId="4"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85" fillId="8" borderId="0" xfId="0" applyFont="1" applyFill="1" applyAlignment="1" applyProtection="1">
      <alignment vertical="center" wrapText="1"/>
      <protection locked="0"/>
    </xf>
    <xf numFmtId="0" fontId="59" fillId="8" borderId="0" xfId="0" applyFont="1" applyFill="1" applyAlignment="1" applyProtection="1">
      <alignment vertical="center" wrapText="1"/>
      <protection locked="0"/>
    </xf>
    <xf numFmtId="0" fontId="58" fillId="8" borderId="0" xfId="0" applyFont="1" applyFill="1" applyAlignment="1" applyProtection="1">
      <alignment vertical="center"/>
      <protection locked="0"/>
    </xf>
    <xf numFmtId="184" fontId="58" fillId="8" borderId="0" xfId="0" applyNumberFormat="1" applyFont="1" applyFill="1" applyAlignment="1" applyProtection="1">
      <alignment horizontal="center" vertical="center"/>
      <protection locked="0"/>
    </xf>
    <xf numFmtId="0" fontId="62" fillId="2" borderId="2" xfId="14" applyFont="1" applyFill="1" applyBorder="1" applyAlignment="1" applyProtection="1">
      <alignment horizontal="left" vertical="center"/>
      <protection locked="0"/>
    </xf>
    <xf numFmtId="0" fontId="62" fillId="2" borderId="4" xfId="14" applyFont="1" applyFill="1" applyBorder="1" applyAlignment="1" applyProtection="1">
      <alignment vertical="center"/>
    </xf>
    <xf numFmtId="0" fontId="62" fillId="14" borderId="0" xfId="14" applyFont="1" applyFill="1" applyBorder="1" applyAlignment="1" applyProtection="1">
      <alignment vertical="center"/>
    </xf>
    <xf numFmtId="0" fontId="58" fillId="14" borderId="0" xfId="0" applyFont="1" applyFill="1" applyAlignment="1" applyProtection="1">
      <alignment vertical="center"/>
      <protection locked="0"/>
    </xf>
    <xf numFmtId="0" fontId="62" fillId="7" borderId="0" xfId="14" applyFont="1" applyFill="1" applyBorder="1" applyAlignment="1" applyProtection="1">
      <alignment vertical="center"/>
    </xf>
    <xf numFmtId="0" fontId="62" fillId="7" borderId="37" xfId="0" applyFont="1" applyFill="1" applyBorder="1" applyAlignment="1" applyProtection="1">
      <alignment vertical="center"/>
    </xf>
    <xf numFmtId="0" fontId="62" fillId="7" borderId="38" xfId="0" applyFont="1" applyFill="1" applyBorder="1" applyAlignment="1" applyProtection="1">
      <alignment vertical="center"/>
    </xf>
    <xf numFmtId="184" fontId="91" fillId="7" borderId="32" xfId="0" applyNumberFormat="1" applyFont="1" applyFill="1" applyBorder="1" applyAlignment="1" applyProtection="1">
      <alignment horizontal="center" vertical="center"/>
    </xf>
    <xf numFmtId="0" fontId="91" fillId="7" borderId="10" xfId="0" applyFont="1" applyFill="1" applyBorder="1" applyAlignment="1" applyProtection="1">
      <alignment horizontal="center" vertical="center"/>
    </xf>
    <xf numFmtId="0" fontId="91" fillId="7" borderId="48" xfId="0" applyFont="1" applyFill="1" applyBorder="1" applyAlignment="1" applyProtection="1">
      <alignment vertical="center"/>
    </xf>
    <xf numFmtId="184" fontId="58" fillId="2" borderId="1" xfId="0" applyNumberFormat="1" applyFont="1" applyFill="1" applyBorder="1" applyAlignment="1" applyProtection="1">
      <alignment horizontal="center" vertical="center" wrapText="1"/>
      <protection locked="0"/>
    </xf>
    <xf numFmtId="49" fontId="58" fillId="7" borderId="10" xfId="0" applyNumberFormat="1" applyFont="1" applyFill="1" applyBorder="1" applyAlignment="1" applyProtection="1">
      <alignment horizontal="center" vertical="center"/>
    </xf>
    <xf numFmtId="184" fontId="58" fillId="0" borderId="1" xfId="0" applyNumberFormat="1" applyFont="1" applyFill="1" applyBorder="1" applyAlignment="1" applyProtection="1">
      <alignment horizontal="center" vertical="center"/>
      <protection locked="0"/>
    </xf>
    <xf numFmtId="178" fontId="30" fillId="7" borderId="1" xfId="0" applyNumberFormat="1" applyFont="1" applyFill="1" applyBorder="1" applyAlignment="1" applyProtection="1">
      <alignment horizontal="center" vertical="center"/>
    </xf>
    <xf numFmtId="49" fontId="58" fillId="7" borderId="51" xfId="0" applyNumberFormat="1" applyFont="1" applyFill="1" applyBorder="1" applyAlignment="1" applyProtection="1">
      <alignment horizontal="center" vertical="center"/>
    </xf>
    <xf numFmtId="0" fontId="58" fillId="7" borderId="48" xfId="0" applyFont="1" applyFill="1" applyBorder="1" applyAlignment="1" applyProtection="1">
      <alignment vertical="center"/>
    </xf>
    <xf numFmtId="184" fontId="30" fillId="0" borderId="15" xfId="0" applyNumberFormat="1" applyFont="1" applyFill="1" applyBorder="1" applyAlignment="1" applyProtection="1">
      <alignment horizontal="center" vertical="center"/>
      <protection locked="0"/>
    </xf>
    <xf numFmtId="184" fontId="58" fillId="0" borderId="15" xfId="0" applyNumberFormat="1" applyFont="1" applyFill="1" applyBorder="1" applyAlignment="1" applyProtection="1">
      <alignment horizontal="center" vertical="center"/>
      <protection locked="0"/>
    </xf>
    <xf numFmtId="0" fontId="91" fillId="7" borderId="2" xfId="0" applyFont="1" applyFill="1" applyBorder="1" applyAlignment="1" applyProtection="1">
      <alignment vertical="center"/>
    </xf>
    <xf numFmtId="184" fontId="91" fillId="7" borderId="1" xfId="0" applyNumberFormat="1" applyFont="1" applyFill="1" applyBorder="1" applyAlignment="1" applyProtection="1">
      <alignment horizontal="center" vertical="center"/>
    </xf>
    <xf numFmtId="0" fontId="91" fillId="7" borderId="1" xfId="0" applyFont="1" applyFill="1" applyBorder="1" applyAlignment="1" applyProtection="1">
      <alignment horizontal="center" vertical="center"/>
    </xf>
    <xf numFmtId="0" fontId="91" fillId="7" borderId="3" xfId="0" applyFont="1" applyFill="1" applyBorder="1" applyAlignment="1" applyProtection="1">
      <alignment vertical="center"/>
    </xf>
    <xf numFmtId="0" fontId="58" fillId="7" borderId="10" xfId="14" applyFont="1" applyFill="1" applyBorder="1" applyAlignment="1" applyProtection="1">
      <alignment horizontal="right" vertical="center"/>
    </xf>
    <xf numFmtId="0" fontId="58" fillId="7" borderId="2" xfId="14" applyFont="1" applyFill="1" applyBorder="1" applyAlignment="1" applyProtection="1">
      <alignment vertical="center"/>
    </xf>
    <xf numFmtId="187" fontId="58" fillId="7" borderId="1" xfId="0" applyNumberFormat="1" applyFont="1" applyFill="1" applyBorder="1" applyAlignment="1" applyProtection="1">
      <alignment horizontal="center" vertical="center"/>
    </xf>
    <xf numFmtId="189" fontId="58" fillId="7" borderId="1" xfId="14" applyNumberFormat="1" applyFont="1" applyFill="1" applyBorder="1" applyAlignment="1" applyProtection="1">
      <alignment horizontal="center" vertical="center"/>
    </xf>
    <xf numFmtId="186" fontId="58" fillId="7" borderId="1" xfId="14" applyNumberFormat="1" applyFont="1" applyFill="1" applyBorder="1" applyAlignment="1" applyProtection="1">
      <alignment horizontal="center" vertical="center"/>
    </xf>
    <xf numFmtId="9" fontId="58" fillId="7" borderId="1" xfId="14" applyNumberFormat="1" applyFont="1" applyFill="1" applyBorder="1" applyAlignment="1" applyProtection="1">
      <alignment horizontal="center" vertical="center"/>
    </xf>
    <xf numFmtId="0" fontId="58" fillId="7" borderId="1" xfId="14" applyNumberFormat="1" applyFont="1" applyFill="1" applyBorder="1" applyAlignment="1" applyProtection="1">
      <alignment horizontal="center" vertical="center"/>
    </xf>
    <xf numFmtId="187" fontId="58" fillId="7" borderId="1" xfId="14" applyNumberFormat="1" applyFont="1" applyFill="1" applyBorder="1" applyAlignment="1" applyProtection="1">
      <alignment horizontal="center" vertical="center"/>
    </xf>
    <xf numFmtId="187" fontId="58" fillId="7" borderId="1" xfId="14" applyNumberFormat="1" applyFont="1" applyFill="1" applyBorder="1" applyAlignment="1" applyProtection="1">
      <alignment vertical="center"/>
    </xf>
    <xf numFmtId="10" fontId="58" fillId="7" borderId="1" xfId="14" applyNumberFormat="1" applyFont="1" applyFill="1" applyBorder="1" applyAlignment="1" applyProtection="1">
      <alignment horizontal="center" vertical="center"/>
    </xf>
    <xf numFmtId="0" fontId="58" fillId="7" borderId="95" xfId="0" applyFont="1" applyFill="1" applyBorder="1" applyAlignment="1" applyProtection="1">
      <alignment vertical="center"/>
    </xf>
    <xf numFmtId="0" fontId="78" fillId="2" borderId="2" xfId="14" applyFont="1" applyFill="1" applyBorder="1" applyAlignment="1" applyProtection="1">
      <alignment horizontal="right" vertical="center"/>
      <protection locked="0"/>
    </xf>
    <xf numFmtId="0" fontId="58" fillId="0" borderId="3" xfId="0" applyFont="1" applyFill="1" applyBorder="1" applyAlignment="1" applyProtection="1">
      <alignment vertical="center"/>
      <protection locked="0"/>
    </xf>
    <xf numFmtId="0" fontId="58" fillId="7" borderId="96" xfId="0" applyFont="1" applyFill="1" applyBorder="1" applyAlignment="1" applyProtection="1">
      <alignment horizontal="left" vertical="center"/>
    </xf>
    <xf numFmtId="0" fontId="58" fillId="7" borderId="3" xfId="0" applyFont="1" applyFill="1" applyBorder="1" applyAlignment="1" applyProtection="1">
      <alignment horizontal="left" vertical="center"/>
    </xf>
    <xf numFmtId="0" fontId="91" fillId="7" borderId="2" xfId="14" applyFont="1" applyFill="1" applyBorder="1" applyAlignment="1" applyProtection="1">
      <alignment vertical="center"/>
    </xf>
    <xf numFmtId="187" fontId="91" fillId="7" borderId="1" xfId="14" applyNumberFormat="1" applyFont="1" applyFill="1" applyBorder="1" applyAlignment="1" applyProtection="1">
      <alignment horizontal="center" vertical="center"/>
    </xf>
    <xf numFmtId="0" fontId="91" fillId="7" borderId="1" xfId="14" applyFont="1" applyFill="1" applyBorder="1" applyAlignment="1" applyProtection="1">
      <alignment vertical="center"/>
    </xf>
    <xf numFmtId="187" fontId="91" fillId="7" borderId="1" xfId="14" applyNumberFormat="1" applyFont="1" applyFill="1" applyBorder="1" applyAlignment="1" applyProtection="1">
      <alignment vertical="center"/>
    </xf>
    <xf numFmtId="10" fontId="91" fillId="7" borderId="1" xfId="14" applyNumberFormat="1" applyFont="1" applyFill="1" applyBorder="1" applyAlignment="1" applyProtection="1">
      <alignment horizontal="center" vertical="center"/>
    </xf>
    <xf numFmtId="0" fontId="91" fillId="7" borderId="1" xfId="0" applyFont="1" applyFill="1" applyBorder="1" applyAlignment="1" applyProtection="1">
      <alignment horizontal="right" vertical="center"/>
    </xf>
    <xf numFmtId="0" fontId="81" fillId="7" borderId="3" xfId="0" applyFont="1" applyFill="1" applyBorder="1" applyAlignment="1" applyProtection="1">
      <alignment vertical="center"/>
    </xf>
    <xf numFmtId="187" fontId="91" fillId="7" borderId="0" xfId="0" applyNumberFormat="1" applyFont="1" applyFill="1" applyBorder="1" applyAlignment="1" applyProtection="1">
      <alignment horizontal="center" vertical="center"/>
    </xf>
    <xf numFmtId="187" fontId="91" fillId="7" borderId="3" xfId="14" applyNumberFormat="1" applyFont="1" applyFill="1" applyBorder="1" applyAlignment="1" applyProtection="1">
      <alignment vertical="center"/>
    </xf>
    <xf numFmtId="10" fontId="91" fillId="7" borderId="15" xfId="0" applyNumberFormat="1" applyFont="1" applyFill="1" applyBorder="1" applyAlignment="1" applyProtection="1">
      <alignment horizontal="center" vertical="center"/>
    </xf>
    <xf numFmtId="0" fontId="58" fillId="7" borderId="1" xfId="14" applyFont="1" applyFill="1" applyBorder="1" applyAlignment="1" applyProtection="1">
      <alignment horizontal="left" vertical="center"/>
    </xf>
    <xf numFmtId="185" fontId="58" fillId="7" borderId="4" xfId="0" applyNumberFormat="1" applyFont="1" applyFill="1" applyBorder="1" applyAlignment="1" applyProtection="1">
      <alignment horizontal="center" vertical="center"/>
    </xf>
    <xf numFmtId="185" fontId="58" fillId="7" borderId="1" xfId="0" applyNumberFormat="1" applyFont="1" applyFill="1" applyBorder="1" applyAlignment="1" applyProtection="1">
      <alignment horizontal="center" vertical="center"/>
    </xf>
    <xf numFmtId="187" fontId="58" fillId="7" borderId="3" xfId="14" applyNumberFormat="1" applyFont="1" applyFill="1" applyBorder="1" applyAlignment="1" applyProtection="1">
      <alignment vertical="center"/>
    </xf>
    <xf numFmtId="10" fontId="58" fillId="7" borderId="15" xfId="0" applyNumberFormat="1" applyFont="1" applyFill="1" applyBorder="1" applyAlignment="1" applyProtection="1">
      <alignment horizontal="center" vertical="center"/>
    </xf>
    <xf numFmtId="0" fontId="58" fillId="7" borderId="2" xfId="0" applyFont="1" applyFill="1" applyBorder="1" applyAlignment="1" applyProtection="1"/>
    <xf numFmtId="187" fontId="58" fillId="7" borderId="0" xfId="0" applyNumberFormat="1" applyFont="1" applyFill="1" applyBorder="1" applyAlignment="1" applyProtection="1">
      <alignment horizontal="center" vertical="center"/>
    </xf>
    <xf numFmtId="0" fontId="91" fillId="7" borderId="1" xfId="14" applyFont="1" applyFill="1" applyBorder="1" applyAlignment="1" applyProtection="1">
      <alignment vertical="center" wrapText="1"/>
    </xf>
    <xf numFmtId="187" fontId="91" fillId="7" borderId="4" xfId="0" applyNumberFormat="1" applyFont="1" applyFill="1" applyBorder="1" applyAlignment="1" applyProtection="1">
      <alignment horizontal="center" vertical="center" wrapText="1"/>
    </xf>
    <xf numFmtId="0" fontId="81" fillId="7" borderId="2" xfId="0" applyFont="1" applyFill="1" applyBorder="1" applyAlignment="1" applyProtection="1">
      <alignment vertical="center"/>
    </xf>
    <xf numFmtId="0" fontId="58" fillId="7" borderId="2" xfId="14" applyFont="1" applyFill="1" applyBorder="1" applyAlignment="1" applyProtection="1">
      <alignment horizontal="left" vertical="center"/>
    </xf>
    <xf numFmtId="10" fontId="58" fillId="7" borderId="1" xfId="0" applyNumberFormat="1" applyFont="1" applyFill="1" applyBorder="1" applyAlignment="1" applyProtection="1">
      <alignment horizontal="center" vertical="center" wrapText="1"/>
    </xf>
    <xf numFmtId="187" fontId="58" fillId="7" borderId="1" xfId="0" applyNumberFormat="1" applyFont="1" applyFill="1" applyBorder="1" applyAlignment="1" applyProtection="1">
      <alignment horizontal="center" vertical="center" wrapText="1"/>
    </xf>
    <xf numFmtId="49" fontId="58" fillId="7" borderId="12" xfId="0" applyNumberFormat="1" applyFont="1" applyFill="1" applyBorder="1" applyAlignment="1" applyProtection="1">
      <alignment horizontal="center" vertical="center"/>
    </xf>
    <xf numFmtId="0" fontId="91" fillId="7" borderId="33" xfId="14" applyFont="1" applyFill="1" applyBorder="1" applyAlignment="1" applyProtection="1">
      <alignment vertical="center"/>
    </xf>
    <xf numFmtId="187" fontId="91" fillId="7" borderId="13" xfId="0" applyNumberFormat="1" applyFont="1" applyFill="1" applyBorder="1" applyAlignment="1" applyProtection="1">
      <alignment horizontal="center" vertical="center"/>
    </xf>
    <xf numFmtId="0" fontId="91" fillId="7" borderId="13" xfId="0" applyFont="1" applyFill="1" applyBorder="1" applyAlignment="1" applyProtection="1">
      <alignment vertical="center"/>
    </xf>
    <xf numFmtId="187" fontId="91" fillId="7" borderId="13" xfId="0" applyNumberFormat="1" applyFont="1" applyFill="1" applyBorder="1" applyAlignment="1" applyProtection="1">
      <alignment vertical="center"/>
    </xf>
    <xf numFmtId="10" fontId="91" fillId="7" borderId="13" xfId="0" applyNumberFormat="1" applyFont="1" applyFill="1" applyBorder="1" applyAlignment="1" applyProtection="1">
      <alignment horizontal="center" vertical="center"/>
    </xf>
    <xf numFmtId="187" fontId="91" fillId="7" borderId="33" xfId="0" applyNumberFormat="1" applyFont="1" applyFill="1" applyBorder="1" applyAlignment="1" applyProtection="1">
      <alignment vertical="center"/>
    </xf>
    <xf numFmtId="187" fontId="91" fillId="7" borderId="45" xfId="0" applyNumberFormat="1" applyFont="1" applyFill="1" applyBorder="1" applyAlignment="1" applyProtection="1">
      <alignment vertical="center"/>
    </xf>
    <xf numFmtId="0" fontId="91" fillId="7" borderId="61" xfId="0" applyFont="1" applyFill="1" applyBorder="1" applyAlignment="1" applyProtection="1">
      <alignment vertical="center"/>
    </xf>
    <xf numFmtId="0" fontId="91" fillId="7" borderId="21" xfId="0" applyFont="1" applyFill="1" applyBorder="1" applyAlignment="1" applyProtection="1">
      <alignment vertical="center"/>
    </xf>
    <xf numFmtId="184" fontId="62" fillId="7" borderId="20" xfId="0" applyNumberFormat="1" applyFont="1" applyFill="1" applyBorder="1" applyAlignment="1" applyProtection="1">
      <alignment horizontal="center" vertical="center"/>
    </xf>
    <xf numFmtId="0" fontId="62" fillId="7" borderId="47" xfId="0" applyFont="1" applyFill="1" applyBorder="1" applyAlignment="1" applyProtection="1">
      <alignment vertical="center"/>
    </xf>
    <xf numFmtId="0" fontId="62" fillId="7" borderId="0" xfId="14" applyFont="1" applyFill="1" applyBorder="1" applyAlignment="1" applyProtection="1">
      <alignment horizontal="center" vertical="center"/>
    </xf>
    <xf numFmtId="0" fontId="62" fillId="7" borderId="39" xfId="0" applyFont="1" applyFill="1" applyBorder="1" applyAlignment="1" applyProtection="1">
      <alignment vertical="center"/>
    </xf>
    <xf numFmtId="0" fontId="91" fillId="4" borderId="0" xfId="0" applyFont="1" applyFill="1" applyAlignment="1" applyProtection="1">
      <alignment vertical="center"/>
      <protection locked="0"/>
    </xf>
    <xf numFmtId="184" fontId="58" fillId="0" borderId="11" xfId="0" applyNumberFormat="1" applyFont="1" applyFill="1" applyBorder="1" applyAlignment="1" applyProtection="1">
      <alignment horizontal="center" vertical="center"/>
      <protection locked="0"/>
    </xf>
    <xf numFmtId="0" fontId="58" fillId="4" borderId="0" xfId="0" applyFont="1" applyFill="1" applyAlignment="1" applyProtection="1">
      <alignment vertical="center"/>
      <protection locked="0"/>
    </xf>
    <xf numFmtId="178" fontId="30" fillId="7" borderId="11" xfId="0" applyNumberFormat="1" applyFont="1" applyFill="1" applyBorder="1" applyAlignment="1" applyProtection="1">
      <alignment horizontal="center" vertical="center"/>
    </xf>
    <xf numFmtId="184" fontId="58" fillId="0" borderId="40" xfId="0" applyNumberFormat="1" applyFont="1" applyFill="1" applyBorder="1" applyAlignment="1" applyProtection="1">
      <alignment horizontal="center" vertical="center"/>
      <protection locked="0"/>
    </xf>
    <xf numFmtId="0" fontId="91" fillId="7" borderId="42" xfId="0" applyFont="1" applyFill="1" applyBorder="1" applyAlignment="1" applyProtection="1">
      <alignment vertical="center"/>
    </xf>
    <xf numFmtId="0" fontId="60" fillId="7" borderId="3" xfId="0" applyFont="1" applyFill="1" applyBorder="1" applyAlignment="1" applyProtection="1">
      <alignment vertical="center"/>
    </xf>
    <xf numFmtId="0" fontId="58" fillId="7" borderId="42" xfId="0" applyFont="1" applyFill="1" applyBorder="1" applyAlignment="1" applyProtection="1">
      <alignment horizontal="left" vertical="center"/>
    </xf>
    <xf numFmtId="0" fontId="81" fillId="7" borderId="42" xfId="0" applyFont="1" applyFill="1" applyBorder="1" applyAlignment="1" applyProtection="1">
      <alignment vertical="center"/>
    </xf>
    <xf numFmtId="187" fontId="91" fillId="7" borderId="46" xfId="0" applyNumberFormat="1" applyFont="1" applyFill="1" applyBorder="1" applyAlignment="1" applyProtection="1">
      <alignment vertical="center"/>
    </xf>
    <xf numFmtId="0" fontId="91" fillId="7" borderId="22" xfId="0" applyFont="1" applyFill="1" applyBorder="1" applyAlignment="1" applyProtection="1">
      <alignment vertical="center"/>
    </xf>
    <xf numFmtId="49" fontId="88" fillId="10" borderId="130" xfId="0" applyNumberFormat="1" applyFont="1" applyFill="1" applyBorder="1" applyAlignment="1" applyProtection="1">
      <alignment horizontal="right"/>
      <protection locked="0"/>
    </xf>
    <xf numFmtId="0" fontId="109" fillId="7" borderId="31" xfId="14" applyFont="1" applyFill="1" applyBorder="1" applyAlignment="1" applyProtection="1">
      <alignment vertical="center"/>
    </xf>
    <xf numFmtId="49" fontId="51" fillId="7" borderId="0" xfId="14" applyNumberFormat="1" applyFont="1" applyFill="1" applyBorder="1" applyAlignment="1" applyProtection="1">
      <alignment horizontal="right" vertical="center"/>
    </xf>
    <xf numFmtId="0" fontId="50" fillId="7" borderId="0" xfId="0" applyFont="1" applyFill="1" applyAlignment="1" applyProtection="1">
      <alignment horizontal="center" vertical="center"/>
    </xf>
    <xf numFmtId="0" fontId="52" fillId="2" borderId="2" xfId="14" applyFont="1" applyFill="1" applyBorder="1" applyAlignment="1" applyProtection="1">
      <alignment vertical="center"/>
      <protection locked="0"/>
    </xf>
    <xf numFmtId="0" fontId="51" fillId="7" borderId="2" xfId="14" applyFont="1" applyFill="1" applyBorder="1" applyAlignment="1" applyProtection="1">
      <alignment horizontal="right" vertical="center"/>
    </xf>
    <xf numFmtId="0" fontId="51" fillId="7" borderId="4" xfId="14" applyFont="1" applyFill="1" applyBorder="1" applyAlignment="1" applyProtection="1">
      <alignment vertical="center"/>
    </xf>
    <xf numFmtId="0" fontId="51" fillId="2" borderId="1" xfId="14" applyFont="1" applyFill="1" applyBorder="1" applyAlignment="1" applyProtection="1">
      <alignment vertical="center"/>
      <protection locked="0"/>
    </xf>
    <xf numFmtId="0" fontId="52" fillId="2" borderId="11" xfId="14" applyFont="1" applyFill="1" applyBorder="1" applyAlignment="1" applyProtection="1">
      <alignment horizontal="left" vertical="center"/>
      <protection locked="0"/>
    </xf>
    <xf numFmtId="0" fontId="52" fillId="7" borderId="1" xfId="0" applyNumberFormat="1" applyFont="1" applyFill="1" applyBorder="1" applyAlignment="1" applyProtection="1">
      <alignment horizontal="center" vertical="center"/>
    </xf>
    <xf numFmtId="0" fontId="20" fillId="7"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187" fontId="52" fillId="2" borderId="1" xfId="14" applyNumberFormat="1" applyFont="1" applyFill="1" applyBorder="1" applyAlignment="1" applyProtection="1">
      <alignment horizontal="center"/>
    </xf>
    <xf numFmtId="10" fontId="52" fillId="2" borderId="2" xfId="14" applyNumberFormat="1" applyFont="1" applyFill="1" applyBorder="1" applyAlignment="1" applyProtection="1">
      <alignment horizontal="center"/>
    </xf>
    <xf numFmtId="0" fontId="52" fillId="7" borderId="1" xfId="0" applyNumberFormat="1" applyFont="1" applyFill="1" applyBorder="1" applyAlignment="1" applyProtection="1">
      <alignment horizontal="right" vertical="center"/>
    </xf>
    <xf numFmtId="10" fontId="52" fillId="2" borderId="2" xfId="14" applyNumberFormat="1" applyFont="1" applyFill="1" applyBorder="1" applyAlignment="1" applyProtection="1">
      <alignment horizontal="center" vertical="center"/>
    </xf>
    <xf numFmtId="9" fontId="52" fillId="2" borderId="2" xfId="14" applyNumberFormat="1" applyFont="1" applyFill="1" applyBorder="1" applyAlignment="1" applyProtection="1">
      <alignment horizontal="center" vertical="center"/>
    </xf>
    <xf numFmtId="10" fontId="52" fillId="2" borderId="1" xfId="0" applyNumberFormat="1" applyFont="1" applyFill="1" applyBorder="1" applyAlignment="1" applyProtection="1">
      <alignment horizontal="center" vertical="center"/>
    </xf>
    <xf numFmtId="10" fontId="52" fillId="7" borderId="1" xfId="14"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88" fillId="7" borderId="135" xfId="0" applyFont="1" applyFill="1" applyBorder="1" applyAlignment="1" applyProtection="1">
      <alignment vertical="center"/>
      <protection locked="0"/>
    </xf>
    <xf numFmtId="0" fontId="110" fillId="7" borderId="0" xfId="0" applyFont="1" applyFill="1" applyBorder="1" applyAlignment="1" applyProtection="1">
      <alignment vertical="center"/>
      <protection locked="0"/>
    </xf>
    <xf numFmtId="0" fontId="99" fillId="0" borderId="37" xfId="0" applyNumberFormat="1" applyFont="1" applyFill="1" applyBorder="1" applyAlignment="1" applyProtection="1">
      <alignment horizontal="center" vertical="center" wrapText="1"/>
      <protection locked="0"/>
    </xf>
    <xf numFmtId="49" fontId="99" fillId="0" borderId="58" xfId="0" applyNumberFormat="1" applyFont="1" applyFill="1" applyBorder="1" applyAlignment="1" applyProtection="1">
      <alignment horizontal="center" vertical="center" wrapText="1"/>
      <protection locked="0"/>
    </xf>
    <xf numFmtId="49" fontId="99" fillId="0" borderId="108" xfId="0" applyNumberFormat="1" applyFont="1" applyFill="1" applyBorder="1" applyAlignment="1" applyProtection="1">
      <alignment horizontal="center" vertical="center" wrapText="1"/>
      <protection locked="0"/>
    </xf>
    <xf numFmtId="0" fontId="101" fillId="10" borderId="10" xfId="0" applyNumberFormat="1" applyFont="1" applyFill="1" applyBorder="1" applyAlignment="1" applyProtection="1">
      <alignment horizontal="center" vertical="center" wrapText="1"/>
      <protection locked="0"/>
    </xf>
    <xf numFmtId="0" fontId="101" fillId="10" borderId="108" xfId="0" applyNumberFormat="1" applyFont="1" applyFill="1" applyBorder="1" applyAlignment="1" applyProtection="1">
      <alignment horizontal="center" vertical="center" wrapText="1"/>
      <protection locked="0"/>
    </xf>
    <xf numFmtId="9" fontId="75" fillId="10" borderId="10" xfId="1" applyFont="1" applyFill="1" applyBorder="1" applyAlignment="1" applyProtection="1">
      <alignment horizontal="center" vertical="center" wrapText="1"/>
      <protection locked="0"/>
    </xf>
    <xf numFmtId="0" fontId="99" fillId="0" borderId="41" xfId="0" applyNumberFormat="1" applyFont="1" applyFill="1" applyBorder="1" applyAlignment="1" applyProtection="1">
      <alignment horizontal="center" vertical="center" wrapText="1"/>
      <protection locked="0"/>
    </xf>
    <xf numFmtId="9" fontId="75" fillId="0" borderId="41" xfId="0" applyNumberFormat="1" applyFont="1" applyFill="1" applyBorder="1" applyAlignment="1" applyProtection="1">
      <alignment horizontal="center" vertical="center" wrapText="1"/>
      <protection locked="0"/>
    </xf>
    <xf numFmtId="0" fontId="76" fillId="7" borderId="21" xfId="0" applyNumberFormat="1" applyFont="1" applyFill="1" applyBorder="1" applyAlignment="1" applyProtection="1">
      <alignment vertical="center" wrapText="1"/>
      <protection locked="0"/>
    </xf>
    <xf numFmtId="183" fontId="81" fillId="7" borderId="111" xfId="0" applyNumberFormat="1" applyFont="1" applyFill="1" applyBorder="1" applyAlignment="1" applyProtection="1">
      <alignment horizontal="center" vertical="center" wrapText="1"/>
    </xf>
    <xf numFmtId="0" fontId="91" fillId="7" borderId="0" xfId="0" applyNumberFormat="1" applyFont="1" applyFill="1" applyBorder="1" applyAlignment="1" applyProtection="1">
      <alignment vertical="center" wrapText="1"/>
    </xf>
    <xf numFmtId="0" fontId="88" fillId="7" borderId="136" xfId="0" applyFont="1" applyFill="1" applyBorder="1" applyAlignment="1" applyProtection="1">
      <alignment horizontal="center" vertical="center"/>
    </xf>
    <xf numFmtId="195" fontId="51" fillId="7" borderId="0" xfId="0" applyNumberFormat="1" applyFont="1" applyFill="1" applyBorder="1" applyAlignment="1" applyProtection="1">
      <alignment horizontal="center" vertical="center"/>
      <protection locked="0"/>
    </xf>
    <xf numFmtId="186" fontId="51" fillId="14" borderId="0" xfId="0" applyNumberFormat="1" applyFont="1" applyFill="1" applyBorder="1" applyAlignment="1" applyProtection="1">
      <alignment vertical="center"/>
      <protection locked="0"/>
    </xf>
    <xf numFmtId="0" fontId="51" fillId="14" borderId="0" xfId="0" applyFont="1" applyFill="1" applyBorder="1" applyAlignment="1" applyProtection="1">
      <alignment horizontal="center" vertical="center"/>
      <protection locked="0"/>
    </xf>
    <xf numFmtId="0" fontId="51" fillId="7" borderId="30" xfId="0" applyFont="1" applyFill="1" applyBorder="1" applyAlignment="1" applyProtection="1">
      <alignment horizontal="center" vertical="center"/>
    </xf>
    <xf numFmtId="195" fontId="81" fillId="7" borderId="39" xfId="0" applyNumberFormat="1" applyFont="1" applyFill="1" applyBorder="1" applyAlignment="1" applyProtection="1">
      <alignment horizontal="center" vertical="center" wrapText="1"/>
    </xf>
    <xf numFmtId="195" fontId="81" fillId="7" borderId="42" xfId="0" applyNumberFormat="1" applyFont="1" applyFill="1" applyBorder="1" applyAlignment="1" applyProtection="1">
      <alignment horizontal="center" vertical="center" wrapText="1"/>
    </xf>
    <xf numFmtId="0" fontId="81" fillId="7" borderId="42" xfId="0" applyNumberFormat="1" applyFont="1" applyFill="1" applyBorder="1" applyAlignment="1" applyProtection="1">
      <alignment horizontal="center" vertical="center" wrapText="1"/>
    </xf>
    <xf numFmtId="0" fontId="50" fillId="0" borderId="42" xfId="0" applyNumberFormat="1" applyFont="1" applyFill="1" applyBorder="1" applyAlignment="1" applyProtection="1">
      <alignment horizontal="center" vertical="center" wrapText="1"/>
      <protection locked="0"/>
    </xf>
    <xf numFmtId="0" fontId="50" fillId="7" borderId="42" xfId="0" applyNumberFormat="1" applyFont="1" applyFill="1" applyBorder="1" applyAlignment="1" applyProtection="1">
      <alignment horizontal="center" vertical="center" wrapText="1"/>
    </xf>
    <xf numFmtId="0" fontId="50" fillId="0" borderId="140" xfId="0" applyNumberFormat="1" applyFont="1" applyFill="1" applyBorder="1" applyAlignment="1" applyProtection="1">
      <alignment horizontal="center" vertical="center" wrapText="1"/>
      <protection locked="0"/>
    </xf>
    <xf numFmtId="0" fontId="50" fillId="7" borderId="141" xfId="0" applyNumberFormat="1" applyFont="1" applyFill="1" applyBorder="1" applyAlignment="1" applyProtection="1">
      <alignment horizontal="center" vertical="center" wrapText="1"/>
    </xf>
    <xf numFmtId="0" fontId="50" fillId="7" borderId="131" xfId="0" applyNumberFormat="1" applyFont="1" applyFill="1" applyBorder="1" applyAlignment="1" applyProtection="1">
      <alignment horizontal="center" vertical="center" wrapText="1"/>
    </xf>
    <xf numFmtId="195" fontId="75" fillId="7" borderId="42" xfId="0" applyNumberFormat="1" applyFont="1" applyFill="1" applyBorder="1" applyAlignment="1" applyProtection="1">
      <alignment horizontal="center" vertical="center"/>
    </xf>
    <xf numFmtId="178" fontId="75" fillId="16" borderId="42" xfId="0" applyNumberFormat="1" applyFont="1" applyFill="1" applyBorder="1" applyAlignment="1" applyProtection="1">
      <alignment horizontal="left" vertical="center" wrapText="1"/>
    </xf>
    <xf numFmtId="195" fontId="75" fillId="7" borderId="14" xfId="0" applyNumberFormat="1" applyFont="1" applyFill="1" applyBorder="1" applyAlignment="1" applyProtection="1">
      <alignment horizontal="center" vertical="center" wrapText="1"/>
    </xf>
    <xf numFmtId="0" fontId="86" fillId="0" borderId="30" xfId="0" applyFont="1" applyFill="1" applyBorder="1" applyAlignment="1" applyProtection="1">
      <alignment horizontal="center" vertical="center"/>
      <protection locked="0"/>
    </xf>
    <xf numFmtId="0" fontId="75" fillId="0" borderId="30" xfId="0" applyFont="1" applyBorder="1" applyAlignment="1" applyProtection="1">
      <protection locked="0"/>
    </xf>
    <xf numFmtId="183" fontId="81" fillId="7" borderId="8" xfId="0" applyNumberFormat="1" applyFont="1" applyFill="1" applyBorder="1" applyAlignment="1" applyProtection="1">
      <alignment horizontal="center" vertical="center" wrapText="1"/>
      <protection locked="0"/>
    </xf>
    <xf numFmtId="9" fontId="81" fillId="0" borderId="30" xfId="0" applyNumberFormat="1" applyFont="1" applyFill="1" applyBorder="1" applyAlignment="1" applyProtection="1">
      <alignment horizontal="center" vertical="center" wrapText="1"/>
      <protection locked="0"/>
    </xf>
    <xf numFmtId="0" fontId="68" fillId="0" borderId="30" xfId="0" applyFont="1" applyFill="1" applyBorder="1" applyAlignment="1" applyProtection="1">
      <alignment vertical="center"/>
      <protection locked="0"/>
    </xf>
    <xf numFmtId="0" fontId="81" fillId="0" borderId="3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xf>
    <xf numFmtId="0" fontId="50" fillId="7" borderId="0" xfId="0" applyFont="1" applyFill="1" applyBorder="1" applyAlignment="1" applyProtection="1">
      <alignment horizontal="center" vertical="center"/>
    </xf>
    <xf numFmtId="0" fontId="85" fillId="0" borderId="30" xfId="0" applyFont="1" applyFill="1" applyBorder="1" applyAlignment="1" applyProtection="1">
      <alignment horizontal="center" vertical="center" wrapText="1"/>
      <protection locked="0"/>
    </xf>
    <xf numFmtId="0" fontId="85" fillId="0" borderId="30" xfId="0" applyFont="1" applyFill="1" applyBorder="1" applyAlignment="1" applyProtection="1">
      <alignment horizontal="center" vertical="center"/>
      <protection locked="0"/>
    </xf>
    <xf numFmtId="0" fontId="85" fillId="0" borderId="30" xfId="0" applyFont="1" applyFill="1" applyBorder="1" applyAlignment="1" applyProtection="1">
      <alignment vertical="center" wrapText="1"/>
      <protection locked="0"/>
    </xf>
    <xf numFmtId="0" fontId="81" fillId="0" borderId="30" xfId="0" applyFont="1" applyFill="1" applyBorder="1" applyAlignment="1" applyProtection="1">
      <alignment vertical="center" wrapText="1"/>
      <protection locked="0"/>
    </xf>
    <xf numFmtId="0" fontId="85" fillId="7" borderId="1" xfId="0" applyNumberFormat="1" applyFont="1" applyFill="1" applyBorder="1" applyAlignment="1" applyProtection="1">
      <alignment horizontal="center" vertical="center" wrapText="1"/>
    </xf>
    <xf numFmtId="0" fontId="85" fillId="7" borderId="1" xfId="0" applyNumberFormat="1" applyFont="1" applyFill="1" applyBorder="1" applyAlignment="1" applyProtection="1">
      <alignment horizontal="left" vertical="center" wrapText="1"/>
    </xf>
    <xf numFmtId="0" fontId="85" fillId="7" borderId="11"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68" fillId="7" borderId="49" xfId="0" applyFont="1" applyFill="1" applyBorder="1" applyAlignment="1" applyProtection="1">
      <alignment horizontal="center" vertical="center"/>
    </xf>
    <xf numFmtId="0" fontId="50" fillId="7" borderId="31" xfId="0" applyFont="1" applyFill="1" applyBorder="1" applyAlignment="1" applyProtection="1">
      <alignment horizontal="center" vertical="center"/>
    </xf>
    <xf numFmtId="0" fontId="75" fillId="7" borderId="31" xfId="0" applyFont="1" applyFill="1" applyBorder="1" applyAlignment="1" applyProtection="1">
      <alignment horizontal="center" vertical="center"/>
    </xf>
    <xf numFmtId="0" fontId="75" fillId="7" borderId="29" xfId="0" applyFont="1" applyFill="1" applyBorder="1" applyAlignment="1" applyProtection="1">
      <alignment horizontal="center" vertical="center"/>
    </xf>
    <xf numFmtId="0" fontId="50" fillId="7" borderId="120" xfId="0" applyFont="1" applyFill="1" applyBorder="1" applyProtection="1">
      <alignment vertical="center"/>
    </xf>
    <xf numFmtId="0" fontId="68" fillId="7" borderId="1" xfId="0" applyFont="1" applyFill="1" applyBorder="1" applyAlignment="1" applyProtection="1">
      <alignment horizontal="center" vertical="center"/>
    </xf>
    <xf numFmtId="0" fontId="68" fillId="7" borderId="2" xfId="0" applyFont="1" applyFill="1" applyBorder="1" applyAlignment="1" applyProtection="1">
      <alignment horizontal="center" vertical="center"/>
    </xf>
    <xf numFmtId="0" fontId="68" fillId="7" borderId="142" xfId="0" applyFont="1" applyFill="1" applyBorder="1" applyAlignment="1" applyProtection="1">
      <alignment horizontal="center" vertical="center"/>
    </xf>
    <xf numFmtId="0" fontId="68" fillId="7" borderId="11" xfId="0" applyFont="1" applyFill="1" applyBorder="1" applyAlignment="1" applyProtection="1">
      <alignment horizontal="center" vertical="center"/>
    </xf>
    <xf numFmtId="0" fontId="50" fillId="7" borderId="58"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43" xfId="0" applyFont="1" applyFill="1" applyBorder="1" applyAlignment="1" applyProtection="1">
      <alignment horizontal="center" vertical="center"/>
      <protection locked="0"/>
    </xf>
    <xf numFmtId="0" fontId="50" fillId="0" borderId="28" xfId="0" applyFont="1" applyBorder="1" applyAlignment="1" applyProtection="1">
      <alignment horizontal="center" vertical="center"/>
      <protection locked="0"/>
    </xf>
    <xf numFmtId="0" fontId="50" fillId="7" borderId="10"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0" borderId="11"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68" fillId="0" borderId="142" xfId="0" applyFont="1" applyFill="1" applyBorder="1" applyAlignment="1" applyProtection="1">
      <alignment horizontal="center" vertical="center"/>
      <protection locked="0"/>
    </xf>
    <xf numFmtId="0" fontId="68" fillId="7" borderId="12" xfId="0" applyFont="1" applyFill="1" applyBorder="1" applyAlignment="1" applyProtection="1">
      <alignment horizontal="center" vertical="center"/>
    </xf>
    <xf numFmtId="0" fontId="50" fillId="7" borderId="13" xfId="0" applyFont="1" applyFill="1" applyBorder="1" applyAlignment="1" applyProtection="1">
      <alignment horizontal="center" vertical="center"/>
    </xf>
    <xf numFmtId="0" fontId="50" fillId="7" borderId="21" xfId="0" applyFont="1" applyFill="1" applyBorder="1" applyAlignment="1" applyProtection="1">
      <alignment horizontal="center" vertical="center"/>
    </xf>
    <xf numFmtId="0" fontId="50" fillId="7" borderId="144" xfId="0" applyFont="1" applyFill="1" applyBorder="1" applyAlignment="1" applyProtection="1">
      <alignment horizontal="left" vertical="center"/>
    </xf>
    <xf numFmtId="0" fontId="68" fillId="7" borderId="31" xfId="0" applyFont="1" applyFill="1" applyBorder="1" applyAlignment="1" applyProtection="1">
      <alignment horizontal="center" vertical="center"/>
    </xf>
    <xf numFmtId="0" fontId="50" fillId="7" borderId="29" xfId="0" applyFont="1" applyFill="1" applyBorder="1" applyAlignment="1" applyProtection="1">
      <alignment horizontal="center" vertical="center"/>
    </xf>
    <xf numFmtId="0" fontId="50" fillId="7" borderId="96" xfId="0" applyFont="1" applyFill="1" applyBorder="1" applyAlignment="1" applyProtection="1">
      <alignment horizontal="center" vertical="center"/>
    </xf>
    <xf numFmtId="0" fontId="68" fillId="7" borderId="108" xfId="0" applyFont="1" applyFill="1" applyBorder="1" applyAlignment="1" applyProtection="1">
      <alignment horizontal="center" vertical="center"/>
    </xf>
    <xf numFmtId="185" fontId="50" fillId="7" borderId="28" xfId="0" applyNumberFormat="1" applyFont="1" applyFill="1" applyBorder="1" applyAlignment="1" applyProtection="1">
      <alignment horizontal="center" vertical="center"/>
    </xf>
    <xf numFmtId="0" fontId="68" fillId="7" borderId="4" xfId="0" applyFont="1" applyFill="1" applyBorder="1" applyAlignment="1" applyProtection="1">
      <alignment horizontal="center" vertical="center"/>
    </xf>
    <xf numFmtId="0" fontId="50" fillId="7" borderId="11" xfId="0" applyFont="1" applyFill="1" applyBorder="1" applyAlignment="1" applyProtection="1">
      <alignment horizontal="center" vertical="center"/>
    </xf>
    <xf numFmtId="180" fontId="50" fillId="7" borderId="11" xfId="0" applyNumberFormat="1" applyFont="1" applyFill="1" applyBorder="1" applyAlignment="1" applyProtection="1">
      <alignment horizontal="center" vertical="center"/>
    </xf>
    <xf numFmtId="180" fontId="50" fillId="0" borderId="11" xfId="0" applyNumberFormat="1" applyFont="1" applyBorder="1" applyAlignment="1" applyProtection="1">
      <alignment horizontal="center" vertical="center"/>
      <protection locked="0"/>
    </xf>
    <xf numFmtId="0" fontId="68" fillId="7" borderId="62"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180" fontId="50" fillId="7" borderId="14" xfId="0" applyNumberFormat="1" applyFont="1" applyFill="1" applyBorder="1" applyAlignment="1" applyProtection="1">
      <alignment horizontal="center" vertical="center"/>
    </xf>
    <xf numFmtId="0" fontId="78" fillId="2" borderId="11" xfId="14" applyFont="1" applyFill="1" applyBorder="1" applyAlignment="1" applyProtection="1">
      <alignment horizontal="right" vertical="center"/>
      <protection locked="0"/>
    </xf>
    <xf numFmtId="0" fontId="78" fillId="8" borderId="4" xfId="0" applyFont="1" applyFill="1" applyBorder="1" applyAlignment="1" applyProtection="1">
      <alignment vertical="center"/>
      <protection locked="0"/>
    </xf>
    <xf numFmtId="10" fontId="52" fillId="16" borderId="2" xfId="14" applyNumberFormat="1" applyFont="1" applyFill="1" applyBorder="1" applyAlignment="1" applyProtection="1">
      <alignment horizontal="center"/>
    </xf>
    <xf numFmtId="10" fontId="52" fillId="16" borderId="2" xfId="14" applyNumberFormat="1" applyFont="1" applyFill="1" applyBorder="1" applyAlignment="1" applyProtection="1">
      <alignment horizontal="center" vertical="center"/>
    </xf>
    <xf numFmtId="9" fontId="52" fillId="16" borderId="2" xfId="14" applyNumberFormat="1" applyFont="1" applyFill="1" applyBorder="1" applyAlignment="1" applyProtection="1">
      <alignment horizontal="center" vertical="center"/>
    </xf>
    <xf numFmtId="0" fontId="78" fillId="8" borderId="0" xfId="0" applyFont="1" applyFill="1" applyAlignment="1" applyProtection="1">
      <alignment vertical="center"/>
      <protection locked="0"/>
    </xf>
    <xf numFmtId="0" fontId="53" fillId="0" borderId="145" xfId="0" applyFont="1" applyFill="1" applyBorder="1" applyAlignment="1" applyProtection="1"/>
    <xf numFmtId="0" fontId="58" fillId="0" borderId="0" xfId="0" applyFont="1" applyFill="1" applyProtection="1">
      <alignment vertical="center"/>
    </xf>
    <xf numFmtId="0" fontId="68" fillId="0" borderId="0" xfId="0" applyFont="1" applyFill="1" applyProtection="1">
      <alignment vertical="center"/>
    </xf>
    <xf numFmtId="0" fontId="58" fillId="4" borderId="0" xfId="0" applyFont="1" applyFill="1" applyProtection="1">
      <alignment vertical="center"/>
    </xf>
    <xf numFmtId="0" fontId="58" fillId="0" borderId="0" xfId="0" applyFont="1" applyProtection="1">
      <alignment vertical="center"/>
    </xf>
    <xf numFmtId="0" fontId="111" fillId="7" borderId="0" xfId="0" applyFont="1" applyFill="1" applyProtection="1">
      <alignment vertical="center"/>
    </xf>
    <xf numFmtId="0" fontId="58" fillId="7" borderId="0" xfId="0" applyFont="1" applyFill="1" applyProtection="1">
      <alignment vertical="center"/>
    </xf>
    <xf numFmtId="0" fontId="58" fillId="2" borderId="0" xfId="0" applyFont="1" applyFill="1" applyProtection="1">
      <alignment vertical="center"/>
      <protection locked="0"/>
    </xf>
    <xf numFmtId="0" fontId="96" fillId="7" borderId="15" xfId="0" applyFont="1" applyFill="1" applyBorder="1" applyProtection="1">
      <alignment vertical="center"/>
    </xf>
    <xf numFmtId="0" fontId="96" fillId="2" borderId="15" xfId="0" applyFont="1" applyFill="1" applyBorder="1" applyAlignment="1" applyProtection="1">
      <alignment horizontal="center" vertical="center" wrapText="1"/>
      <protection locked="0"/>
    </xf>
    <xf numFmtId="0" fontId="96" fillId="7" borderId="15" xfId="0" applyNumberFormat="1" applyFont="1" applyFill="1" applyBorder="1" applyProtection="1">
      <alignment vertical="center"/>
    </xf>
    <xf numFmtId="0" fontId="81" fillId="7" borderId="15" xfId="0" applyFont="1" applyFill="1" applyBorder="1" applyAlignment="1" applyProtection="1">
      <alignment vertical="center" wrapText="1"/>
    </xf>
    <xf numFmtId="0" fontId="81" fillId="7" borderId="15" xfId="0" applyFont="1" applyFill="1" applyBorder="1" applyAlignment="1" applyProtection="1">
      <alignment horizontal="center" vertical="center" wrapText="1"/>
    </xf>
    <xf numFmtId="0" fontId="68" fillId="10" borderId="15" xfId="0" applyFont="1" applyFill="1" applyBorder="1" applyAlignment="1" applyProtection="1">
      <alignment horizontal="center" vertical="center"/>
      <protection locked="0"/>
    </xf>
    <xf numFmtId="0" fontId="58" fillId="7" borderId="2" xfId="0" applyFont="1" applyFill="1" applyBorder="1" applyAlignment="1" applyProtection="1">
      <alignment horizontal="center" vertical="center" wrapText="1"/>
    </xf>
    <xf numFmtId="0" fontId="58" fillId="7" borderId="3" xfId="0" applyFont="1" applyFill="1" applyBorder="1" applyAlignment="1" applyProtection="1">
      <alignment horizontal="center" vertical="center" wrapText="1"/>
    </xf>
    <xf numFmtId="0" fontId="81" fillId="7" borderId="1" xfId="0" applyFont="1" applyFill="1" applyBorder="1" applyAlignment="1" applyProtection="1">
      <alignment horizontal="left" vertical="center" wrapText="1"/>
    </xf>
    <xf numFmtId="0" fontId="81" fillId="0" borderId="1" xfId="0" applyFont="1" applyBorder="1" applyAlignment="1" applyProtection="1">
      <alignment horizontal="center" vertical="center"/>
      <protection locked="0"/>
    </xf>
    <xf numFmtId="0" fontId="58" fillId="7" borderId="3" xfId="0" applyFont="1" applyFill="1" applyBorder="1" applyAlignment="1" applyProtection="1">
      <alignment vertical="center" wrapText="1"/>
    </xf>
    <xf numFmtId="0" fontId="91" fillId="7" borderId="2" xfId="0" applyFont="1" applyFill="1" applyBorder="1" applyAlignment="1" applyProtection="1">
      <alignment horizontal="right" vertical="center"/>
    </xf>
    <xf numFmtId="0" fontId="81" fillId="7" borderId="4" xfId="0" applyFont="1" applyFill="1" applyBorder="1" applyProtection="1">
      <alignment vertical="center"/>
    </xf>
    <xf numFmtId="0" fontId="81" fillId="7" borderId="16" xfId="0" applyFont="1" applyFill="1" applyBorder="1" applyAlignment="1" applyProtection="1">
      <alignment horizontal="center" vertical="center"/>
    </xf>
    <xf numFmtId="0" fontId="91" fillId="7" borderId="50" xfId="0" applyFont="1" applyFill="1" applyBorder="1" applyAlignment="1" applyProtection="1">
      <alignment horizontal="right" vertical="center"/>
    </xf>
    <xf numFmtId="0" fontId="81" fillId="7" borderId="0" xfId="0" applyFont="1" applyFill="1" applyProtection="1">
      <alignment vertical="center"/>
    </xf>
    <xf numFmtId="189" fontId="81" fillId="7" borderId="15" xfId="0" applyNumberFormat="1" applyFont="1" applyFill="1" applyBorder="1" applyAlignment="1" applyProtection="1">
      <alignment horizontal="center" vertical="center"/>
    </xf>
    <xf numFmtId="0" fontId="91" fillId="7" borderId="49" xfId="0" applyFont="1" applyFill="1" applyBorder="1" applyAlignment="1" applyProtection="1">
      <alignment vertical="center"/>
    </xf>
    <xf numFmtId="0" fontId="81" fillId="7" borderId="8" xfId="0" applyFont="1" applyFill="1" applyBorder="1" applyAlignment="1" applyProtection="1">
      <alignment vertical="center"/>
    </xf>
    <xf numFmtId="0" fontId="68" fillId="7" borderId="8" xfId="0" applyFont="1" applyFill="1" applyBorder="1" applyAlignment="1" applyProtection="1">
      <alignment horizontal="center" vertical="center"/>
    </xf>
    <xf numFmtId="0" fontId="81" fillId="7" borderId="32" xfId="0" applyFont="1" applyFill="1" applyBorder="1" applyAlignment="1" applyProtection="1">
      <alignment horizontal="right" vertical="center"/>
    </xf>
    <xf numFmtId="0" fontId="58" fillId="7" borderId="39" xfId="0" applyFont="1" applyFill="1" applyBorder="1" applyAlignment="1" applyProtection="1">
      <alignment vertical="center"/>
    </xf>
    <xf numFmtId="0" fontId="91" fillId="7" borderId="30" xfId="0" applyFont="1" applyFill="1" applyBorder="1" applyAlignment="1" applyProtection="1">
      <alignment vertical="center"/>
    </xf>
    <xf numFmtId="0" fontId="81" fillId="7" borderId="1" xfId="0" applyFont="1" applyFill="1" applyBorder="1" applyProtection="1">
      <alignment vertical="center"/>
    </xf>
    <xf numFmtId="0" fontId="68" fillId="2" borderId="1"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81" fillId="2" borderId="2" xfId="0" applyFont="1" applyFill="1" applyBorder="1" applyAlignment="1" applyProtection="1">
      <alignment horizontal="right" vertical="center"/>
    </xf>
    <xf numFmtId="0" fontId="81" fillId="7" borderId="13" xfId="0" applyFont="1" applyFill="1" applyBorder="1" applyProtection="1">
      <alignment vertical="center"/>
    </xf>
    <xf numFmtId="0" fontId="81" fillId="7" borderId="13" xfId="0" applyFont="1" applyFill="1" applyBorder="1" applyAlignment="1" applyProtection="1">
      <alignment horizontal="center" vertical="center"/>
    </xf>
    <xf numFmtId="0" fontId="81" fillId="7" borderId="14" xfId="0" applyFont="1" applyFill="1" applyBorder="1" applyAlignment="1" applyProtection="1">
      <alignment horizontal="center" vertical="center"/>
    </xf>
    <xf numFmtId="0" fontId="81" fillId="7" borderId="33" xfId="0" applyFont="1" applyFill="1" applyBorder="1" applyAlignment="1" applyProtection="1">
      <alignment horizontal="right" vertical="center"/>
    </xf>
    <xf numFmtId="0" fontId="58" fillId="7" borderId="46" xfId="0" applyFont="1" applyFill="1" applyBorder="1" applyAlignment="1" applyProtection="1">
      <alignment vertical="center"/>
    </xf>
    <xf numFmtId="0" fontId="81" fillId="7" borderId="117" xfId="0" applyFont="1" applyFill="1" applyBorder="1" applyAlignment="1" applyProtection="1">
      <alignment vertical="center"/>
    </xf>
    <xf numFmtId="0" fontId="81" fillId="7" borderId="118" xfId="0" applyFont="1" applyFill="1" applyBorder="1" applyProtection="1">
      <alignment vertical="center"/>
    </xf>
    <xf numFmtId="0" fontId="81" fillId="7" borderId="109" xfId="0" applyFont="1" applyFill="1" applyBorder="1" applyProtection="1">
      <alignment vertical="center"/>
    </xf>
    <xf numFmtId="186" fontId="112" fillId="7" borderId="115"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1" fillId="7" borderId="39" xfId="0" applyFont="1" applyFill="1" applyBorder="1" applyAlignment="1" applyProtection="1">
      <alignment horizontal="center" vertical="center"/>
    </xf>
    <xf numFmtId="0" fontId="81" fillId="7" borderId="34" xfId="0" applyFont="1" applyFill="1" applyBorder="1" applyAlignment="1" applyProtection="1">
      <alignment horizontal="right" vertical="center"/>
    </xf>
    <xf numFmtId="0" fontId="81" fillId="7" borderId="42" xfId="0" applyFont="1" applyFill="1" applyBorder="1" applyAlignment="1" applyProtection="1">
      <alignment horizontal="center" vertical="center"/>
    </xf>
    <xf numFmtId="0" fontId="98" fillId="0" borderId="10" xfId="0" applyFont="1" applyBorder="1" applyAlignment="1" applyProtection="1">
      <alignment horizontal="center" vertical="center"/>
      <protection locked="0"/>
    </xf>
    <xf numFmtId="0" fontId="98" fillId="0" borderId="1" xfId="0" applyFont="1" applyFill="1" applyBorder="1" applyAlignment="1" applyProtection="1">
      <alignment horizontal="center" vertical="center"/>
      <protection locked="0"/>
    </xf>
    <xf numFmtId="0" fontId="98" fillId="0" borderId="11" xfId="0" applyFont="1" applyFill="1" applyBorder="1" applyAlignment="1" applyProtection="1">
      <alignment horizontal="center" vertical="center"/>
      <protection locked="0"/>
    </xf>
    <xf numFmtId="0" fontId="42" fillId="7" borderId="0" xfId="0" applyFont="1" applyFill="1" applyAlignment="1" applyProtection="1">
      <alignment horizontal="left" vertical="center"/>
    </xf>
    <xf numFmtId="0" fontId="113" fillId="7" borderId="145" xfId="0" applyFont="1" applyFill="1" applyBorder="1" applyAlignment="1" applyProtection="1">
      <alignment horizontal="left"/>
    </xf>
    <xf numFmtId="0" fontId="53" fillId="7" borderId="145" xfId="0" applyFont="1" applyFill="1" applyBorder="1" applyAlignment="1" applyProtection="1">
      <alignment horizontal="left"/>
    </xf>
    <xf numFmtId="0" fontId="91" fillId="7" borderId="49" xfId="0" applyFont="1" applyFill="1" applyBorder="1" applyAlignment="1" applyProtection="1">
      <alignment horizontal="left" vertical="center"/>
    </xf>
    <xf numFmtId="0" fontId="81" fillId="7" borderId="31" xfId="0" applyFont="1" applyFill="1" applyBorder="1" applyProtection="1">
      <alignment vertical="center"/>
    </xf>
    <xf numFmtId="0" fontId="81" fillId="7" borderId="17" xfId="0" applyFont="1" applyFill="1" applyBorder="1" applyAlignment="1" applyProtection="1">
      <alignment horizontal="center" vertical="center"/>
    </xf>
    <xf numFmtId="0" fontId="91" fillId="2" borderId="36" xfId="0" applyFont="1" applyFill="1" applyBorder="1" applyAlignment="1" applyProtection="1">
      <alignment horizontal="right" vertical="center"/>
      <protection locked="0"/>
    </xf>
    <xf numFmtId="0" fontId="58" fillId="7" borderId="2" xfId="0" applyFont="1" applyFill="1" applyBorder="1" applyProtection="1">
      <alignment vertical="center"/>
    </xf>
    <xf numFmtId="0" fontId="91" fillId="2" borderId="1" xfId="0" applyFont="1" applyFill="1" applyBorder="1" applyAlignment="1" applyProtection="1">
      <alignment horizontal="center" vertical="center"/>
      <protection locked="0"/>
    </xf>
    <xf numFmtId="0" fontId="80" fillId="10" borderId="11" xfId="0" applyFont="1" applyFill="1" applyBorder="1" applyAlignment="1" applyProtection="1">
      <alignment horizontal="center" vertical="center"/>
      <protection locked="0"/>
    </xf>
    <xf numFmtId="0" fontId="58" fillId="7" borderId="113" xfId="0" applyFont="1" applyFill="1" applyBorder="1" applyProtection="1">
      <alignment vertical="center"/>
    </xf>
    <xf numFmtId="0" fontId="58" fillId="7" borderId="9" xfId="0" applyFont="1" applyFill="1" applyBorder="1" applyAlignment="1" applyProtection="1">
      <alignment horizontal="center" vertical="center"/>
    </xf>
    <xf numFmtId="0" fontId="91" fillId="7" borderId="120" xfId="0" applyFont="1" applyFill="1" applyBorder="1" applyAlignment="1" applyProtection="1">
      <alignment horizontal="left" vertical="center"/>
    </xf>
    <xf numFmtId="0" fontId="81" fillId="7" borderId="108" xfId="0" applyFont="1" applyFill="1" applyBorder="1" applyAlignment="1" applyProtection="1">
      <alignment horizontal="right" vertical="center"/>
    </xf>
    <xf numFmtId="0" fontId="91" fillId="7" borderId="34" xfId="0" applyFont="1" applyFill="1" applyBorder="1" applyAlignment="1" applyProtection="1">
      <alignment horizontal="center" vertical="center"/>
    </xf>
    <xf numFmtId="186" fontId="81" fillId="7" borderId="28" xfId="0" applyNumberFormat="1" applyFont="1" applyFill="1" applyBorder="1" applyProtection="1">
      <alignment vertical="center"/>
    </xf>
    <xf numFmtId="0" fontId="58" fillId="7" borderId="4" xfId="0" applyFont="1" applyFill="1" applyBorder="1" applyProtection="1">
      <alignment vertical="center"/>
    </xf>
    <xf numFmtId="0" fontId="58" fillId="0" borderId="11" xfId="0" applyFont="1" applyBorder="1" applyProtection="1">
      <alignment vertical="center"/>
      <protection locked="0"/>
    </xf>
    <xf numFmtId="0" fontId="91" fillId="7" borderId="44" xfId="0" applyFont="1" applyFill="1" applyBorder="1" applyAlignment="1" applyProtection="1">
      <alignment horizontal="left" vertical="center"/>
    </xf>
    <xf numFmtId="0" fontId="81" fillId="7" borderId="62" xfId="0" applyFont="1" applyFill="1" applyBorder="1" applyAlignment="1" applyProtection="1">
      <alignment horizontal="right" vertical="center"/>
    </xf>
    <xf numFmtId="0" fontId="91" fillId="7" borderId="33" xfId="0" applyFont="1" applyFill="1" applyBorder="1" applyAlignment="1" applyProtection="1">
      <alignment horizontal="center" vertical="center"/>
    </xf>
    <xf numFmtId="186" fontId="81" fillId="7" borderId="14" xfId="0" applyNumberFormat="1" applyFont="1" applyFill="1" applyBorder="1" applyProtection="1">
      <alignment vertical="center"/>
    </xf>
    <xf numFmtId="0" fontId="58" fillId="7" borderId="62" xfId="0" applyFont="1" applyFill="1" applyBorder="1" applyProtection="1">
      <alignment vertical="center"/>
    </xf>
    <xf numFmtId="0" fontId="58" fillId="0" borderId="14" xfId="0" applyFont="1" applyBorder="1" applyProtection="1">
      <alignment vertical="center"/>
      <protection locked="0"/>
    </xf>
    <xf numFmtId="0" fontId="81" fillId="7" borderId="113" xfId="0" applyFont="1" applyFill="1" applyBorder="1" applyAlignment="1" applyProtection="1">
      <alignment horizontal="left" vertical="center"/>
    </xf>
    <xf numFmtId="0" fontId="91" fillId="0" borderId="9" xfId="0" applyFont="1" applyFill="1" applyBorder="1" applyAlignment="1" applyProtection="1">
      <alignment horizontal="center" vertical="center"/>
      <protection locked="0"/>
    </xf>
    <xf numFmtId="0" fontId="81" fillId="2" borderId="117" xfId="0" applyFont="1" applyFill="1" applyBorder="1" applyProtection="1">
      <alignment vertical="center"/>
      <protection locked="0"/>
    </xf>
    <xf numFmtId="0" fontId="81" fillId="7" borderId="115" xfId="0" applyFont="1" applyFill="1" applyBorder="1" applyProtection="1">
      <alignment vertical="center"/>
    </xf>
    <xf numFmtId="0" fontId="81" fillId="7" borderId="0" xfId="0" applyFont="1" applyFill="1" applyBorder="1" applyAlignment="1" applyProtection="1">
      <alignment horizontal="left" vertical="center"/>
      <protection locked="0"/>
    </xf>
    <xf numFmtId="0" fontId="81" fillId="7" borderId="4" xfId="0" applyFont="1" applyFill="1" applyBorder="1" applyAlignment="1" applyProtection="1">
      <alignment horizontal="left" vertical="center"/>
    </xf>
    <xf numFmtId="0" fontId="91" fillId="0" borderId="11" xfId="0" applyFont="1" applyFill="1" applyBorder="1" applyAlignment="1" applyProtection="1">
      <alignment horizontal="center" vertical="center"/>
      <protection locked="0"/>
    </xf>
    <xf numFmtId="0" fontId="81" fillId="7" borderId="0" xfId="0" applyFont="1" applyFill="1" applyProtection="1">
      <alignment vertical="center"/>
      <protection locked="0"/>
    </xf>
    <xf numFmtId="0" fontId="81" fillId="7" borderId="62" xfId="0" applyFont="1" applyFill="1" applyBorder="1" applyAlignment="1" applyProtection="1">
      <alignment horizontal="left" vertical="center"/>
    </xf>
    <xf numFmtId="0" fontId="91" fillId="0" borderId="13" xfId="0" applyFont="1" applyFill="1" applyBorder="1" applyAlignment="1" applyProtection="1">
      <alignment horizontal="center" vertical="center"/>
      <protection locked="0"/>
    </xf>
    <xf numFmtId="0" fontId="81" fillId="0" borderId="115" xfId="0" applyFont="1" applyFill="1" applyBorder="1" applyProtection="1">
      <alignment vertical="center"/>
      <protection locked="0"/>
    </xf>
    <xf numFmtId="0" fontId="98" fillId="0" borderId="7" xfId="0" applyFont="1" applyFill="1" applyBorder="1" applyAlignment="1" applyProtection="1">
      <alignment horizontal="center" vertical="center"/>
      <protection locked="0"/>
    </xf>
    <xf numFmtId="0" fontId="98" fillId="0" borderId="8" xfId="0" applyFont="1" applyFill="1" applyBorder="1" applyAlignment="1" applyProtection="1">
      <alignment horizontal="center" vertical="center"/>
      <protection locked="0"/>
    </xf>
    <xf numFmtId="0" fontId="98" fillId="0" borderId="9" xfId="0" applyFont="1" applyFill="1" applyBorder="1" applyAlignment="1" applyProtection="1">
      <alignment horizontal="center" vertical="center"/>
      <protection locked="0"/>
    </xf>
    <xf numFmtId="0" fontId="58" fillId="7" borderId="30" xfId="0" applyFont="1" applyFill="1" applyBorder="1" applyProtection="1">
      <alignment vertical="center"/>
    </xf>
    <xf numFmtId="0" fontId="58" fillId="0" borderId="10" xfId="0" applyFont="1" applyBorder="1" applyProtection="1">
      <alignment vertical="center"/>
      <protection locked="0"/>
    </xf>
    <xf numFmtId="0" fontId="58" fillId="0" borderId="11" xfId="0" applyFont="1" applyFill="1" applyBorder="1" applyAlignment="1" applyProtection="1">
      <alignment horizontal="center" vertical="center"/>
      <protection locked="0"/>
    </xf>
    <xf numFmtId="0" fontId="58" fillId="7" borderId="61" xfId="0" applyFont="1" applyFill="1" applyBorder="1" applyProtection="1">
      <alignment vertical="center"/>
    </xf>
    <xf numFmtId="0" fontId="58" fillId="0" borderId="12" xfId="0" applyFont="1" applyBorder="1" applyProtection="1">
      <alignment vertical="center"/>
      <protection locked="0"/>
    </xf>
    <xf numFmtId="0" fontId="58" fillId="0" borderId="13" xfId="0" applyFont="1" applyBorder="1" applyProtection="1">
      <alignment vertical="center"/>
      <protection locked="0"/>
    </xf>
    <xf numFmtId="0" fontId="58" fillId="7" borderId="0" xfId="0" applyFont="1" applyFill="1" applyBorder="1" applyAlignment="1" applyProtection="1">
      <alignment horizontal="center" vertical="center"/>
    </xf>
    <xf numFmtId="0" fontId="21" fillId="7" borderId="0" xfId="0" applyFont="1" applyFill="1" applyBorder="1" applyAlignment="1" applyProtection="1">
      <alignment horizontal="center" vertical="center"/>
    </xf>
    <xf numFmtId="0" fontId="111" fillId="7" borderId="0" xfId="0" applyFont="1" applyFill="1" applyBorder="1" applyAlignment="1" applyProtection="1">
      <alignment horizontal="left" vertical="center"/>
    </xf>
    <xf numFmtId="0" fontId="114" fillId="7" borderId="0" xfId="0" applyFont="1" applyFill="1" applyBorder="1" applyAlignment="1" applyProtection="1">
      <alignment horizontal="left" vertical="center"/>
    </xf>
    <xf numFmtId="0" fontId="115" fillId="7" borderId="0" xfId="0" applyFont="1" applyFill="1" applyBorder="1" applyAlignment="1" applyProtection="1">
      <alignment vertical="center"/>
    </xf>
    <xf numFmtId="0" fontId="115" fillId="7" borderId="0" xfId="0" applyFont="1" applyFill="1" applyBorder="1" applyAlignment="1" applyProtection="1">
      <alignment horizontal="center" vertical="center"/>
    </xf>
    <xf numFmtId="0" fontId="58" fillId="7" borderId="95" xfId="0" applyFont="1" applyFill="1" applyBorder="1" applyAlignment="1" applyProtection="1">
      <alignment horizontal="right" vertical="center"/>
    </xf>
    <xf numFmtId="9" fontId="58" fillId="2" borderId="95" xfId="0" applyNumberFormat="1" applyFont="1" applyFill="1" applyBorder="1" applyAlignment="1" applyProtection="1">
      <alignment horizontal="center" vertical="center"/>
      <protection locked="0"/>
    </xf>
    <xf numFmtId="0" fontId="58" fillId="7" borderId="112" xfId="0" applyFont="1" applyFill="1" applyBorder="1" applyProtection="1">
      <alignment vertical="center"/>
    </xf>
    <xf numFmtId="9" fontId="58" fillId="7" borderId="0" xfId="0" applyNumberFormat="1" applyFont="1" applyFill="1" applyAlignment="1" applyProtection="1">
      <alignment horizontal="center" vertical="center"/>
      <protection locked="0"/>
    </xf>
    <xf numFmtId="0" fontId="60" fillId="7" borderId="30" xfId="0" applyFont="1" applyFill="1" applyBorder="1" applyAlignment="1" applyProtection="1">
      <alignment horizontal="left" vertical="center" wrapText="1"/>
    </xf>
    <xf numFmtId="0" fontId="60" fillId="7" borderId="96" xfId="0" applyFont="1" applyFill="1" applyBorder="1" applyAlignment="1" applyProtection="1">
      <alignment horizontal="left" vertical="center" wrapText="1"/>
    </xf>
    <xf numFmtId="0" fontId="60" fillId="7" borderId="108" xfId="0" applyFont="1" applyFill="1" applyBorder="1" applyAlignment="1" applyProtection="1">
      <alignment horizontal="left" vertical="center" wrapText="1"/>
    </xf>
    <xf numFmtId="0" fontId="60" fillId="7" borderId="1" xfId="0" applyFont="1" applyFill="1" applyBorder="1" applyAlignment="1" applyProtection="1">
      <alignment horizontal="left" vertical="center" wrapText="1"/>
    </xf>
    <xf numFmtId="9" fontId="58" fillId="7" borderId="11" xfId="0" applyNumberFormat="1" applyFont="1" applyFill="1" applyBorder="1" applyAlignment="1" applyProtection="1">
      <alignment horizontal="left" vertical="center"/>
    </xf>
    <xf numFmtId="9" fontId="58" fillId="7" borderId="0" xfId="0" applyNumberFormat="1" applyFont="1" applyFill="1" applyAlignment="1" applyProtection="1">
      <alignment horizontal="left" vertical="center"/>
      <protection locked="0"/>
    </xf>
    <xf numFmtId="0" fontId="58" fillId="7" borderId="51" xfId="0" applyFont="1" applyFill="1" applyBorder="1" applyAlignment="1" applyProtection="1">
      <alignment horizontal="left" vertical="center" wrapText="1"/>
    </xf>
    <xf numFmtId="10" fontId="58" fillId="7" borderId="16" xfId="0" applyNumberFormat="1" applyFont="1" applyFill="1" applyBorder="1" applyAlignment="1" applyProtection="1">
      <alignment horizontal="left" vertical="center"/>
    </xf>
    <xf numFmtId="0" fontId="59" fillId="0" borderId="11" xfId="0" applyFont="1" applyFill="1" applyBorder="1" applyAlignment="1" applyProtection="1">
      <alignment horizontal="left" vertical="center" wrapText="1"/>
      <protection locked="0"/>
    </xf>
    <xf numFmtId="0" fontId="58" fillId="2" borderId="4" xfId="0" applyFont="1" applyFill="1" applyBorder="1" applyAlignment="1" applyProtection="1">
      <alignment horizontal="left" vertical="center"/>
      <protection locked="0"/>
    </xf>
    <xf numFmtId="0" fontId="58" fillId="7" borderId="48" xfId="0" applyFont="1" applyFill="1" applyBorder="1" applyAlignment="1" applyProtection="1">
      <alignment horizontal="left" vertical="center"/>
    </xf>
    <xf numFmtId="0" fontId="58" fillId="7" borderId="119" xfId="0" applyFont="1" applyFill="1" applyBorder="1" applyAlignment="1" applyProtection="1">
      <alignment horizontal="left" vertical="center"/>
    </xf>
    <xf numFmtId="0" fontId="108" fillId="16" borderId="0" xfId="0" applyFont="1" applyFill="1" applyAlignment="1" applyProtection="1">
      <alignment horizontal="left" vertical="center"/>
    </xf>
    <xf numFmtId="0" fontId="58" fillId="7" borderId="27" xfId="0" applyFont="1" applyFill="1" applyBorder="1" applyAlignment="1" applyProtection="1">
      <alignment horizontal="left" vertical="center" wrapText="1"/>
    </xf>
    <xf numFmtId="0" fontId="58" fillId="7" borderId="50" xfId="0" applyFont="1" applyFill="1" applyBorder="1" applyAlignment="1" applyProtection="1">
      <alignment horizontal="left" vertical="center"/>
    </xf>
    <xf numFmtId="0" fontId="58" fillId="16" borderId="0" xfId="0" applyFont="1" applyFill="1" applyAlignment="1" applyProtection="1">
      <alignment horizontal="left" vertical="center"/>
    </xf>
    <xf numFmtId="0" fontId="58" fillId="7" borderId="58" xfId="0" applyFont="1" applyFill="1" applyBorder="1" applyAlignment="1" applyProtection="1">
      <alignment horizontal="left" vertical="center" wrapText="1"/>
    </xf>
    <xf numFmtId="0" fontId="58" fillId="7" borderId="10" xfId="0" applyFont="1" applyFill="1" applyBorder="1" applyAlignment="1" applyProtection="1">
      <alignment horizontal="left" vertical="center" wrapText="1"/>
    </xf>
    <xf numFmtId="10" fontId="58" fillId="7" borderId="1" xfId="0" applyNumberFormat="1" applyFont="1" applyFill="1" applyBorder="1" applyAlignment="1" applyProtection="1">
      <alignment horizontal="left" vertical="center"/>
    </xf>
    <xf numFmtId="0" fontId="58" fillId="7" borderId="11" xfId="0" applyFont="1" applyFill="1" applyBorder="1" applyAlignment="1" applyProtection="1">
      <alignment horizontal="left" vertical="center"/>
    </xf>
    <xf numFmtId="0" fontId="59" fillId="7" borderId="0" xfId="0" applyFont="1" applyFill="1" applyAlignment="1" applyProtection="1">
      <alignment horizontal="left" vertical="center"/>
      <protection locked="0"/>
    </xf>
    <xf numFmtId="0" fontId="21" fillId="0" borderId="11" xfId="0" applyFont="1" applyFill="1" applyBorder="1" applyAlignment="1" applyProtection="1">
      <alignment horizontal="left" vertical="center" wrapText="1"/>
      <protection locked="0"/>
    </xf>
    <xf numFmtId="0" fontId="58" fillId="10" borderId="4" xfId="0" applyFont="1" applyFill="1" applyBorder="1" applyAlignment="1" applyProtection="1">
      <alignment horizontal="left" vertical="center" wrapText="1"/>
      <protection locked="0"/>
    </xf>
    <xf numFmtId="0" fontId="58" fillId="7" borderId="0" xfId="0" applyFont="1" applyFill="1" applyBorder="1" applyAlignment="1" applyProtection="1">
      <alignment horizontal="left" vertical="center" wrapText="1"/>
      <protection locked="0"/>
    </xf>
    <xf numFmtId="0" fontId="58" fillId="16" borderId="33" xfId="0" applyFont="1" applyFill="1" applyBorder="1" applyAlignment="1" applyProtection="1">
      <alignment horizontal="left" vertical="center"/>
    </xf>
    <xf numFmtId="0" fontId="58" fillId="16" borderId="13" xfId="0" applyFont="1" applyFill="1" applyBorder="1" applyAlignment="1" applyProtection="1">
      <alignment horizontal="left" vertical="center" wrapText="1"/>
    </xf>
    <xf numFmtId="10" fontId="58" fillId="16" borderId="13" xfId="0" applyNumberFormat="1" applyFont="1" applyFill="1" applyBorder="1" applyAlignment="1" applyProtection="1">
      <alignment horizontal="left" vertical="center"/>
    </xf>
    <xf numFmtId="0" fontId="21" fillId="0" borderId="14" xfId="0" applyFont="1" applyFill="1" applyBorder="1" applyAlignment="1" applyProtection="1">
      <alignment horizontal="left" vertical="center" wrapText="1"/>
      <protection locked="0"/>
    </xf>
    <xf numFmtId="0" fontId="108" fillId="16" borderId="4" xfId="0" applyFont="1" applyFill="1" applyBorder="1" applyAlignment="1" applyProtection="1">
      <alignment horizontal="left" vertical="center" wrapText="1"/>
      <protection locked="0"/>
    </xf>
    <xf numFmtId="0" fontId="58" fillId="7" borderId="0" xfId="0" applyFont="1" applyFill="1" applyBorder="1" applyAlignment="1" applyProtection="1">
      <alignment horizontal="left" vertical="center" wrapText="1"/>
    </xf>
    <xf numFmtId="0" fontId="58" fillId="7" borderId="0" xfId="0" applyFont="1" applyFill="1" applyBorder="1" applyAlignment="1" applyProtection="1">
      <alignment horizontal="center" vertical="center" wrapText="1"/>
    </xf>
    <xf numFmtId="0" fontId="58" fillId="7" borderId="0" xfId="0" applyFont="1" applyFill="1" applyBorder="1" applyAlignment="1" applyProtection="1">
      <alignment horizontal="center" vertical="center" wrapText="1"/>
      <protection locked="0"/>
    </xf>
    <xf numFmtId="0" fontId="58" fillId="7" borderId="0" xfId="0" applyFont="1" applyFill="1" applyBorder="1" applyAlignment="1" applyProtection="1">
      <alignment horizontal="center" vertical="center"/>
      <protection locked="0"/>
    </xf>
    <xf numFmtId="0" fontId="58" fillId="7" borderId="9" xfId="0" applyFont="1" applyFill="1" applyBorder="1" applyAlignment="1" applyProtection="1">
      <alignment horizontal="left" vertical="center" wrapText="1"/>
    </xf>
    <xf numFmtId="49" fontId="60" fillId="7" borderId="10" xfId="0" applyNumberFormat="1" applyFont="1" applyFill="1" applyBorder="1" applyAlignment="1" applyProtection="1">
      <alignment horizontal="left" vertical="center" wrapText="1"/>
    </xf>
    <xf numFmtId="0" fontId="52" fillId="7" borderId="16" xfId="0" applyFont="1" applyFill="1" applyBorder="1" applyAlignment="1" applyProtection="1">
      <alignment horizontal="left" vertical="center" wrapText="1"/>
    </xf>
    <xf numFmtId="187" fontId="52" fillId="7" borderId="16" xfId="0" applyNumberFormat="1" applyFont="1" applyFill="1" applyBorder="1" applyAlignment="1" applyProtection="1">
      <alignment horizontal="left" vertical="center" wrapText="1"/>
    </xf>
    <xf numFmtId="0" fontId="58" fillId="7" borderId="28" xfId="0" applyFont="1" applyFill="1" applyBorder="1" applyAlignment="1" applyProtection="1">
      <alignment horizontal="left" vertical="center" wrapText="1"/>
    </xf>
    <xf numFmtId="49" fontId="58" fillId="7" borderId="10" xfId="0" applyNumberFormat="1" applyFont="1" applyFill="1" applyBorder="1" applyAlignment="1" applyProtection="1">
      <alignment horizontal="left" vertical="center" wrapText="1"/>
    </xf>
    <xf numFmtId="187" fontId="20" fillId="7" borderId="1" xfId="0" applyNumberFormat="1" applyFont="1" applyFill="1" applyBorder="1" applyAlignment="1" applyProtection="1">
      <alignment horizontal="left" vertical="center" wrapText="1"/>
    </xf>
    <xf numFmtId="0" fontId="58" fillId="7" borderId="11" xfId="0" applyFont="1" applyFill="1" applyBorder="1" applyAlignment="1" applyProtection="1">
      <alignment horizontal="left" vertical="center" wrapText="1"/>
    </xf>
    <xf numFmtId="0" fontId="96" fillId="2" borderId="15" xfId="0" applyFont="1" applyFill="1" applyBorder="1" applyAlignment="1" applyProtection="1">
      <alignment horizontal="center" vertical="center"/>
      <protection locked="0"/>
    </xf>
    <xf numFmtId="0" fontId="58" fillId="7" borderId="4" xfId="0" applyFont="1" applyFill="1" applyBorder="1" applyAlignment="1" applyProtection="1">
      <alignment horizontal="center" vertical="center" wrapText="1"/>
    </xf>
    <xf numFmtId="0" fontId="113" fillId="7" borderId="145" xfId="0" applyFont="1" applyFill="1" applyBorder="1" applyAlignment="1" applyProtection="1">
      <alignment horizontal="right"/>
    </xf>
    <xf numFmtId="0" fontId="113" fillId="6" borderId="145" xfId="0" applyFont="1" applyFill="1" applyBorder="1" applyAlignment="1" applyProtection="1">
      <alignment horizontal="right"/>
      <protection locked="0"/>
    </xf>
    <xf numFmtId="0" fontId="53" fillId="4" borderId="145" xfId="0" applyFont="1" applyFill="1" applyBorder="1" applyAlignment="1" applyProtection="1">
      <protection locked="0"/>
    </xf>
    <xf numFmtId="0" fontId="21" fillId="7" borderId="0" xfId="0" applyFont="1" applyFill="1" applyProtection="1">
      <alignment vertical="center"/>
    </xf>
    <xf numFmtId="0" fontId="63" fillId="7" borderId="0" xfId="0" applyFont="1" applyFill="1" applyBorder="1" applyAlignment="1" applyProtection="1">
      <alignment horizontal="left" vertical="center"/>
    </xf>
    <xf numFmtId="0" fontId="68" fillId="7" borderId="0" xfId="0" applyFont="1" applyFill="1" applyBorder="1" applyProtection="1">
      <alignment vertical="center"/>
    </xf>
    <xf numFmtId="0" fontId="30" fillId="7" borderId="1" xfId="0" applyFont="1" applyFill="1" applyBorder="1" applyAlignment="1" applyProtection="1">
      <alignment horizontal="left" vertical="center" wrapText="1"/>
    </xf>
    <xf numFmtId="0" fontId="63" fillId="7" borderId="1" xfId="0" applyFont="1" applyFill="1" applyBorder="1" applyAlignment="1" applyProtection="1">
      <alignment horizontal="left" vertical="center" wrapText="1"/>
    </xf>
    <xf numFmtId="10" fontId="58" fillId="16" borderId="0" xfId="0" applyNumberFormat="1" applyFont="1" applyFill="1" applyAlignment="1" applyProtection="1">
      <alignment horizontal="left" vertical="center"/>
    </xf>
    <xf numFmtId="10" fontId="58" fillId="7" borderId="0" xfId="0" applyNumberFormat="1" applyFont="1" applyFill="1" applyAlignment="1" applyProtection="1">
      <alignment horizontal="center" vertical="center"/>
      <protection locked="0"/>
    </xf>
    <xf numFmtId="0" fontId="117" fillId="7" borderId="1" xfId="0" applyFont="1" applyFill="1" applyBorder="1" applyAlignment="1" applyProtection="1">
      <alignment horizontal="left" vertical="center" wrapText="1"/>
    </xf>
    <xf numFmtId="10" fontId="117" fillId="7" borderId="1" xfId="0" applyNumberFormat="1" applyFont="1" applyFill="1" applyBorder="1" applyAlignment="1" applyProtection="1">
      <alignment horizontal="left" vertical="center"/>
    </xf>
    <xf numFmtId="9" fontId="117" fillId="7" borderId="1" xfId="0" applyNumberFormat="1" applyFont="1" applyFill="1" applyBorder="1" applyAlignment="1" applyProtection="1">
      <alignment horizontal="left" vertical="center"/>
    </xf>
    <xf numFmtId="10" fontId="58" fillId="7" borderId="2" xfId="0" applyNumberFormat="1" applyFont="1" applyFill="1" applyBorder="1" applyAlignment="1" applyProtection="1">
      <alignment horizontal="center" vertical="center"/>
    </xf>
    <xf numFmtId="0" fontId="117" fillId="7" borderId="15" xfId="0" applyFont="1" applyFill="1" applyBorder="1" applyAlignment="1" applyProtection="1">
      <alignment horizontal="left" vertical="center" wrapText="1"/>
    </xf>
    <xf numFmtId="9" fontId="117" fillId="7" borderId="15" xfId="0" applyNumberFormat="1" applyFont="1" applyFill="1" applyBorder="1" applyAlignment="1" applyProtection="1">
      <alignment horizontal="left" vertical="center"/>
    </xf>
    <xf numFmtId="0" fontId="30" fillId="7" borderId="2" xfId="0" applyFont="1" applyFill="1" applyBorder="1" applyAlignment="1" applyProtection="1">
      <alignment horizontal="left" vertical="center" wrapText="1"/>
    </xf>
    <xf numFmtId="0" fontId="117" fillId="7" borderId="48" xfId="0" applyFont="1" applyFill="1" applyBorder="1" applyAlignment="1" applyProtection="1">
      <alignment horizontal="left" vertical="center" wrapText="1"/>
    </xf>
    <xf numFmtId="0" fontId="117" fillId="7" borderId="95" xfId="0" applyFont="1" applyFill="1" applyBorder="1" applyAlignment="1" applyProtection="1">
      <alignment horizontal="left" vertical="center" wrapText="1"/>
    </xf>
    <xf numFmtId="0" fontId="117" fillId="7" borderId="112" xfId="0" applyFont="1" applyFill="1" applyBorder="1" applyAlignment="1" applyProtection="1">
      <alignment horizontal="left" vertical="center" wrapText="1"/>
    </xf>
    <xf numFmtId="186" fontId="58" fillId="7" borderId="0" xfId="0" applyNumberFormat="1" applyFont="1" applyFill="1" applyProtection="1">
      <alignment vertical="center"/>
      <protection locked="0"/>
    </xf>
    <xf numFmtId="0" fontId="117" fillId="7" borderId="2" xfId="0" applyFont="1" applyFill="1" applyBorder="1" applyAlignment="1" applyProtection="1">
      <alignment horizontal="left" vertical="center" wrapText="1"/>
    </xf>
    <xf numFmtId="0" fontId="117" fillId="7" borderId="3" xfId="0" applyFont="1" applyFill="1" applyBorder="1" applyAlignment="1" applyProtection="1">
      <alignment horizontal="left" vertical="center"/>
    </xf>
    <xf numFmtId="0" fontId="117" fillId="7" borderId="4" xfId="0" applyFont="1" applyFill="1" applyBorder="1" applyAlignment="1" applyProtection="1">
      <alignment horizontal="left" vertical="center" wrapText="1"/>
    </xf>
    <xf numFmtId="0" fontId="108" fillId="16" borderId="0" xfId="0" applyFont="1" applyFill="1" applyProtection="1">
      <alignment vertical="center"/>
    </xf>
    <xf numFmtId="0" fontId="117" fillId="7" borderId="50" xfId="0" applyFont="1" applyFill="1" applyBorder="1" applyAlignment="1" applyProtection="1">
      <alignment horizontal="left" vertical="center" wrapText="1"/>
    </xf>
    <xf numFmtId="0" fontId="117" fillId="7" borderId="0" xfId="0" applyFont="1" applyFill="1" applyBorder="1" applyAlignment="1" applyProtection="1">
      <alignment horizontal="left" vertical="center" wrapText="1"/>
    </xf>
    <xf numFmtId="0" fontId="117" fillId="7" borderId="119" xfId="0" applyFont="1" applyFill="1" applyBorder="1" applyAlignment="1" applyProtection="1">
      <alignment horizontal="left" vertical="center" wrapText="1"/>
    </xf>
    <xf numFmtId="0" fontId="117" fillId="7" borderId="34" xfId="0" applyFont="1" applyFill="1" applyBorder="1" applyAlignment="1" applyProtection="1">
      <alignment horizontal="left" vertical="center" wrapText="1"/>
    </xf>
    <xf numFmtId="0" fontId="117" fillId="7" borderId="96" xfId="0" applyFont="1" applyFill="1" applyBorder="1" applyAlignment="1" applyProtection="1">
      <alignment horizontal="left" vertical="center" wrapText="1"/>
    </xf>
    <xf numFmtId="0" fontId="117" fillId="7" borderId="108" xfId="0" applyFont="1" applyFill="1" applyBorder="1" applyAlignment="1" applyProtection="1">
      <alignment horizontal="left" vertical="center" wrapText="1"/>
    </xf>
    <xf numFmtId="0" fontId="29" fillId="7" borderId="1" xfId="0" applyFont="1" applyFill="1" applyBorder="1" applyAlignment="1">
      <alignment horizontal="left" vertical="center" wrapText="1"/>
    </xf>
    <xf numFmtId="0" fontId="58" fillId="4" borderId="0" xfId="0" applyFont="1" applyFill="1" applyAlignment="1" applyProtection="1">
      <alignment horizontal="left" vertical="center"/>
      <protection locked="0"/>
    </xf>
    <xf numFmtId="0" fontId="53" fillId="4" borderId="145" xfId="0" applyFont="1" applyFill="1" applyBorder="1" applyAlignment="1" applyProtection="1"/>
    <xf numFmtId="187" fontId="20" fillId="0" borderId="1" xfId="0" applyNumberFormat="1" applyFont="1" applyFill="1" applyBorder="1" applyAlignment="1" applyProtection="1">
      <alignment horizontal="left" vertical="center" wrapText="1"/>
      <protection locked="0"/>
    </xf>
    <xf numFmtId="0" fontId="52" fillId="7" borderId="1" xfId="0"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protection locked="0"/>
    </xf>
    <xf numFmtId="0" fontId="21" fillId="7" borderId="11" xfId="0" applyFont="1" applyFill="1" applyBorder="1" applyAlignment="1" applyProtection="1">
      <alignment horizontal="left" vertical="center"/>
    </xf>
    <xf numFmtId="187" fontId="52" fillId="7" borderId="1" xfId="0" applyNumberFormat="1" applyFont="1" applyFill="1" applyBorder="1" applyAlignment="1" applyProtection="1">
      <alignment horizontal="left" vertical="center" wrapText="1"/>
    </xf>
    <xf numFmtId="49" fontId="60" fillId="7" borderId="12" xfId="0" applyNumberFormat="1" applyFont="1" applyFill="1" applyBorder="1" applyAlignment="1" applyProtection="1">
      <alignment horizontal="left" vertical="center" wrapText="1"/>
    </xf>
    <xf numFmtId="0" fontId="52" fillId="7" borderId="13" xfId="0" applyFont="1" applyFill="1" applyBorder="1" applyAlignment="1" applyProtection="1">
      <alignment horizontal="left" vertical="center" wrapText="1"/>
    </xf>
    <xf numFmtId="187" fontId="52" fillId="7" borderId="13" xfId="0" applyNumberFormat="1" applyFont="1" applyFill="1" applyBorder="1" applyAlignment="1" applyProtection="1">
      <alignment horizontal="left" vertical="center" wrapText="1"/>
    </xf>
    <xf numFmtId="10" fontId="20" fillId="7" borderId="13" xfId="0" applyNumberFormat="1" applyFont="1" applyFill="1" applyBorder="1" applyAlignment="1" applyProtection="1">
      <alignment horizontal="left" vertical="center" wrapText="1"/>
    </xf>
    <xf numFmtId="0" fontId="58" fillId="7" borderId="14" xfId="0" applyFont="1" applyFill="1" applyBorder="1" applyAlignment="1" applyProtection="1">
      <alignment horizontal="left" vertical="center"/>
    </xf>
    <xf numFmtId="49" fontId="60" fillId="7" borderId="30" xfId="0" applyNumberFormat="1" applyFont="1" applyFill="1" applyBorder="1" applyAlignment="1" applyProtection="1">
      <alignment horizontal="left" vertical="center" wrapText="1"/>
    </xf>
    <xf numFmtId="0" fontId="52" fillId="7" borderId="0" xfId="0" applyFont="1" applyFill="1" applyBorder="1" applyAlignment="1" applyProtection="1">
      <alignment horizontal="left" vertical="center" wrapText="1"/>
    </xf>
    <xf numFmtId="187" fontId="52" fillId="7" borderId="0" xfId="0" applyNumberFormat="1" applyFont="1" applyFill="1" applyBorder="1" applyAlignment="1" applyProtection="1">
      <alignment horizontal="center" vertical="center" wrapText="1"/>
    </xf>
    <xf numFmtId="0" fontId="58" fillId="7" borderId="0" xfId="0" applyFont="1" applyFill="1" applyBorder="1" applyAlignment="1" applyProtection="1">
      <alignment horizontal="left" vertical="center"/>
    </xf>
    <xf numFmtId="0" fontId="58" fillId="7" borderId="32" xfId="0" applyFont="1" applyFill="1" applyBorder="1" applyAlignment="1" applyProtection="1">
      <alignment horizontal="left" vertical="center" wrapText="1"/>
    </xf>
    <xf numFmtId="0" fontId="58" fillId="7" borderId="38" xfId="0" applyFont="1" applyFill="1" applyBorder="1" applyAlignment="1" applyProtection="1">
      <alignment horizontal="left" vertical="center" wrapText="1"/>
    </xf>
    <xf numFmtId="0" fontId="81" fillId="7" borderId="39" xfId="15" applyFont="1" applyFill="1" applyBorder="1" applyAlignment="1" applyProtection="1">
      <alignment horizontal="left" vertical="center" wrapText="1"/>
    </xf>
    <xf numFmtId="0" fontId="81" fillId="7" borderId="42" xfId="15"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protection locked="0"/>
    </xf>
    <xf numFmtId="0" fontId="81" fillId="7" borderId="1" xfId="15" applyFont="1" applyFill="1" applyBorder="1" applyAlignment="1" applyProtection="1">
      <alignment horizontal="left" vertical="center" wrapText="1"/>
    </xf>
    <xf numFmtId="0" fontId="81" fillId="10" borderId="1" xfId="15" applyFont="1" applyFill="1" applyBorder="1" applyAlignment="1" applyProtection="1">
      <alignment horizontal="left" vertical="center" wrapText="1"/>
      <protection locked="0"/>
    </xf>
    <xf numFmtId="187" fontId="20" fillId="0" borderId="11" xfId="0" applyNumberFormat="1" applyFont="1" applyFill="1" applyBorder="1" applyAlignment="1" applyProtection="1">
      <alignment horizontal="left" vertical="center" wrapText="1"/>
      <protection locked="0"/>
    </xf>
    <xf numFmtId="0" fontId="20" fillId="7" borderId="16" xfId="0" applyFont="1" applyFill="1" applyBorder="1" applyAlignment="1" applyProtection="1">
      <alignment horizontal="left" vertical="center" wrapText="1"/>
    </xf>
    <xf numFmtId="9" fontId="81" fillId="7" borderId="0" xfId="0" applyNumberFormat="1" applyFont="1" applyFill="1" applyBorder="1" applyAlignment="1" applyProtection="1">
      <alignment horizontal="left" vertical="center"/>
    </xf>
    <xf numFmtId="0" fontId="58" fillId="7" borderId="42" xfId="0" applyFont="1" applyFill="1" applyBorder="1" applyAlignment="1" applyProtection="1">
      <alignment horizontal="left" vertical="center" wrapText="1"/>
    </xf>
    <xf numFmtId="10" fontId="20" fillId="7" borderId="1" xfId="0" applyNumberFormat="1" applyFont="1" applyFill="1" applyBorder="1" applyAlignment="1" applyProtection="1">
      <alignment horizontal="left" vertical="center" wrapText="1"/>
    </xf>
    <xf numFmtId="0" fontId="81" fillId="7" borderId="3" xfId="0" applyFont="1" applyFill="1" applyBorder="1" applyAlignment="1" applyProtection="1">
      <alignment horizontal="left" vertical="center"/>
    </xf>
    <xf numFmtId="0" fontId="58" fillId="10" borderId="3" xfId="0" applyFont="1" applyFill="1" applyBorder="1" applyAlignment="1" applyProtection="1">
      <alignment horizontal="left" vertical="center" wrapText="1"/>
      <protection locked="0"/>
    </xf>
    <xf numFmtId="192" fontId="20" fillId="7" borderId="1" xfId="0" applyNumberFormat="1" applyFont="1" applyFill="1" applyBorder="1" applyAlignment="1" applyProtection="1">
      <alignment horizontal="left" vertical="center" wrapText="1"/>
    </xf>
    <xf numFmtId="10" fontId="60" fillId="7" borderId="2" xfId="0" applyNumberFormat="1" applyFont="1" applyFill="1" applyBorder="1" applyAlignment="1" applyProtection="1">
      <alignment horizontal="left" vertical="center" wrapText="1"/>
    </xf>
    <xf numFmtId="10" fontId="58" fillId="7" borderId="2" xfId="0" applyNumberFormat="1" applyFont="1" applyFill="1" applyBorder="1" applyAlignment="1" applyProtection="1">
      <alignment horizontal="left" vertical="center" wrapText="1"/>
    </xf>
    <xf numFmtId="10" fontId="58" fillId="7" borderId="3" xfId="0" applyNumberFormat="1" applyFont="1" applyFill="1" applyBorder="1" applyAlignment="1" applyProtection="1">
      <alignment horizontal="left" vertical="center" wrapText="1"/>
    </xf>
    <xf numFmtId="10" fontId="58" fillId="7" borderId="42" xfId="0" applyNumberFormat="1" applyFont="1" applyFill="1" applyBorder="1" applyAlignment="1" applyProtection="1">
      <alignment horizontal="left" vertical="center" wrapText="1"/>
    </xf>
    <xf numFmtId="186" fontId="52" fillId="7" borderId="1" xfId="0" applyNumberFormat="1" applyFont="1" applyFill="1" applyBorder="1" applyAlignment="1" applyProtection="1">
      <alignment horizontal="left" vertical="center" wrapText="1"/>
    </xf>
    <xf numFmtId="0" fontId="60" fillId="7" borderId="13" xfId="0" applyFont="1" applyFill="1" applyBorder="1" applyAlignment="1" applyProtection="1">
      <alignment horizontal="left" vertical="center" wrapText="1"/>
    </xf>
    <xf numFmtId="0" fontId="20" fillId="7" borderId="13" xfId="0" applyFont="1" applyFill="1" applyBorder="1" applyAlignment="1" applyProtection="1">
      <alignment horizontal="left" vertical="center" wrapText="1"/>
    </xf>
    <xf numFmtId="0" fontId="58" fillId="7" borderId="33" xfId="0" applyFont="1" applyFill="1" applyBorder="1" applyAlignment="1" applyProtection="1">
      <alignment horizontal="left" vertical="center"/>
    </xf>
    <xf numFmtId="0" fontId="58" fillId="7" borderId="45" xfId="0" applyFont="1" applyFill="1" applyBorder="1" applyAlignment="1" applyProtection="1">
      <alignment horizontal="left" vertical="center" wrapText="1"/>
    </xf>
    <xf numFmtId="0" fontId="81" fillId="7" borderId="46" xfId="15" applyFont="1" applyFill="1" applyBorder="1" applyAlignment="1" applyProtection="1">
      <alignment horizontal="left" vertical="center" wrapText="1"/>
    </xf>
    <xf numFmtId="0" fontId="68" fillId="7" borderId="0" xfId="0" applyFont="1" applyFill="1" applyAlignment="1" applyProtection="1">
      <alignment vertical="center"/>
    </xf>
    <xf numFmtId="0" fontId="68" fillId="7" borderId="0" xfId="0" applyFont="1" applyFill="1" applyAlignment="1" applyProtection="1">
      <alignment horizontal="left" vertical="center"/>
    </xf>
    <xf numFmtId="0" fontId="68" fillId="7" borderId="0" xfId="15" applyFont="1" applyFill="1" applyAlignment="1" applyProtection="1">
      <alignment horizontal="left"/>
    </xf>
    <xf numFmtId="0" fontId="58" fillId="7" borderId="39" xfId="15" applyFont="1" applyFill="1" applyBorder="1" applyAlignment="1" applyProtection="1">
      <alignment horizontal="left" vertical="center" wrapText="1"/>
    </xf>
    <xf numFmtId="0" fontId="58" fillId="7" borderId="42" xfId="15" applyFont="1" applyFill="1" applyBorder="1" applyAlignment="1" applyProtection="1">
      <alignment horizontal="left" vertical="center" wrapText="1"/>
    </xf>
    <xf numFmtId="0" fontId="20" fillId="7" borderId="2" xfId="0" applyFont="1" applyFill="1" applyBorder="1" applyAlignment="1" applyProtection="1">
      <alignment horizontal="left" vertical="center" wrapText="1"/>
    </xf>
    <xf numFmtId="192" fontId="20" fillId="0" borderId="1" xfId="0" applyNumberFormat="1" applyFont="1" applyFill="1" applyBorder="1" applyAlignment="1" applyProtection="1">
      <alignment horizontal="left" vertical="center" wrapText="1"/>
      <protection locked="0"/>
    </xf>
    <xf numFmtId="10" fontId="58" fillId="7" borderId="2" xfId="0" applyNumberFormat="1" applyFont="1" applyFill="1" applyBorder="1" applyAlignment="1" applyProtection="1">
      <alignment horizontal="left" vertical="center"/>
    </xf>
    <xf numFmtId="0" fontId="118" fillId="7" borderId="0" xfId="0" applyFont="1" applyFill="1" applyBorder="1" applyAlignment="1" applyProtection="1">
      <alignment horizontal="left" vertical="center"/>
    </xf>
    <xf numFmtId="10" fontId="58" fillId="10" borderId="42" xfId="0" applyNumberFormat="1" applyFont="1" applyFill="1" applyBorder="1" applyAlignment="1" applyProtection="1">
      <alignment horizontal="left" vertical="center" wrapText="1"/>
      <protection locked="0"/>
    </xf>
    <xf numFmtId="10" fontId="58" fillId="2" borderId="42" xfId="0" applyNumberFormat="1" applyFont="1" applyFill="1" applyBorder="1" applyAlignment="1" applyProtection="1">
      <alignment horizontal="left" vertical="center" wrapText="1"/>
      <protection locked="0"/>
    </xf>
    <xf numFmtId="10" fontId="60" fillId="2" borderId="2" xfId="0" applyNumberFormat="1" applyFont="1" applyFill="1" applyBorder="1" applyAlignment="1" applyProtection="1">
      <alignment horizontal="left" vertical="center" wrapText="1"/>
      <protection locked="0"/>
    </xf>
    <xf numFmtId="0" fontId="58" fillId="7" borderId="46" xfId="15" applyFont="1" applyFill="1" applyBorder="1" applyAlignment="1" applyProtection="1">
      <alignment horizontal="left" vertical="center" wrapText="1"/>
    </xf>
    <xf numFmtId="0" fontId="91" fillId="7" borderId="39" xfId="0" applyFont="1" applyFill="1" applyBorder="1" applyAlignment="1" applyProtection="1">
      <alignment horizontal="center" vertical="center"/>
    </xf>
    <xf numFmtId="0" fontId="119" fillId="7" borderId="1" xfId="0" applyFont="1" applyFill="1" applyBorder="1" applyAlignment="1" applyProtection="1">
      <alignment horizontal="left" vertical="center" wrapText="1"/>
    </xf>
    <xf numFmtId="0" fontId="119" fillId="7" borderId="11" xfId="0" applyFont="1" applyFill="1" applyBorder="1" applyAlignment="1" applyProtection="1">
      <alignment horizontal="left" vertical="center" wrapText="1"/>
    </xf>
    <xf numFmtId="0" fontId="91" fillId="7" borderId="4" xfId="0" applyFont="1" applyFill="1" applyBorder="1" applyAlignment="1" applyProtection="1">
      <alignment horizontal="left" vertical="center"/>
    </xf>
    <xf numFmtId="0" fontId="120" fillId="7" borderId="1" xfId="0" applyFont="1" applyFill="1" applyBorder="1" applyAlignment="1" applyProtection="1">
      <alignment vertical="center" wrapText="1"/>
    </xf>
    <xf numFmtId="0" fontId="91" fillId="7" borderId="11" xfId="0" applyFont="1" applyFill="1" applyBorder="1" applyAlignment="1" applyProtection="1">
      <alignment horizontal="left" vertical="center"/>
    </xf>
    <xf numFmtId="0" fontId="120" fillId="7" borderId="1" xfId="0" applyFont="1" applyFill="1" applyBorder="1" applyAlignment="1" applyProtection="1">
      <alignment horizontal="left" vertical="center" wrapText="1"/>
    </xf>
    <xf numFmtId="0" fontId="119" fillId="7" borderId="15" xfId="0" applyFont="1" applyFill="1" applyBorder="1" applyAlignment="1" applyProtection="1">
      <alignment horizontal="left" vertical="center" wrapText="1"/>
    </xf>
    <xf numFmtId="0" fontId="119" fillId="7" borderId="40" xfId="0" applyFont="1" applyFill="1" applyBorder="1" applyAlignment="1" applyProtection="1">
      <alignment horizontal="left" vertical="center" wrapText="1"/>
    </xf>
    <xf numFmtId="0" fontId="119" fillId="7" borderId="1" xfId="0" applyFont="1" applyFill="1" applyBorder="1" applyAlignment="1" applyProtection="1">
      <alignment vertical="center" wrapText="1"/>
    </xf>
    <xf numFmtId="0" fontId="120" fillId="7" borderId="2" xfId="0" applyFont="1" applyFill="1" applyBorder="1" applyAlignment="1" applyProtection="1">
      <alignment horizontal="left" vertical="center" wrapText="1"/>
    </xf>
    <xf numFmtId="0" fontId="119" fillId="7" borderId="2" xfId="0" applyFont="1" applyFill="1" applyBorder="1" applyAlignment="1" applyProtection="1">
      <alignment horizontal="left" vertical="center" wrapText="1"/>
    </xf>
    <xf numFmtId="0" fontId="119" fillId="7" borderId="42" xfId="0" applyFont="1" applyFill="1" applyBorder="1" applyAlignment="1" applyProtection="1">
      <alignment horizontal="left" vertical="center" wrapText="1"/>
    </xf>
    <xf numFmtId="0" fontId="81" fillId="7" borderId="1" xfId="0" applyFont="1" applyFill="1" applyBorder="1" applyAlignment="1" applyProtection="1">
      <alignment horizontal="left" vertical="center"/>
    </xf>
    <xf numFmtId="0" fontId="81" fillId="16" borderId="11" xfId="0" applyFont="1" applyFill="1" applyBorder="1" applyAlignment="1" applyProtection="1">
      <alignment horizontal="left" vertical="center"/>
    </xf>
    <xf numFmtId="0" fontId="120" fillId="7" borderId="33" xfId="0" applyFont="1" applyFill="1" applyBorder="1" applyAlignment="1" applyProtection="1">
      <alignment horizontal="left" vertical="center" wrapText="1"/>
    </xf>
    <xf numFmtId="0" fontId="119" fillId="7" borderId="33" xfId="0" applyFont="1" applyFill="1" applyBorder="1" applyAlignment="1" applyProtection="1">
      <alignment horizontal="left" vertical="center" wrapText="1"/>
    </xf>
    <xf numFmtId="0" fontId="119" fillId="7" borderId="46" xfId="0" applyFont="1" applyFill="1" applyBorder="1" applyAlignment="1" applyProtection="1">
      <alignment horizontal="left" vertical="center" wrapText="1"/>
    </xf>
    <xf numFmtId="0" fontId="81" fillId="7" borderId="11" xfId="0" applyFont="1" applyFill="1" applyBorder="1" applyAlignment="1" applyProtection="1">
      <alignment horizontal="left" vertical="center"/>
    </xf>
    <xf numFmtId="0" fontId="81" fillId="7" borderId="10" xfId="0" applyFont="1" applyFill="1" applyBorder="1" applyAlignment="1" applyProtection="1">
      <alignment horizontal="left" vertical="center"/>
    </xf>
    <xf numFmtId="0" fontId="60" fillId="7" borderId="11" xfId="0" applyFont="1" applyFill="1" applyBorder="1" applyAlignment="1" applyProtection="1">
      <alignment horizontal="left" vertical="center"/>
    </xf>
    <xf numFmtId="0" fontId="120" fillId="7" borderId="13" xfId="0" applyFont="1" applyFill="1" applyBorder="1" applyAlignment="1" applyProtection="1">
      <alignment vertical="center" wrapText="1"/>
    </xf>
    <xf numFmtId="0" fontId="81" fillId="7" borderId="14" xfId="0" applyFont="1" applyFill="1" applyBorder="1" applyAlignment="1" applyProtection="1">
      <alignment horizontal="left" vertical="center"/>
    </xf>
    <xf numFmtId="0" fontId="81" fillId="7" borderId="1" xfId="0" applyFont="1" applyFill="1" applyBorder="1" applyAlignment="1" applyProtection="1">
      <alignment horizontal="left" vertical="center" wrapText="1"/>
      <protection locked="0"/>
    </xf>
    <xf numFmtId="186" fontId="58" fillId="7" borderId="0" xfId="0" applyNumberFormat="1" applyFont="1" applyFill="1" applyAlignment="1" applyProtection="1">
      <alignment horizontal="left" vertical="center"/>
    </xf>
    <xf numFmtId="0" fontId="58" fillId="7" borderId="0" xfId="15" applyFont="1" applyFill="1" applyBorder="1" applyAlignment="1" applyProtection="1">
      <alignment horizontal="left" vertical="center" wrapText="1"/>
    </xf>
    <xf numFmtId="0" fontId="68" fillId="0" borderId="0" xfId="0" applyFont="1" applyFill="1" applyProtection="1">
      <alignment vertical="center"/>
      <protection locked="0"/>
    </xf>
    <xf numFmtId="0" fontId="68" fillId="4" borderId="0" xfId="0" applyFont="1" applyFill="1" applyProtection="1">
      <alignment vertical="center"/>
      <protection locked="0"/>
    </xf>
    <xf numFmtId="0" fontId="68" fillId="7" borderId="0" xfId="15" applyFont="1" applyFill="1" applyAlignment="1" applyProtection="1">
      <alignment vertical="center" wrapText="1"/>
      <protection locked="0"/>
    </xf>
    <xf numFmtId="0" fontId="68" fillId="7" borderId="0" xfId="15" applyFont="1" applyFill="1" applyProtection="1">
      <protection locked="0"/>
    </xf>
    <xf numFmtId="0" fontId="100" fillId="4" borderId="0" xfId="0" applyFont="1" applyFill="1" applyProtection="1">
      <alignment vertical="center"/>
    </xf>
    <xf numFmtId="0" fontId="68" fillId="0" borderId="10" xfId="0" applyFont="1" applyFill="1" applyBorder="1" applyProtection="1">
      <alignment vertical="center"/>
      <protection locked="0"/>
    </xf>
    <xf numFmtId="0" fontId="98" fillId="4" borderId="0" xfId="0" applyFont="1" applyFill="1" applyProtection="1">
      <alignment vertical="center"/>
    </xf>
    <xf numFmtId="0" fontId="68" fillId="4" borderId="0" xfId="0" applyFont="1" applyFill="1" applyProtection="1">
      <alignment vertical="center"/>
    </xf>
    <xf numFmtId="0" fontId="109" fillId="0" borderId="48" xfId="0" applyFont="1" applyBorder="1" applyAlignment="1" applyProtection="1">
      <alignment horizontal="left" vertical="center"/>
    </xf>
    <xf numFmtId="0" fontId="58" fillId="0" borderId="95" xfId="0" applyFont="1" applyBorder="1" applyAlignment="1" applyProtection="1">
      <alignment horizontal="left" vertical="center" wrapText="1"/>
    </xf>
    <xf numFmtId="0" fontId="95" fillId="2" borderId="95" xfId="0" applyFont="1" applyFill="1" applyBorder="1" applyAlignment="1" applyProtection="1">
      <alignment horizontal="left" vertical="center" wrapText="1"/>
      <protection locked="0"/>
    </xf>
    <xf numFmtId="0" fontId="58" fillId="4" borderId="95" xfId="0" applyFont="1" applyFill="1" applyBorder="1" applyAlignment="1" applyProtection="1">
      <alignment horizontal="center" vertical="center" wrapText="1"/>
    </xf>
    <xf numFmtId="0" fontId="58" fillId="4" borderId="95" xfId="0" applyFont="1" applyFill="1" applyBorder="1" applyAlignment="1" applyProtection="1">
      <alignment horizontal="center" vertical="center"/>
    </xf>
    <xf numFmtId="0" fontId="58" fillId="4" borderId="50"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protection locked="0"/>
    </xf>
    <xf numFmtId="0" fontId="58" fillId="4" borderId="34" xfId="0" applyFont="1" applyFill="1" applyBorder="1" applyAlignment="1" applyProtection="1">
      <alignment horizontal="left" vertical="center" wrapText="1"/>
      <protection locked="0"/>
    </xf>
    <xf numFmtId="0" fontId="58" fillId="4" borderId="96" xfId="0" applyFont="1" applyFill="1" applyBorder="1" applyAlignment="1" applyProtection="1">
      <alignment horizontal="left" vertical="center" wrapText="1"/>
      <protection locked="0"/>
    </xf>
    <xf numFmtId="0" fontId="58" fillId="4" borderId="96" xfId="0" applyFont="1" applyFill="1" applyBorder="1" applyAlignment="1" applyProtection="1">
      <alignment horizontal="center" vertical="center" wrapText="1"/>
      <protection locked="0"/>
    </xf>
    <xf numFmtId="0" fontId="58" fillId="4" borderId="96" xfId="0" applyFont="1" applyFill="1" applyBorder="1" applyAlignment="1" applyProtection="1">
      <alignment horizontal="center" vertical="center"/>
      <protection locked="0"/>
    </xf>
    <xf numFmtId="0" fontId="60" fillId="4" borderId="96" xfId="0" applyFont="1" applyFill="1" applyBorder="1" applyAlignment="1" applyProtection="1">
      <alignment horizontal="left" vertical="center"/>
      <protection locked="0"/>
    </xf>
    <xf numFmtId="0" fontId="58" fillId="4" borderId="96" xfId="0" applyFont="1" applyFill="1" applyBorder="1" applyProtection="1">
      <alignment vertical="center"/>
      <protection locked="0"/>
    </xf>
    <xf numFmtId="0" fontId="60" fillId="4" borderId="0" xfId="0" applyFont="1" applyFill="1" applyAlignment="1" applyProtection="1">
      <alignment horizontal="left" vertical="center"/>
      <protection locked="0"/>
    </xf>
    <xf numFmtId="2" fontId="58" fillId="4" borderId="0" xfId="0" applyNumberFormat="1" applyFont="1" applyFill="1" applyAlignment="1" applyProtection="1">
      <alignment vertical="center" wrapText="1"/>
      <protection locked="0"/>
    </xf>
    <xf numFmtId="0" fontId="60" fillId="4" borderId="0" xfId="0" applyFont="1" applyFill="1" applyAlignment="1" applyProtection="1">
      <alignment vertical="center" wrapText="1"/>
      <protection locked="0"/>
    </xf>
    <xf numFmtId="0" fontId="58" fillId="4" borderId="0" xfId="0" applyFont="1" applyFill="1" applyAlignment="1" applyProtection="1">
      <alignment vertical="center" wrapText="1"/>
      <protection locked="0"/>
    </xf>
    <xf numFmtId="0" fontId="58" fillId="4" borderId="112" xfId="0" applyFont="1" applyFill="1" applyBorder="1" applyProtection="1">
      <alignment vertical="center"/>
    </xf>
    <xf numFmtId="0" fontId="58" fillId="4" borderId="119" xfId="0" applyFont="1" applyFill="1" applyBorder="1" applyProtection="1">
      <alignment vertical="center"/>
      <protection locked="0"/>
    </xf>
    <xf numFmtId="0" fontId="58" fillId="4" borderId="108" xfId="0" applyFont="1" applyFill="1" applyBorder="1" applyProtection="1">
      <alignment vertical="center"/>
      <protection locked="0"/>
    </xf>
    <xf numFmtId="0" fontId="58" fillId="4" borderId="96" xfId="0" applyFont="1" applyFill="1" applyBorder="1" applyAlignment="1" applyProtection="1">
      <alignment horizontal="right" vertical="center"/>
      <protection locked="0"/>
    </xf>
    <xf numFmtId="0" fontId="2" fillId="0" borderId="0" xfId="20" applyAlignment="1" applyProtection="1">
      <alignment horizontal="left"/>
      <protection locked="0"/>
    </xf>
    <xf numFmtId="0" fontId="121" fillId="7" borderId="1" xfId="20" applyFont="1" applyFill="1" applyBorder="1" applyAlignment="1" applyProtection="1">
      <alignment horizontal="left" vertical="center" wrapText="1"/>
    </xf>
    <xf numFmtId="0" fontId="121" fillId="14" borderId="0" xfId="20" applyFont="1" applyFill="1" applyBorder="1" applyAlignment="1" applyProtection="1">
      <alignment horizontal="left" vertical="center" wrapText="1"/>
      <protection locked="0"/>
    </xf>
    <xf numFmtId="0" fontId="2" fillId="14" borderId="0" xfId="20" applyFill="1" applyBorder="1" applyAlignment="1" applyProtection="1">
      <alignment horizontal="left"/>
      <protection locked="0"/>
    </xf>
    <xf numFmtId="0" fontId="2" fillId="14" borderId="0" xfId="20" applyFill="1" applyAlignment="1" applyProtection="1">
      <alignment horizontal="left"/>
      <protection locked="0"/>
    </xf>
    <xf numFmtId="14" fontId="121" fillId="7" borderId="1" xfId="20" applyNumberFormat="1" applyFont="1" applyFill="1" applyBorder="1" applyAlignment="1" applyProtection="1">
      <alignment horizontal="left" vertical="center" wrapText="1"/>
    </xf>
    <xf numFmtId="0" fontId="121" fillId="0" borderId="1" xfId="20" applyFont="1" applyFill="1" applyBorder="1" applyAlignment="1" applyProtection="1">
      <alignment horizontal="left" vertical="center" wrapText="1"/>
      <protection locked="0"/>
    </xf>
    <xf numFmtId="0" fontId="2" fillId="7" borderId="1" xfId="20" applyFill="1" applyBorder="1" applyAlignment="1" applyProtection="1">
      <alignment horizontal="left" vertical="center"/>
    </xf>
    <xf numFmtId="0" fontId="121" fillId="7" borderId="15"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21" fillId="0" borderId="15" xfId="20" applyFont="1" applyFill="1" applyBorder="1" applyAlignment="1" applyProtection="1">
      <alignment horizontal="left" vertical="center" wrapText="1"/>
      <protection locked="0"/>
    </xf>
    <xf numFmtId="0" fontId="2" fillId="0" borderId="1" xfId="20" applyBorder="1" applyAlignment="1" applyProtection="1">
      <alignment horizontal="left"/>
      <protection locked="0"/>
    </xf>
    <xf numFmtId="0" fontId="121" fillId="0" borderId="1" xfId="20"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0" fontId="81" fillId="0" borderId="0" xfId="0" applyFont="1" applyAlignment="1" applyProtection="1">
      <alignment vertical="center" wrapText="1"/>
      <protection locked="0"/>
    </xf>
    <xf numFmtId="0" fontId="81" fillId="0" borderId="0" xfId="0" applyFont="1" applyFill="1" applyAlignment="1" applyProtection="1">
      <alignment vertical="center" wrapText="1"/>
      <protection locked="0"/>
    </xf>
    <xf numFmtId="0" fontId="81" fillId="0" borderId="0" xfId="0" applyNumberFormat="1" applyFont="1" applyFill="1" applyAlignment="1" applyProtection="1">
      <alignment vertical="center" wrapText="1"/>
      <protection locked="0"/>
    </xf>
    <xf numFmtId="0" fontId="81" fillId="4" borderId="0" xfId="0" applyFont="1" applyFill="1" applyAlignment="1" applyProtection="1">
      <alignment vertical="center" wrapText="1"/>
      <protection locked="0"/>
    </xf>
    <xf numFmtId="0" fontId="81" fillId="4" borderId="0" xfId="0" applyNumberFormat="1" applyFont="1" applyFill="1" applyAlignment="1" applyProtection="1">
      <alignment vertical="center" wrapText="1"/>
      <protection locked="0"/>
    </xf>
    <xf numFmtId="0" fontId="81" fillId="4" borderId="0" xfId="0" applyNumberFormat="1" applyFont="1" applyFill="1" applyAlignment="1" applyProtection="1">
      <alignment vertical="center"/>
      <protection locked="0"/>
    </xf>
    <xf numFmtId="0" fontId="114" fillId="4" borderId="149" xfId="0" applyFont="1" applyFill="1" applyBorder="1" applyAlignment="1" applyProtection="1">
      <alignment vertical="center" wrapText="1"/>
      <protection locked="0"/>
    </xf>
    <xf numFmtId="0" fontId="60" fillId="7" borderId="117" xfId="0" applyFont="1" applyFill="1" applyBorder="1" applyAlignment="1" applyProtection="1">
      <alignment vertical="center" wrapText="1"/>
    </xf>
    <xf numFmtId="0" fontId="60" fillId="7" borderId="109" xfId="0" applyFont="1" applyFill="1" applyBorder="1" applyAlignment="1" applyProtection="1">
      <alignment vertical="center" wrapText="1"/>
    </xf>
    <xf numFmtId="0" fontId="60" fillId="7" borderId="115" xfId="0" applyFont="1" applyFill="1" applyBorder="1" applyAlignment="1" applyProtection="1">
      <alignment vertical="center"/>
    </xf>
    <xf numFmtId="0" fontId="60" fillId="7" borderId="0" xfId="0" applyFont="1" applyFill="1" applyBorder="1" applyAlignment="1" applyProtection="1">
      <alignment vertical="center" wrapText="1"/>
    </xf>
    <xf numFmtId="0" fontId="58" fillId="7" borderId="25" xfId="0" applyFont="1" applyFill="1" applyBorder="1" applyAlignment="1" applyProtection="1">
      <alignment vertical="center"/>
    </xf>
    <xf numFmtId="0" fontId="60" fillId="7" borderId="18" xfId="0" applyFont="1" applyFill="1" applyBorder="1" applyAlignment="1" applyProtection="1">
      <alignment vertical="center" wrapText="1"/>
    </xf>
    <xf numFmtId="0" fontId="58" fillId="7" borderId="8" xfId="0" applyFont="1" applyFill="1" applyBorder="1" applyAlignment="1" applyProtection="1">
      <alignment vertical="center" wrapText="1"/>
    </xf>
    <xf numFmtId="49" fontId="122" fillId="0" borderId="9" xfId="7" applyNumberFormat="1" applyFont="1" applyFill="1" applyBorder="1" applyAlignment="1" applyProtection="1">
      <alignment horizontal="center" vertical="center" wrapText="1"/>
      <protection locked="0"/>
    </xf>
    <xf numFmtId="49" fontId="58" fillId="7" borderId="0" xfId="0" applyNumberFormat="1" applyFont="1" applyFill="1" applyBorder="1" applyAlignment="1" applyProtection="1">
      <alignment vertical="center" wrapText="1"/>
      <protection locked="0"/>
    </xf>
    <xf numFmtId="0" fontId="60" fillId="7" borderId="27" xfId="0" applyFont="1" applyFill="1" applyBorder="1" applyAlignment="1" applyProtection="1">
      <alignment vertical="center" wrapText="1"/>
    </xf>
    <xf numFmtId="0" fontId="58" fillId="7" borderId="108" xfId="0" applyFont="1" applyFill="1" applyBorder="1" applyAlignment="1" applyProtection="1">
      <alignment vertical="center" wrapText="1"/>
    </xf>
    <xf numFmtId="0" fontId="61" fillId="0" borderId="28" xfId="0" applyNumberFormat="1" applyFont="1" applyFill="1" applyBorder="1" applyAlignment="1" applyProtection="1">
      <alignment vertical="center" wrapText="1"/>
      <protection locked="0"/>
    </xf>
    <xf numFmtId="49" fontId="122" fillId="0" borderId="11" xfId="7" applyNumberFormat="1" applyFont="1" applyFill="1" applyBorder="1" applyAlignment="1" applyProtection="1">
      <alignment horizontal="center" vertical="center" wrapText="1"/>
      <protection locked="0"/>
    </xf>
    <xf numFmtId="49" fontId="58" fillId="7" borderId="27" xfId="0" applyNumberFormat="1" applyFont="1" applyFill="1" applyBorder="1" applyAlignment="1" applyProtection="1">
      <alignment vertical="center" wrapText="1"/>
    </xf>
    <xf numFmtId="0" fontId="61" fillId="0" borderId="11" xfId="0" applyFont="1" applyBorder="1" applyAlignment="1" applyProtection="1">
      <alignment vertical="center" wrapText="1"/>
      <protection locked="0"/>
    </xf>
    <xf numFmtId="0" fontId="122" fillId="0" borderId="11" xfId="7" applyFont="1" applyBorder="1" applyAlignment="1" applyProtection="1">
      <alignment horizontal="center" vertical="center" wrapText="1"/>
      <protection locked="0"/>
    </xf>
    <xf numFmtId="0" fontId="58" fillId="7" borderId="0" xfId="0" applyFont="1" applyFill="1" applyBorder="1" applyAlignment="1" applyProtection="1">
      <alignment vertical="center" wrapText="1"/>
      <protection locked="0"/>
    </xf>
    <xf numFmtId="49" fontId="58" fillId="7" borderId="110" xfId="0" applyNumberFormat="1" applyFont="1" applyFill="1" applyBorder="1" applyAlignment="1" applyProtection="1">
      <alignment vertical="center" wrapText="1"/>
    </xf>
    <xf numFmtId="0" fontId="58" fillId="7" borderId="62" xfId="0" applyFont="1" applyFill="1" applyBorder="1" applyAlignment="1" applyProtection="1">
      <alignment vertical="center" wrapText="1"/>
    </xf>
    <xf numFmtId="0" fontId="61" fillId="0" borderId="14" xfId="0" applyNumberFormat="1" applyFont="1" applyFill="1" applyBorder="1" applyAlignment="1" applyProtection="1">
      <alignment vertical="center" wrapText="1"/>
      <protection locked="0"/>
    </xf>
    <xf numFmtId="0" fontId="60" fillId="7" borderId="110" xfId="0" applyFont="1" applyFill="1" applyBorder="1" applyAlignment="1" applyProtection="1">
      <alignment vertical="center" wrapText="1"/>
    </xf>
    <xf numFmtId="0" fontId="58" fillId="7" borderId="13" xfId="0" applyFont="1" applyFill="1" applyBorder="1" applyAlignment="1" applyProtection="1">
      <alignment vertical="center" wrapText="1"/>
    </xf>
    <xf numFmtId="0" fontId="122" fillId="0" borderId="14" xfId="7" applyFont="1" applyBorder="1" applyAlignment="1" applyProtection="1">
      <alignment horizontal="center" vertical="center"/>
      <protection locked="0"/>
    </xf>
    <xf numFmtId="0" fontId="81" fillId="4" borderId="0" xfId="0" applyFont="1" applyFill="1" applyBorder="1" applyAlignment="1" applyProtection="1">
      <alignment vertical="center" wrapText="1"/>
      <protection locked="0"/>
    </xf>
    <xf numFmtId="0" fontId="60" fillId="7" borderId="0" xfId="0" applyFont="1" applyFill="1" applyBorder="1" applyAlignment="1" applyProtection="1">
      <alignment vertical="center" wrapText="1"/>
      <protection locked="0"/>
    </xf>
    <xf numFmtId="0" fontId="58" fillId="7" borderId="0" xfId="0" applyNumberFormat="1" applyFont="1" applyFill="1" applyBorder="1" applyAlignment="1" applyProtection="1">
      <alignment vertical="center" wrapText="1"/>
      <protection locked="0"/>
    </xf>
    <xf numFmtId="0" fontId="57" fillId="7" borderId="0" xfId="0" applyFont="1" applyFill="1" applyBorder="1" applyAlignment="1" applyProtection="1">
      <alignment vertical="center"/>
    </xf>
    <xf numFmtId="0" fontId="114" fillId="4" borderId="0" xfId="0" applyFont="1" applyFill="1" applyBorder="1" applyAlignment="1" applyProtection="1">
      <alignment vertical="center" wrapText="1"/>
      <protection locked="0"/>
    </xf>
    <xf numFmtId="0" fontId="93" fillId="7" borderId="150" xfId="0" applyFont="1" applyFill="1" applyBorder="1" applyAlignment="1" applyProtection="1">
      <alignment vertical="center"/>
    </xf>
    <xf numFmtId="0" fontId="60" fillId="7" borderId="49" xfId="0" applyFont="1" applyFill="1" applyBorder="1" applyAlignment="1" applyProtection="1">
      <alignment vertical="center" wrapText="1"/>
    </xf>
    <xf numFmtId="0" fontId="60" fillId="7" borderId="29" xfId="0" applyFont="1" applyFill="1" applyBorder="1" applyAlignment="1" applyProtection="1">
      <alignment vertical="center" wrapText="1"/>
    </xf>
    <xf numFmtId="0" fontId="60" fillId="7" borderId="139" xfId="0" applyFont="1" applyFill="1" applyBorder="1" applyAlignment="1" applyProtection="1">
      <alignment vertical="center" wrapText="1"/>
    </xf>
    <xf numFmtId="0" fontId="60" fillId="7" borderId="130" xfId="0" applyFont="1" applyFill="1" applyBorder="1" applyAlignment="1" applyProtection="1">
      <alignment vertical="center" wrapText="1"/>
    </xf>
    <xf numFmtId="0" fontId="58" fillId="7" borderId="7" xfId="0" applyFont="1" applyFill="1" applyBorder="1" applyAlignment="1" applyProtection="1">
      <alignment vertical="center" wrapText="1"/>
    </xf>
    <xf numFmtId="49" fontId="58" fillId="7" borderId="36" xfId="0" applyNumberFormat="1" applyFont="1" applyFill="1" applyBorder="1" applyAlignment="1" applyProtection="1">
      <alignment vertical="center" wrapText="1"/>
    </xf>
    <xf numFmtId="49" fontId="60" fillId="7" borderId="130" xfId="0" applyNumberFormat="1" applyFont="1" applyFill="1" applyBorder="1" applyAlignment="1" applyProtection="1">
      <alignment vertical="center" wrapText="1"/>
    </xf>
    <xf numFmtId="0" fontId="58" fillId="7" borderId="9" xfId="0" applyNumberFormat="1" applyFont="1" applyFill="1" applyBorder="1" applyAlignment="1" applyProtection="1">
      <alignment vertical="center" wrapText="1"/>
    </xf>
    <xf numFmtId="0" fontId="60" fillId="7" borderId="131" xfId="0" applyFont="1" applyFill="1" applyBorder="1" applyAlignment="1" applyProtection="1">
      <alignment vertical="center" wrapText="1"/>
    </xf>
    <xf numFmtId="0" fontId="58" fillId="7" borderId="58" xfId="0" applyFont="1" applyFill="1" applyBorder="1" applyAlignment="1" applyProtection="1">
      <alignment vertical="center" wrapText="1"/>
    </xf>
    <xf numFmtId="49" fontId="58" fillId="7" borderId="11" xfId="0" applyNumberFormat="1" applyFont="1" applyFill="1" applyBorder="1" applyAlignment="1" applyProtection="1">
      <alignment vertical="center" wrapText="1"/>
    </xf>
    <xf numFmtId="49" fontId="60" fillId="7" borderId="131" xfId="0" applyNumberFormat="1" applyFont="1" applyFill="1" applyBorder="1" applyAlignment="1" applyProtection="1">
      <alignment vertical="center" wrapText="1"/>
    </xf>
    <xf numFmtId="0" fontId="58" fillId="7" borderId="10" xfId="0" applyFont="1" applyFill="1" applyBorder="1" applyAlignment="1" applyProtection="1">
      <alignment vertical="center" wrapText="1"/>
    </xf>
    <xf numFmtId="0" fontId="58" fillId="7" borderId="11" xfId="0" applyNumberFormat="1" applyFont="1" applyFill="1" applyBorder="1" applyAlignment="1" applyProtection="1">
      <alignment vertical="center" wrapText="1"/>
    </xf>
    <xf numFmtId="0" fontId="58" fillId="0" borderId="11" xfId="0" applyNumberFormat="1" applyFont="1" applyFill="1" applyBorder="1" applyAlignment="1" applyProtection="1">
      <alignment vertical="center" wrapText="1"/>
      <protection locked="0"/>
    </xf>
    <xf numFmtId="0" fontId="58" fillId="2" borderId="11" xfId="0" applyNumberFormat="1" applyFont="1" applyFill="1" applyBorder="1" applyAlignment="1" applyProtection="1">
      <alignment vertical="center" wrapText="1"/>
      <protection locked="0"/>
    </xf>
    <xf numFmtId="49" fontId="60" fillId="7" borderId="132" xfId="0" applyNumberFormat="1" applyFont="1" applyFill="1" applyBorder="1" applyAlignment="1" applyProtection="1">
      <alignment vertical="center" wrapText="1"/>
    </xf>
    <xf numFmtId="0" fontId="58" fillId="7" borderId="12"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60" fillId="7" borderId="132" xfId="0" applyFont="1" applyFill="1" applyBorder="1" applyAlignment="1" applyProtection="1">
      <alignment vertical="center" wrapText="1"/>
    </xf>
    <xf numFmtId="0" fontId="58" fillId="7" borderId="14" xfId="0" applyNumberFormat="1" applyFont="1" applyFill="1" applyBorder="1" applyAlignment="1" applyProtection="1">
      <alignment vertical="center" wrapText="1"/>
    </xf>
    <xf numFmtId="0" fontId="58" fillId="7" borderId="0" xfId="0" applyFont="1" applyFill="1" applyAlignment="1" applyProtection="1">
      <alignment vertical="center" wrapText="1"/>
      <protection locked="0"/>
    </xf>
    <xf numFmtId="0" fontId="58" fillId="7" borderId="0" xfId="0" applyNumberFormat="1" applyFont="1" applyFill="1" applyAlignment="1" applyProtection="1">
      <alignment vertical="center" wrapText="1"/>
      <protection locked="0"/>
    </xf>
    <xf numFmtId="0" fontId="114" fillId="4" borderId="149" xfId="0" applyNumberFormat="1" applyFont="1" applyFill="1" applyBorder="1" applyAlignment="1" applyProtection="1">
      <alignment vertical="center" wrapText="1"/>
      <protection locked="0"/>
    </xf>
    <xf numFmtId="0" fontId="81" fillId="4" borderId="0" xfId="0" applyNumberFormat="1" applyFont="1" applyFill="1" applyBorder="1" applyAlignment="1" applyProtection="1">
      <alignment vertical="center" wrapText="1"/>
      <protection locked="0"/>
    </xf>
    <xf numFmtId="49" fontId="81" fillId="4" borderId="0" xfId="0" applyNumberFormat="1" applyFont="1" applyFill="1" applyBorder="1" applyAlignment="1" applyProtection="1">
      <alignment vertical="center" wrapText="1"/>
      <protection locked="0"/>
    </xf>
    <xf numFmtId="0" fontId="114" fillId="4" borderId="0" xfId="0" applyNumberFormat="1" applyFont="1" applyFill="1" applyBorder="1" applyAlignment="1" applyProtection="1">
      <alignment vertical="center" wrapText="1"/>
      <protection locked="0"/>
    </xf>
    <xf numFmtId="0" fontId="114" fillId="4" borderId="119" xfId="0" applyNumberFormat="1" applyFont="1" applyFill="1" applyBorder="1" applyAlignment="1" applyProtection="1">
      <alignment vertical="center" wrapText="1"/>
      <protection locked="0"/>
    </xf>
    <xf numFmtId="0" fontId="115" fillId="4" borderId="0" xfId="0" applyFont="1" applyFill="1" applyAlignment="1" applyProtection="1">
      <alignment vertical="center" wrapText="1"/>
      <protection locked="0"/>
    </xf>
    <xf numFmtId="0" fontId="115" fillId="4" borderId="0" xfId="0" applyNumberFormat="1" applyFont="1" applyFill="1" applyAlignment="1" applyProtection="1">
      <alignment vertical="center" wrapText="1"/>
      <protection locked="0"/>
    </xf>
    <xf numFmtId="0" fontId="114" fillId="4" borderId="151" xfId="0" applyFont="1" applyFill="1" applyBorder="1" applyAlignment="1" applyProtection="1">
      <alignment vertical="center" wrapText="1"/>
      <protection locked="0"/>
    </xf>
    <xf numFmtId="0" fontId="115" fillId="4" borderId="0" xfId="0" applyNumberFormat="1" applyFont="1" applyFill="1" applyAlignment="1" applyProtection="1">
      <alignment vertical="center"/>
      <protection locked="0"/>
    </xf>
    <xf numFmtId="0" fontId="115" fillId="4" borderId="0" xfId="0" applyFont="1" applyFill="1" applyAlignment="1" applyProtection="1">
      <alignment vertical="center"/>
      <protection locked="0"/>
    </xf>
    <xf numFmtId="0" fontId="81" fillId="0" borderId="0" xfId="0" applyFont="1" applyAlignment="1" applyProtection="1">
      <alignment vertical="center"/>
    </xf>
    <xf numFmtId="0" fontId="81"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9" fontId="58" fillId="0" borderId="0" xfId="0" applyNumberFormat="1" applyFont="1" applyAlignment="1" applyProtection="1">
      <alignment vertical="center"/>
    </xf>
    <xf numFmtId="0" fontId="58" fillId="0" borderId="0" xfId="0" applyFont="1" applyAlignment="1" applyProtection="1">
      <alignment horizontal="center" vertical="center"/>
    </xf>
    <xf numFmtId="0" fontId="111" fillId="7" borderId="0" xfId="0" applyFont="1" applyFill="1" applyAlignment="1" applyProtection="1">
      <alignment vertical="center" wrapText="1"/>
    </xf>
    <xf numFmtId="0" fontId="58" fillId="7" borderId="0" xfId="0" applyFont="1" applyFill="1" applyAlignment="1" applyProtection="1">
      <alignment vertical="center"/>
    </xf>
    <xf numFmtId="189" fontId="58" fillId="7" borderId="0" xfId="0" applyNumberFormat="1" applyFont="1" applyFill="1" applyAlignment="1" applyProtection="1">
      <alignment vertical="center"/>
      <protection locked="0"/>
    </xf>
    <xf numFmtId="0" fontId="91" fillId="7" borderId="19" xfId="0" applyFont="1" applyFill="1" applyBorder="1" applyAlignment="1" applyProtection="1">
      <alignment vertical="center" wrapText="1"/>
    </xf>
    <xf numFmtId="14" fontId="81" fillId="7" borderId="26" xfId="0" applyNumberFormat="1" applyFont="1" applyFill="1" applyBorder="1" applyAlignment="1" applyProtection="1">
      <alignment horizontal="center" vertical="center"/>
    </xf>
    <xf numFmtId="0" fontId="81" fillId="7" borderId="0" xfId="0" applyFont="1" applyFill="1" applyAlignment="1" applyProtection="1">
      <alignment vertical="center"/>
      <protection locked="0"/>
    </xf>
    <xf numFmtId="189" fontId="81" fillId="7" borderId="0" xfId="0" applyNumberFormat="1" applyFont="1" applyFill="1" applyAlignment="1" applyProtection="1">
      <alignment vertical="center"/>
      <protection locked="0"/>
    </xf>
    <xf numFmtId="0" fontId="81" fillId="7" borderId="0" xfId="0" applyFont="1" applyFill="1" applyAlignment="1" applyProtection="1">
      <alignment vertical="center" wrapText="1"/>
    </xf>
    <xf numFmtId="0" fontId="81" fillId="7" borderId="0" xfId="0" applyFont="1" applyFill="1" applyAlignment="1" applyProtection="1">
      <alignment vertical="center"/>
    </xf>
    <xf numFmtId="0" fontId="81" fillId="7" borderId="25" xfId="0" applyFont="1" applyFill="1" applyBorder="1" applyAlignment="1" applyProtection="1">
      <alignment vertical="center"/>
    </xf>
    <xf numFmtId="189" fontId="81" fillId="7" borderId="25" xfId="0" applyNumberFormat="1" applyFont="1" applyFill="1" applyBorder="1" applyAlignment="1" applyProtection="1">
      <alignment vertical="center"/>
    </xf>
    <xf numFmtId="0" fontId="81" fillId="7" borderId="7" xfId="14" applyFont="1" applyFill="1" applyBorder="1" applyAlignment="1" applyProtection="1">
      <alignment vertical="center" wrapText="1"/>
    </xf>
    <xf numFmtId="0" fontId="81" fillId="7" borderId="8" xfId="14" applyFont="1" applyFill="1" applyBorder="1" applyAlignment="1" applyProtection="1">
      <alignment vertical="center" wrapText="1"/>
    </xf>
    <xf numFmtId="0" fontId="81" fillId="7" borderId="32" xfId="14" applyFont="1" applyFill="1" applyBorder="1" applyAlignment="1" applyProtection="1">
      <alignment vertical="center" wrapText="1"/>
    </xf>
    <xf numFmtId="193" fontId="75" fillId="7" borderId="7" xfId="14" applyNumberFormat="1" applyFont="1" applyFill="1" applyBorder="1" applyAlignment="1" applyProtection="1">
      <alignment horizontal="center" vertical="center" wrapText="1"/>
    </xf>
    <xf numFmtId="0" fontId="81" fillId="7" borderId="8" xfId="0" applyFont="1" applyFill="1" applyBorder="1" applyAlignment="1" applyProtection="1">
      <alignment horizontal="center" vertical="center" wrapText="1"/>
    </xf>
    <xf numFmtId="189" fontId="81" fillId="7" borderId="8" xfId="0" applyNumberFormat="1" applyFont="1" applyFill="1" applyBorder="1" applyAlignment="1" applyProtection="1">
      <alignment horizontal="center" vertical="center" wrapText="1"/>
    </xf>
    <xf numFmtId="187" fontId="58" fillId="7" borderId="10" xfId="14" applyNumberFormat="1" applyFont="1" applyFill="1" applyBorder="1" applyAlignment="1" applyProtection="1">
      <alignment horizontal="left" vertical="center"/>
    </xf>
    <xf numFmtId="187" fontId="81" fillId="7" borderId="1" xfId="14" applyNumberFormat="1" applyFont="1" applyFill="1" applyBorder="1" applyAlignment="1" applyProtection="1">
      <alignment vertical="center"/>
    </xf>
    <xf numFmtId="187" fontId="81" fillId="10" borderId="2" xfId="14" applyNumberFormat="1" applyFont="1" applyFill="1" applyBorder="1" applyAlignment="1" applyProtection="1">
      <alignment vertical="center"/>
      <protection locked="0"/>
    </xf>
    <xf numFmtId="187" fontId="58" fillId="7" borderId="10" xfId="14" applyNumberFormat="1" applyFont="1" applyFill="1" applyBorder="1" applyAlignment="1" applyProtection="1">
      <alignment horizontal="center" vertical="center"/>
    </xf>
    <xf numFmtId="179" fontId="58" fillId="7" borderId="1" xfId="0" applyNumberFormat="1" applyFont="1" applyFill="1" applyBorder="1" applyAlignment="1" applyProtection="1">
      <alignment horizontal="center" vertical="center"/>
    </xf>
    <xf numFmtId="189" fontId="75" fillId="7" borderId="1" xfId="14" applyNumberFormat="1" applyFont="1" applyFill="1" applyBorder="1" applyAlignment="1" applyProtection="1">
      <alignment horizontal="center" vertical="center"/>
    </xf>
    <xf numFmtId="193" fontId="75" fillId="7" borderId="1" xfId="14" applyNumberFormat="1" applyFont="1" applyFill="1" applyBorder="1" applyAlignment="1" applyProtection="1">
      <alignment horizontal="center" vertical="center"/>
    </xf>
    <xf numFmtId="186" fontId="30" fillId="0" borderId="1" xfId="0" applyNumberFormat="1" applyFont="1" applyFill="1" applyBorder="1" applyAlignment="1" applyProtection="1">
      <alignment horizontal="center" vertical="center"/>
      <protection locked="0"/>
    </xf>
    <xf numFmtId="186" fontId="81" fillId="0" borderId="1" xfId="0" applyNumberFormat="1" applyFont="1" applyFill="1" applyBorder="1" applyAlignment="1" applyProtection="1">
      <alignment horizontal="center" vertical="center"/>
      <protection locked="0"/>
    </xf>
    <xf numFmtId="187" fontId="81" fillId="7" borderId="10" xfId="14" applyNumberFormat="1" applyFont="1" applyFill="1" applyBorder="1" applyAlignment="1" applyProtection="1">
      <alignment horizontal="left" vertical="center" wrapText="1"/>
      <protection locked="0"/>
    </xf>
    <xf numFmtId="187" fontId="81" fillId="7" borderId="2" xfId="14" applyNumberFormat="1" applyFont="1" applyFill="1" applyBorder="1" applyAlignment="1" applyProtection="1">
      <alignment vertical="center"/>
    </xf>
    <xf numFmtId="186" fontId="85" fillId="7" borderId="1" xfId="0" applyNumberFormat="1" applyFont="1" applyFill="1" applyBorder="1" applyAlignment="1" applyProtection="1">
      <alignment horizontal="center" vertical="center"/>
      <protection locked="0"/>
    </xf>
    <xf numFmtId="0" fontId="91" fillId="7" borderId="12" xfId="14" applyFont="1" applyFill="1" applyBorder="1" applyAlignment="1" applyProtection="1">
      <alignment vertical="center" wrapText="1"/>
    </xf>
    <xf numFmtId="0" fontId="91" fillId="7" borderId="13" xfId="14" applyFont="1" applyFill="1" applyBorder="1" applyAlignment="1" applyProtection="1">
      <alignment vertical="center"/>
    </xf>
    <xf numFmtId="0" fontId="91" fillId="7" borderId="12" xfId="14" applyFont="1" applyFill="1" applyBorder="1" applyAlignment="1" applyProtection="1">
      <alignment vertical="center"/>
    </xf>
    <xf numFmtId="0" fontId="91" fillId="7" borderId="13" xfId="14" applyFont="1" applyFill="1" applyBorder="1" applyAlignment="1" applyProtection="1">
      <alignment horizontal="center" vertical="center"/>
    </xf>
    <xf numFmtId="186" fontId="91" fillId="7" borderId="13" xfId="14" applyNumberFormat="1" applyFont="1" applyFill="1" applyBorder="1" applyAlignment="1" applyProtection="1">
      <alignment vertical="center"/>
    </xf>
    <xf numFmtId="0" fontId="60" fillId="7" borderId="0" xfId="0" applyFont="1" applyFill="1" applyAlignment="1" applyProtection="1">
      <alignment vertical="center" wrapText="1"/>
    </xf>
    <xf numFmtId="0" fontId="58" fillId="14" borderId="0" xfId="0" applyFont="1" applyFill="1" applyAlignment="1" applyProtection="1">
      <alignment vertical="center"/>
    </xf>
    <xf numFmtId="189" fontId="58" fillId="14" borderId="0" xfId="0" applyNumberFormat="1" applyFont="1" applyFill="1" applyAlignment="1" applyProtection="1">
      <alignment vertical="center"/>
      <protection locked="0"/>
    </xf>
    <xf numFmtId="0" fontId="81" fillId="14" borderId="0" xfId="0" applyFont="1" applyFill="1" applyAlignment="1" applyProtection="1">
      <alignment vertical="center"/>
    </xf>
    <xf numFmtId="0" fontId="81" fillId="14" borderId="0" xfId="0" applyFont="1" applyFill="1" applyAlignment="1" applyProtection="1">
      <alignment vertical="center"/>
      <protection locked="0"/>
    </xf>
    <xf numFmtId="189" fontId="81" fillId="14" borderId="0" xfId="0" applyNumberFormat="1" applyFont="1" applyFill="1" applyAlignment="1" applyProtection="1">
      <alignment vertical="center"/>
      <protection locked="0"/>
    </xf>
    <xf numFmtId="178" fontId="75" fillId="7" borderId="7" xfId="14" applyNumberFormat="1" applyFont="1" applyFill="1" applyBorder="1" applyAlignment="1" applyProtection="1">
      <alignment vertical="center" wrapText="1"/>
    </xf>
    <xf numFmtId="178" fontId="75" fillId="0" borderId="9" xfId="14" applyNumberFormat="1" applyFont="1" applyFill="1" applyBorder="1" applyAlignment="1" applyProtection="1">
      <alignment horizontal="center" vertical="center"/>
      <protection locked="0"/>
    </xf>
    <xf numFmtId="0" fontId="100" fillId="14" borderId="0" xfId="0" applyFont="1" applyFill="1" applyAlignment="1" applyProtection="1">
      <alignment vertical="center"/>
    </xf>
    <xf numFmtId="178" fontId="75" fillId="7" borderId="10" xfId="14" applyNumberFormat="1" applyFont="1" applyFill="1" applyBorder="1" applyAlignment="1" applyProtection="1">
      <alignment vertical="center" wrapText="1"/>
    </xf>
    <xf numFmtId="178" fontId="98" fillId="0" borderId="11" xfId="14" applyNumberFormat="1" applyFont="1" applyFill="1" applyBorder="1" applyAlignment="1" applyProtection="1">
      <alignment horizontal="center" vertical="center"/>
      <protection locked="0"/>
    </xf>
    <xf numFmtId="0" fontId="98" fillId="14" borderId="0" xfId="0" applyFont="1" applyFill="1" applyAlignment="1" applyProtection="1">
      <alignment vertical="center"/>
    </xf>
    <xf numFmtId="178" fontId="81" fillId="7" borderId="10" xfId="14" applyNumberFormat="1" applyFont="1" applyFill="1" applyBorder="1" applyAlignment="1" applyProtection="1">
      <alignment vertical="center" wrapText="1"/>
    </xf>
    <xf numFmtId="178" fontId="75" fillId="7" borderId="11" xfId="14" applyNumberFormat="1" applyFont="1" applyFill="1" applyBorder="1" applyAlignment="1" applyProtection="1">
      <alignment horizontal="center" vertical="center"/>
    </xf>
    <xf numFmtId="178" fontId="75" fillId="7" borderId="12" xfId="14" applyNumberFormat="1" applyFont="1" applyFill="1" applyBorder="1" applyAlignment="1" applyProtection="1">
      <alignment vertical="center" wrapText="1"/>
    </xf>
    <xf numFmtId="178" fontId="75" fillId="7" borderId="14" xfId="14" applyNumberFormat="1" applyFont="1" applyFill="1" applyBorder="1" applyAlignment="1" applyProtection="1">
      <alignment horizontal="center" vertical="center"/>
    </xf>
    <xf numFmtId="0" fontId="81" fillId="7" borderId="109" xfId="0" applyFont="1" applyFill="1" applyBorder="1" applyAlignment="1" applyProtection="1">
      <alignment horizontal="center" vertical="center"/>
    </xf>
    <xf numFmtId="0" fontId="81" fillId="14" borderId="26" xfId="0" applyFont="1" applyFill="1" applyBorder="1" applyAlignment="1" applyProtection="1">
      <alignment horizontal="center" vertical="center"/>
      <protection locked="0"/>
    </xf>
    <xf numFmtId="0" fontId="81" fillId="7" borderId="7" xfId="0" applyFont="1" applyFill="1" applyBorder="1" applyAlignment="1" applyProtection="1">
      <alignment vertical="center" wrapText="1"/>
    </xf>
    <xf numFmtId="0" fontId="20" fillId="0" borderId="9" xfId="14" applyNumberFormat="1" applyFont="1" applyFill="1" applyBorder="1" applyAlignment="1" applyProtection="1">
      <alignment horizontal="center" vertical="center"/>
      <protection locked="0"/>
    </xf>
    <xf numFmtId="0" fontId="123" fillId="14" borderId="0" xfId="0" applyFont="1" applyFill="1" applyAlignment="1" applyProtection="1">
      <alignment horizontal="left" vertical="center"/>
    </xf>
    <xf numFmtId="189" fontId="81" fillId="14" borderId="0" xfId="0" applyNumberFormat="1" applyFont="1" applyFill="1" applyAlignment="1" applyProtection="1">
      <alignment horizontal="center" vertical="center"/>
      <protection locked="0"/>
    </xf>
    <xf numFmtId="0" fontId="81" fillId="7" borderId="10" xfId="0" applyFont="1" applyFill="1" applyBorder="1" applyAlignment="1" applyProtection="1">
      <alignment vertical="center" wrapText="1"/>
    </xf>
    <xf numFmtId="0" fontId="20" fillId="0" borderId="11" xfId="14" applyNumberFormat="1" applyFont="1" applyFill="1" applyBorder="1" applyAlignment="1" applyProtection="1">
      <alignment horizontal="center" vertical="center"/>
      <protection locked="0"/>
    </xf>
    <xf numFmtId="0" fontId="98" fillId="14" borderId="0" xfId="0" applyFont="1" applyFill="1" applyAlignment="1" applyProtection="1">
      <alignment horizontal="center" vertical="center"/>
      <protection locked="0"/>
    </xf>
    <xf numFmtId="0" fontId="81" fillId="7" borderId="12" xfId="0" applyFont="1" applyFill="1" applyBorder="1" applyAlignment="1" applyProtection="1">
      <alignment vertical="center" wrapText="1"/>
    </xf>
    <xf numFmtId="0" fontId="20" fillId="0" borderId="14" xfId="14" applyNumberFormat="1" applyFont="1" applyFill="1" applyBorder="1" applyAlignment="1" applyProtection="1">
      <alignment horizontal="center" vertical="center"/>
      <protection locked="0"/>
    </xf>
    <xf numFmtId="0" fontId="98" fillId="14" borderId="0" xfId="0" applyFont="1" applyFill="1" applyAlignment="1" applyProtection="1">
      <alignment horizontal="left" vertical="center"/>
    </xf>
    <xf numFmtId="0" fontId="81" fillId="7" borderId="58" xfId="0" applyFont="1" applyFill="1" applyBorder="1" applyAlignment="1" applyProtection="1">
      <alignment vertical="center" wrapText="1"/>
    </xf>
    <xf numFmtId="0" fontId="20" fillId="0" borderId="28" xfId="14" applyNumberFormat="1" applyFont="1" applyFill="1" applyBorder="1" applyAlignment="1" applyProtection="1">
      <alignment horizontal="center" vertical="center"/>
      <protection locked="0"/>
    </xf>
    <xf numFmtId="0" fontId="75" fillId="7" borderId="11" xfId="14" applyNumberFormat="1" applyFont="1" applyFill="1" applyBorder="1" applyAlignment="1" applyProtection="1">
      <alignment horizontal="center" vertical="center"/>
    </xf>
    <xf numFmtId="0" fontId="98" fillId="14" borderId="0" xfId="0" applyFont="1" applyFill="1" applyAlignment="1" applyProtection="1">
      <alignment horizontal="left" vertical="center"/>
      <protection locked="0"/>
    </xf>
    <xf numFmtId="0" fontId="81" fillId="7" borderId="51" xfId="0" applyFont="1" applyFill="1" applyBorder="1" applyAlignment="1" applyProtection="1">
      <alignment vertical="center" wrapText="1"/>
    </xf>
    <xf numFmtId="0" fontId="20" fillId="0" borderId="40" xfId="14" applyNumberFormat="1" applyFont="1" applyFill="1" applyBorder="1" applyAlignment="1" applyProtection="1">
      <alignment horizontal="center" vertical="center"/>
      <protection locked="0"/>
    </xf>
    <xf numFmtId="186" fontId="58" fillId="0" borderId="9" xfId="0" applyNumberFormat="1" applyFont="1" applyFill="1" applyBorder="1" applyAlignment="1" applyProtection="1">
      <alignment horizontal="center" vertical="center"/>
      <protection locked="0"/>
    </xf>
    <xf numFmtId="0" fontId="21" fillId="14" borderId="0" xfId="0" applyFont="1" applyFill="1" applyAlignment="1" applyProtection="1">
      <alignment vertical="center"/>
    </xf>
    <xf numFmtId="186" fontId="58" fillId="0" borderId="11" xfId="0" applyNumberFormat="1" applyFont="1" applyFill="1" applyBorder="1" applyAlignment="1" applyProtection="1">
      <alignment horizontal="center" vertical="center"/>
      <protection locked="0"/>
    </xf>
    <xf numFmtId="189" fontId="98" fillId="14" borderId="0" xfId="0" applyNumberFormat="1" applyFont="1" applyFill="1" applyAlignment="1" applyProtection="1">
      <alignment vertical="center"/>
      <protection locked="0"/>
    </xf>
    <xf numFmtId="186" fontId="58" fillId="0" borderId="14" xfId="0" applyNumberFormat="1" applyFont="1" applyFill="1" applyBorder="1" applyAlignment="1" applyProtection="1">
      <alignment horizontal="center" vertical="center"/>
      <protection locked="0"/>
    </xf>
    <xf numFmtId="186" fontId="21" fillId="0" borderId="28" xfId="0" applyNumberFormat="1" applyFont="1" applyFill="1" applyBorder="1" applyAlignment="1" applyProtection="1">
      <alignment horizontal="center" vertical="center"/>
      <protection locked="0"/>
    </xf>
    <xf numFmtId="186" fontId="21" fillId="0" borderId="11" xfId="0" applyNumberFormat="1" applyFont="1" applyFill="1" applyBorder="1" applyAlignment="1" applyProtection="1">
      <alignment horizontal="center" vertical="center"/>
      <protection locked="0"/>
    </xf>
    <xf numFmtId="186" fontId="58" fillId="7" borderId="40" xfId="0" applyNumberFormat="1" applyFont="1" applyFill="1" applyBorder="1" applyAlignment="1" applyProtection="1">
      <alignment horizontal="center" vertical="center"/>
    </xf>
    <xf numFmtId="0" fontId="21" fillId="14" borderId="0" xfId="0" applyFont="1" applyFill="1" applyAlignment="1" applyProtection="1">
      <alignment vertical="center"/>
      <protection locked="0"/>
    </xf>
    <xf numFmtId="0" fontId="81" fillId="2" borderId="51" xfId="0" applyFont="1" applyFill="1" applyBorder="1" applyAlignment="1" applyProtection="1">
      <alignment vertical="center" wrapText="1"/>
      <protection locked="0"/>
    </xf>
    <xf numFmtId="10" fontId="58" fillId="7" borderId="40" xfId="0" applyNumberFormat="1" applyFont="1" applyFill="1" applyBorder="1" applyAlignment="1" applyProtection="1">
      <alignment horizontal="center" vertical="center"/>
    </xf>
    <xf numFmtId="10" fontId="21" fillId="0" borderId="10" xfId="0" applyNumberFormat="1" applyFont="1" applyFill="1" applyBorder="1" applyAlignment="1" applyProtection="1">
      <alignment vertical="center"/>
      <protection locked="0"/>
    </xf>
    <xf numFmtId="10" fontId="81" fillId="7" borderId="9" xfId="0" applyNumberFormat="1" applyFont="1" applyFill="1" applyBorder="1" applyAlignment="1" applyProtection="1">
      <alignment horizontal="center" vertical="center"/>
    </xf>
    <xf numFmtId="0" fontId="81" fillId="7" borderId="51" xfId="0" applyFont="1" applyFill="1" applyBorder="1" applyAlignment="1" applyProtection="1">
      <alignment horizontal="left" vertical="center" wrapText="1"/>
    </xf>
    <xf numFmtId="10" fontId="81" fillId="0" borderId="40" xfId="0" applyNumberFormat="1" applyFont="1" applyFill="1" applyBorder="1" applyAlignment="1" applyProtection="1">
      <alignment horizontal="center" vertical="center"/>
      <protection locked="0"/>
    </xf>
    <xf numFmtId="186" fontId="68" fillId="14" borderId="0" xfId="0" applyNumberFormat="1" applyFont="1" applyFill="1" applyAlignment="1" applyProtection="1">
      <alignment horizontal="center" vertical="center"/>
    </xf>
    <xf numFmtId="177" fontId="81" fillId="7" borderId="40" xfId="0" applyNumberFormat="1" applyFont="1" applyFill="1" applyBorder="1" applyAlignment="1" applyProtection="1">
      <alignment horizontal="center" vertical="center"/>
    </xf>
    <xf numFmtId="0" fontId="81" fillId="7" borderId="51" xfId="0" applyFont="1" applyFill="1" applyBorder="1" applyAlignment="1" applyProtection="1">
      <alignment horizontal="right" vertical="center" wrapText="1"/>
    </xf>
    <xf numFmtId="10" fontId="81" fillId="10" borderId="40" xfId="0" applyNumberFormat="1" applyFont="1" applyFill="1" applyBorder="1" applyAlignment="1" applyProtection="1">
      <alignment horizontal="center" vertical="center"/>
      <protection locked="0"/>
    </xf>
    <xf numFmtId="0" fontId="81" fillId="7" borderId="12" xfId="0" applyFont="1" applyFill="1" applyBorder="1" applyAlignment="1" applyProtection="1">
      <alignment horizontal="right" vertical="center" wrapText="1"/>
    </xf>
    <xf numFmtId="10" fontId="81" fillId="0" borderId="14" xfId="0" applyNumberFormat="1" applyFont="1" applyFill="1" applyBorder="1" applyAlignment="1" applyProtection="1">
      <alignment horizontal="center" vertical="center"/>
      <protection locked="0"/>
    </xf>
    <xf numFmtId="0" fontId="100" fillId="14" borderId="0" xfId="0" applyFont="1" applyFill="1" applyAlignment="1" applyProtection="1">
      <alignment horizontal="left" vertical="center"/>
    </xf>
    <xf numFmtId="0" fontId="81" fillId="7" borderId="27" xfId="0" applyFont="1" applyFill="1" applyBorder="1" applyAlignment="1" applyProtection="1">
      <alignment vertical="center" wrapText="1"/>
    </xf>
    <xf numFmtId="10" fontId="81" fillId="0" borderId="43" xfId="0" applyNumberFormat="1" applyFont="1" applyFill="1" applyBorder="1" applyAlignment="1" applyProtection="1">
      <alignment horizontal="center" vertical="center"/>
      <protection locked="0"/>
    </xf>
    <xf numFmtId="0" fontId="81" fillId="7" borderId="18" xfId="0" applyFont="1" applyFill="1" applyBorder="1" applyAlignment="1" applyProtection="1">
      <alignment vertical="center" wrapText="1"/>
    </xf>
    <xf numFmtId="10" fontId="81" fillId="7" borderId="36" xfId="0" applyNumberFormat="1" applyFont="1" applyFill="1" applyBorder="1" applyAlignment="1" applyProtection="1">
      <alignment horizontal="center" vertical="center"/>
    </xf>
    <xf numFmtId="10" fontId="81" fillId="7" borderId="14" xfId="0" applyNumberFormat="1" applyFont="1" applyFill="1" applyBorder="1" applyAlignment="1" applyProtection="1">
      <alignment horizontal="center" vertical="center"/>
    </xf>
    <xf numFmtId="180" fontId="81" fillId="7" borderId="36" xfId="0" applyNumberFormat="1" applyFont="1" applyFill="1" applyBorder="1" applyAlignment="1" applyProtection="1">
      <alignment horizontal="center" vertical="center"/>
    </xf>
    <xf numFmtId="0" fontId="81" fillId="10" borderId="11" xfId="0" applyFont="1" applyFill="1" applyBorder="1" applyAlignment="1" applyProtection="1">
      <alignment horizontal="center" vertical="center"/>
      <protection locked="0"/>
    </xf>
    <xf numFmtId="0" fontId="124" fillId="14" borderId="0" xfId="0" applyFont="1" applyFill="1" applyAlignment="1" applyProtection="1">
      <alignment vertical="center"/>
    </xf>
    <xf numFmtId="0" fontId="81" fillId="0" borderId="10" xfId="0" applyFont="1" applyBorder="1" applyAlignment="1" applyProtection="1">
      <alignment horizontal="right" vertical="center" wrapText="1"/>
      <protection locked="0"/>
    </xf>
    <xf numFmtId="0" fontId="81" fillId="0" borderId="11" xfId="0" applyFont="1" applyBorder="1" applyAlignment="1" applyProtection="1">
      <alignment horizontal="center" vertical="center"/>
      <protection locked="0"/>
    </xf>
    <xf numFmtId="0" fontId="81" fillId="0" borderId="12" xfId="0" applyFont="1" applyBorder="1" applyAlignment="1" applyProtection="1">
      <alignment horizontal="right" vertical="center" wrapText="1"/>
      <protection locked="0"/>
    </xf>
    <xf numFmtId="0" fontId="81" fillId="0" borderId="14" xfId="0" applyFont="1" applyBorder="1" applyAlignment="1" applyProtection="1">
      <alignment vertical="center"/>
      <protection locked="0"/>
    </xf>
    <xf numFmtId="0" fontId="58" fillId="14" borderId="0" xfId="0"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7" borderId="115" xfId="0" applyFont="1" applyFill="1" applyBorder="1" applyAlignment="1" applyProtection="1">
      <alignment vertical="center"/>
    </xf>
    <xf numFmtId="0" fontId="81" fillId="7" borderId="117" xfId="0" applyFont="1" applyFill="1" applyBorder="1" applyAlignment="1" applyProtection="1">
      <alignment horizontal="center" vertical="center"/>
    </xf>
    <xf numFmtId="0" fontId="81" fillId="7" borderId="25" xfId="0" applyFont="1" applyFill="1" applyBorder="1" applyAlignment="1" applyProtection="1">
      <alignment horizontal="center" vertical="center"/>
    </xf>
    <xf numFmtId="0" fontId="68" fillId="7" borderId="9" xfId="0" applyFont="1" applyFill="1" applyBorder="1" applyAlignment="1" applyProtection="1">
      <alignment horizontal="center" vertical="center" wrapText="1"/>
    </xf>
    <xf numFmtId="187" fontId="81" fillId="7" borderId="7" xfId="14" applyNumberFormat="1" applyFont="1" applyFill="1" applyBorder="1" applyAlignment="1" applyProtection="1">
      <alignment horizontal="center" vertical="center" wrapText="1"/>
    </xf>
    <xf numFmtId="0" fontId="81" fillId="7" borderId="8" xfId="14" applyFont="1" applyFill="1" applyBorder="1" applyAlignment="1" applyProtection="1">
      <alignment horizontal="center" vertical="center" wrapText="1"/>
    </xf>
    <xf numFmtId="189" fontId="81" fillId="7" borderId="8" xfId="14" applyNumberFormat="1" applyFont="1" applyFill="1" applyBorder="1" applyAlignment="1" applyProtection="1">
      <alignment horizontal="center" vertical="center" wrapText="1"/>
    </xf>
    <xf numFmtId="0" fontId="81" fillId="2" borderId="8" xfId="14" applyFont="1" applyFill="1" applyBorder="1" applyAlignment="1" applyProtection="1">
      <alignment horizontal="center" vertical="center" wrapText="1"/>
      <protection locked="0"/>
    </xf>
    <xf numFmtId="0" fontId="81" fillId="7" borderId="32" xfId="14" applyFont="1" applyFill="1" applyBorder="1" applyAlignment="1" applyProtection="1">
      <alignment horizontal="center" vertical="center" wrapText="1"/>
    </xf>
    <xf numFmtId="189" fontId="58" fillId="7" borderId="10" xfId="14" applyNumberFormat="1" applyFont="1" applyFill="1" applyBorder="1" applyAlignment="1" applyProtection="1">
      <alignment horizontal="center" vertical="center"/>
    </xf>
    <xf numFmtId="187" fontId="58" fillId="0" borderId="1" xfId="14" applyNumberFormat="1" applyFont="1" applyFill="1" applyBorder="1" applyAlignment="1" applyProtection="1">
      <alignment horizontal="center" vertical="center"/>
      <protection locked="0"/>
    </xf>
    <xf numFmtId="0" fontId="81" fillId="7" borderId="1" xfId="14" applyNumberFormat="1" applyFont="1" applyFill="1" applyBorder="1" applyAlignment="1" applyProtection="1">
      <alignment horizontal="center" vertical="center"/>
    </xf>
    <xf numFmtId="10" fontId="58" fillId="0" borderId="1" xfId="14" applyNumberFormat="1" applyFont="1" applyFill="1" applyBorder="1" applyAlignment="1" applyProtection="1">
      <alignment horizontal="center" vertical="center"/>
      <protection locked="0"/>
    </xf>
    <xf numFmtId="0" fontId="81" fillId="7" borderId="2" xfId="0" applyNumberFormat="1" applyFont="1" applyFill="1" applyBorder="1" applyAlignment="1" applyProtection="1">
      <alignment horizontal="center" vertical="center"/>
    </xf>
    <xf numFmtId="187" fontId="81" fillId="0" borderId="1" xfId="14" applyNumberFormat="1" applyFont="1" applyFill="1" applyBorder="1" applyAlignment="1" applyProtection="1">
      <alignment horizontal="center" vertical="center"/>
      <protection locked="0"/>
    </xf>
    <xf numFmtId="10" fontId="81" fillId="0" borderId="1" xfId="14" applyNumberFormat="1" applyFont="1" applyFill="1" applyBorder="1" applyAlignment="1" applyProtection="1">
      <alignment horizontal="center" vertical="center"/>
      <protection locked="0"/>
    </xf>
    <xf numFmtId="187" fontId="81" fillId="7" borderId="1" xfId="14" applyNumberFormat="1" applyFont="1" applyFill="1" applyBorder="1" applyAlignment="1" applyProtection="1">
      <alignment horizontal="center" vertical="center"/>
    </xf>
    <xf numFmtId="10" fontId="81" fillId="7" borderId="1" xfId="14" applyNumberFormat="1" applyFont="1" applyFill="1" applyBorder="1" applyAlignment="1" applyProtection="1">
      <alignment horizontal="center" vertical="center"/>
    </xf>
    <xf numFmtId="0" fontId="91" fillId="7" borderId="14" xfId="14" applyFont="1" applyFill="1" applyBorder="1" applyAlignment="1" applyProtection="1">
      <alignment vertical="center"/>
    </xf>
    <xf numFmtId="178" fontId="81" fillId="7" borderId="12" xfId="0" applyNumberFormat="1" applyFont="1" applyFill="1" applyBorder="1" applyAlignment="1" applyProtection="1">
      <alignment horizontal="center" vertical="center"/>
    </xf>
    <xf numFmtId="0" fontId="81" fillId="7" borderId="13" xfId="14" applyNumberFormat="1" applyFont="1" applyFill="1" applyBorder="1" applyAlignment="1" applyProtection="1">
      <alignment horizontal="center" vertical="center"/>
    </xf>
    <xf numFmtId="10" fontId="81" fillId="7" borderId="13" xfId="14" applyNumberFormat="1" applyFont="1" applyFill="1" applyBorder="1" applyAlignment="1" applyProtection="1">
      <alignment horizontal="center" vertical="center"/>
    </xf>
    <xf numFmtId="0" fontId="58" fillId="14" borderId="0" xfId="0" applyFont="1" applyFill="1" applyAlignment="1" applyProtection="1">
      <alignment horizontal="center" vertical="center"/>
      <protection locked="0"/>
    </xf>
    <xf numFmtId="0" fontId="81" fillId="14" borderId="0" xfId="0" applyFont="1" applyFill="1" applyBorder="1" applyAlignment="1" applyProtection="1">
      <alignment vertical="center"/>
      <protection locked="0"/>
    </xf>
    <xf numFmtId="0" fontId="58" fillId="7" borderId="139" xfId="0" applyFont="1" applyFill="1" applyBorder="1" applyAlignment="1" applyProtection="1">
      <alignment horizontal="center" vertical="center"/>
    </xf>
    <xf numFmtId="0" fontId="81" fillId="7" borderId="7" xfId="14" applyFont="1" applyFill="1" applyBorder="1" applyAlignment="1" applyProtection="1">
      <alignment horizontal="center" vertical="center" wrapText="1"/>
    </xf>
    <xf numFmtId="0" fontId="81" fillId="7" borderId="31" xfId="14" applyFont="1" applyFill="1" applyBorder="1" applyAlignment="1" applyProtection="1">
      <alignment horizontal="center" vertical="center" wrapText="1"/>
    </xf>
    <xf numFmtId="0" fontId="81" fillId="7" borderId="36" xfId="14" applyFont="1" applyFill="1" applyBorder="1" applyAlignment="1" applyProtection="1">
      <alignment horizontal="center" vertical="center" wrapText="1"/>
    </xf>
    <xf numFmtId="0" fontId="81" fillId="7" borderId="7" xfId="0" applyFont="1" applyFill="1" applyBorder="1" applyAlignment="1" applyProtection="1">
      <alignment horizontal="center" vertical="center" wrapText="1"/>
    </xf>
    <xf numFmtId="9" fontId="21" fillId="0" borderId="2" xfId="0" applyNumberFormat="1" applyFont="1" applyFill="1" applyBorder="1" applyAlignment="1" applyProtection="1">
      <alignment horizontal="center" vertical="center"/>
      <protection locked="0"/>
    </xf>
    <xf numFmtId="189" fontId="81" fillId="7" borderId="10" xfId="14" applyNumberFormat="1" applyFont="1" applyFill="1" applyBorder="1" applyAlignment="1" applyProtection="1">
      <alignment horizontal="center" vertical="center"/>
    </xf>
    <xf numFmtId="189" fontId="81" fillId="7" borderId="1" xfId="0" applyNumberFormat="1" applyFont="1" applyFill="1" applyBorder="1" applyAlignment="1" applyProtection="1">
      <alignment horizontal="center" vertical="center"/>
    </xf>
    <xf numFmtId="0" fontId="81" fillId="7" borderId="11" xfId="14" applyNumberFormat="1" applyFont="1" applyFill="1" applyBorder="1" applyAlignment="1" applyProtection="1">
      <alignment horizontal="center" vertical="center"/>
    </xf>
    <xf numFmtId="0" fontId="81" fillId="0" borderId="10" xfId="0" applyFont="1" applyBorder="1" applyAlignment="1" applyProtection="1">
      <alignment vertical="center"/>
      <protection locked="0"/>
    </xf>
    <xf numFmtId="186" fontId="81" fillId="0" borderId="1" xfId="0" applyNumberFormat="1" applyFont="1" applyBorder="1" applyAlignment="1" applyProtection="1">
      <alignment vertical="center"/>
      <protection locked="0"/>
    </xf>
    <xf numFmtId="186" fontId="81" fillId="7" borderId="2" xfId="0" applyNumberFormat="1" applyFont="1" applyFill="1" applyBorder="1" applyAlignment="1" applyProtection="1">
      <alignment horizontal="center" vertical="center"/>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vertical="center"/>
      <protection locked="0"/>
    </xf>
    <xf numFmtId="186" fontId="58" fillId="0" borderId="1" xfId="0" applyNumberFormat="1" applyFont="1" applyBorder="1" applyAlignment="1" applyProtection="1">
      <alignment vertical="center"/>
      <protection locked="0"/>
    </xf>
    <xf numFmtId="9" fontId="81" fillId="0" borderId="2" xfId="0" applyNumberFormat="1" applyFont="1" applyFill="1" applyBorder="1" applyAlignment="1" applyProtection="1">
      <alignment horizontal="center" vertical="center"/>
      <protection locked="0"/>
    </xf>
    <xf numFmtId="0" fontId="81" fillId="0" borderId="10" xfId="0" applyFont="1" applyBorder="1" applyAlignment="1" applyProtection="1">
      <alignment horizontal="center" vertical="center"/>
      <protection locked="0"/>
    </xf>
    <xf numFmtId="9" fontId="81" fillId="7" borderId="2" xfId="0" applyNumberFormat="1" applyFont="1" applyFill="1" applyBorder="1" applyAlignment="1" applyProtection="1">
      <alignment horizontal="center" vertical="center"/>
    </xf>
    <xf numFmtId="0" fontId="81" fillId="7" borderId="10" xfId="0" applyFont="1" applyFill="1" applyBorder="1" applyAlignment="1" applyProtection="1">
      <alignment vertical="center"/>
    </xf>
    <xf numFmtId="186" fontId="81" fillId="7" borderId="1" xfId="0" applyNumberFormat="1" applyFont="1" applyFill="1" applyBorder="1" applyAlignment="1" applyProtection="1">
      <alignment vertical="center"/>
    </xf>
    <xf numFmtId="186" fontId="81" fillId="7" borderId="2" xfId="0" applyNumberFormat="1" applyFont="1" applyFill="1" applyBorder="1" applyAlignment="1" applyProtection="1">
      <alignment vertical="center"/>
    </xf>
    <xf numFmtId="9" fontId="81" fillId="7" borderId="33" xfId="0" applyNumberFormat="1" applyFont="1" applyFill="1" applyBorder="1" applyAlignment="1" applyProtection="1">
      <alignment horizontal="center" vertical="center"/>
    </xf>
    <xf numFmtId="189" fontId="81" fillId="7" borderId="12" xfId="14" applyNumberFormat="1" applyFont="1" applyFill="1" applyBorder="1" applyAlignment="1" applyProtection="1">
      <alignment horizontal="center" vertical="center"/>
    </xf>
    <xf numFmtId="189" fontId="81" fillId="7" borderId="62" xfId="14" applyNumberFormat="1" applyFont="1" applyFill="1" applyBorder="1" applyAlignment="1" applyProtection="1">
      <alignment horizontal="center" vertical="center"/>
    </xf>
    <xf numFmtId="0" fontId="81" fillId="7" borderId="46" xfId="14" applyNumberFormat="1" applyFont="1" applyFill="1" applyBorder="1" applyAlignment="1" applyProtection="1">
      <alignment horizontal="center" vertical="center"/>
    </xf>
    <xf numFmtId="0" fontId="81" fillId="7" borderId="12" xfId="0" applyFont="1" applyFill="1" applyBorder="1" applyAlignment="1" applyProtection="1">
      <alignment vertical="center"/>
    </xf>
    <xf numFmtId="0" fontId="81" fillId="7" borderId="13" xfId="0" applyFont="1" applyFill="1" applyBorder="1" applyAlignment="1" applyProtection="1">
      <alignment vertical="center"/>
    </xf>
    <xf numFmtId="0" fontId="81" fillId="7" borderId="33" xfId="0" applyFont="1" applyFill="1" applyBorder="1" applyAlignment="1" applyProtection="1">
      <alignment vertical="center"/>
    </xf>
    <xf numFmtId="0" fontId="81" fillId="7" borderId="31" xfId="0" applyFont="1" applyFill="1" applyBorder="1" applyAlignment="1" applyProtection="1">
      <alignment vertical="center"/>
    </xf>
    <xf numFmtId="0" fontId="81" fillId="7" borderId="49" xfId="0" applyFont="1" applyFill="1" applyBorder="1" applyAlignment="1" applyProtection="1">
      <alignment vertical="center"/>
    </xf>
    <xf numFmtId="0" fontId="81" fillId="7" borderId="113" xfId="0" applyFont="1" applyFill="1" applyBorder="1" applyAlignment="1" applyProtection="1">
      <alignment horizontal="center" vertical="center" wrapText="1"/>
    </xf>
    <xf numFmtId="186" fontId="81" fillId="0" borderId="11" xfId="0" applyNumberFormat="1" applyFont="1" applyBorder="1" applyAlignment="1" applyProtection="1">
      <alignment vertical="center"/>
      <protection locked="0"/>
    </xf>
    <xf numFmtId="0" fontId="81" fillId="0" borderId="4" xfId="0" applyFont="1" applyBorder="1" applyAlignment="1" applyProtection="1">
      <alignment vertical="center"/>
      <protection locked="0"/>
    </xf>
    <xf numFmtId="186" fontId="81" fillId="0" borderId="2" xfId="0" applyNumberFormat="1" applyFont="1" applyBorder="1" applyAlignment="1" applyProtection="1">
      <alignment vertical="center"/>
      <protection locked="0"/>
    </xf>
    <xf numFmtId="0" fontId="81" fillId="7" borderId="10" xfId="0" applyFont="1" applyFill="1" applyBorder="1" applyAlignment="1" applyProtection="1">
      <alignment horizontal="center" vertical="center"/>
    </xf>
    <xf numFmtId="186" fontId="58" fillId="0" borderId="11" xfId="0" applyNumberFormat="1" applyFont="1" applyBorder="1" applyAlignment="1" applyProtection="1">
      <alignment vertical="center"/>
      <protection locked="0"/>
    </xf>
    <xf numFmtId="0" fontId="81" fillId="0" borderId="4" xfId="0" applyFont="1" applyBorder="1" applyAlignment="1" applyProtection="1">
      <alignment horizontal="center" vertical="center"/>
      <protection locked="0"/>
    </xf>
    <xf numFmtId="186" fontId="81" fillId="7" borderId="11" xfId="0" applyNumberFormat="1" applyFont="1" applyFill="1" applyBorder="1" applyAlignment="1" applyProtection="1">
      <alignment vertical="center"/>
    </xf>
    <xf numFmtId="0" fontId="81" fillId="7" borderId="4" xfId="0" applyFont="1" applyFill="1" applyBorder="1" applyAlignment="1" applyProtection="1">
      <alignment vertical="center"/>
    </xf>
    <xf numFmtId="186" fontId="81" fillId="7" borderId="1" xfId="0" applyNumberFormat="1" applyFont="1" applyFill="1" applyBorder="1" applyAlignment="1" applyProtection="1">
      <alignment horizontal="center" vertical="center"/>
    </xf>
    <xf numFmtId="0" fontId="81" fillId="7" borderId="14" xfId="0" applyFont="1" applyFill="1" applyBorder="1" applyAlignment="1" applyProtection="1">
      <alignment vertical="center"/>
    </xf>
    <xf numFmtId="0" fontId="81" fillId="7" borderId="62" xfId="0" applyFont="1" applyFill="1" applyBorder="1" applyAlignment="1" applyProtection="1">
      <alignment vertical="center"/>
    </xf>
    <xf numFmtId="0" fontId="81" fillId="7" borderId="29" xfId="0" applyFont="1" applyFill="1" applyBorder="1" applyAlignment="1" applyProtection="1">
      <alignment vertical="center"/>
    </xf>
    <xf numFmtId="0" fontId="81" fillId="7" borderId="4" xfId="0" applyFont="1" applyFill="1" applyBorder="1" applyAlignment="1" applyProtection="1">
      <alignment horizontal="center" vertical="center" wrapText="1"/>
      <protection locked="0"/>
    </xf>
    <xf numFmtId="0" fontId="81" fillId="2" borderId="4" xfId="0" applyFont="1" applyFill="1" applyBorder="1" applyAlignment="1" applyProtection="1">
      <alignment horizontal="center" vertical="center"/>
      <protection locked="0"/>
    </xf>
    <xf numFmtId="0" fontId="81" fillId="0" borderId="1" xfId="0" applyNumberFormat="1" applyFont="1" applyBorder="1" applyAlignment="1" applyProtection="1">
      <alignment horizontal="center" vertical="center"/>
      <protection locked="0"/>
    </xf>
    <xf numFmtId="10" fontId="81" fillId="0" borderId="1" xfId="0" applyNumberFormat="1" applyFont="1" applyBorder="1" applyAlignment="1" applyProtection="1">
      <alignment horizontal="center" vertical="center"/>
      <protection locked="0"/>
    </xf>
    <xf numFmtId="177" fontId="81" fillId="0" borderId="1" xfId="0" applyNumberFormat="1" applyFont="1" applyBorder="1" applyAlignment="1" applyProtection="1">
      <alignment horizontal="center" vertical="center"/>
      <protection locked="0"/>
    </xf>
    <xf numFmtId="186" fontId="81" fillId="0" borderId="11" xfId="0" applyNumberFormat="1" applyFont="1" applyBorder="1" applyAlignment="1" applyProtection="1">
      <alignment horizontal="center" vertical="center"/>
      <protection locked="0"/>
    </xf>
    <xf numFmtId="0" fontId="68" fillId="10" borderId="4" xfId="0"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77" fontId="58" fillId="0" borderId="1" xfId="0" applyNumberFormat="1" applyFont="1" applyBorder="1" applyAlignment="1" applyProtection="1">
      <alignment horizontal="center" vertical="center"/>
      <protection locked="0"/>
    </xf>
    <xf numFmtId="186" fontId="58" fillId="0" borderId="11" xfId="0" applyNumberFormat="1" applyFont="1" applyBorder="1" applyAlignment="1" applyProtection="1">
      <alignment horizontal="center" vertical="center"/>
      <protection locked="0"/>
    </xf>
    <xf numFmtId="10" fontId="81" fillId="0" borderId="1" xfId="0" applyNumberFormat="1" applyFont="1" applyFill="1" applyBorder="1" applyAlignment="1" applyProtection="1">
      <alignment horizontal="center" vertical="center"/>
      <protection locked="0"/>
    </xf>
    <xf numFmtId="177" fontId="81" fillId="0" borderId="1" xfId="0" applyNumberFormat="1" applyFont="1" applyFill="1" applyBorder="1" applyAlignment="1" applyProtection="1">
      <alignment horizontal="center" vertical="center"/>
      <protection locked="0"/>
    </xf>
    <xf numFmtId="186" fontId="81" fillId="0" borderId="11" xfId="0" applyNumberFormat="1" applyFont="1" applyFill="1" applyBorder="1" applyAlignment="1" applyProtection="1">
      <alignment horizontal="center" vertical="center"/>
      <protection locked="0"/>
    </xf>
    <xf numFmtId="10" fontId="81" fillId="7" borderId="1" xfId="0" applyNumberFormat="1" applyFont="1" applyFill="1" applyBorder="1" applyAlignment="1" applyProtection="1">
      <alignment horizontal="center" vertical="center"/>
    </xf>
    <xf numFmtId="177" fontId="81" fillId="7" borderId="1" xfId="0" applyNumberFormat="1" applyFont="1" applyFill="1" applyBorder="1" applyAlignment="1" applyProtection="1">
      <alignment horizontal="center" vertical="center"/>
    </xf>
    <xf numFmtId="186" fontId="81" fillId="7" borderId="11" xfId="0" applyNumberFormat="1" applyFont="1" applyFill="1" applyBorder="1" applyAlignment="1" applyProtection="1">
      <alignment horizontal="center" vertical="center"/>
    </xf>
    <xf numFmtId="0" fontId="81" fillId="7" borderId="1" xfId="0" applyFont="1" applyFill="1" applyBorder="1" applyAlignment="1" applyProtection="1">
      <alignment vertical="center" wrapText="1"/>
    </xf>
    <xf numFmtId="0" fontId="81" fillId="7" borderId="1" xfId="0" applyFont="1" applyFill="1" applyBorder="1" applyAlignment="1" applyProtection="1">
      <alignment horizontal="right" vertical="center" wrapText="1"/>
    </xf>
    <xf numFmtId="0" fontId="81" fillId="7" borderId="1" xfId="14" applyFont="1" applyFill="1" applyBorder="1" applyAlignment="1" applyProtection="1">
      <alignment horizontal="center" vertical="center" wrapText="1"/>
    </xf>
    <xf numFmtId="0" fontId="81" fillId="7" borderId="1" xfId="0" applyFont="1" applyFill="1" applyBorder="1" applyAlignment="1" applyProtection="1">
      <alignment horizontal="right" vertical="center"/>
    </xf>
    <xf numFmtId="189" fontId="58" fillId="4"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9" fontId="58" fillId="0" borderId="0" xfId="0" applyNumberFormat="1" applyFont="1" applyAlignment="1" applyProtection="1">
      <alignment vertical="center"/>
      <protection locked="0"/>
    </xf>
    <xf numFmtId="0" fontId="81" fillId="0" borderId="0" xfId="0" applyFont="1" applyProtection="1">
      <alignment vertical="center"/>
      <protection locked="0"/>
    </xf>
    <xf numFmtId="0" fontId="81" fillId="0" borderId="0" xfId="0" applyFont="1" applyFill="1" applyProtection="1">
      <alignment vertical="center"/>
      <protection locked="0"/>
    </xf>
    <xf numFmtId="178" fontId="76" fillId="7" borderId="1" xfId="14" applyNumberFormat="1" applyFont="1" applyFill="1" applyBorder="1" applyAlignment="1" applyProtection="1">
      <alignment horizontal="center" vertical="center"/>
    </xf>
    <xf numFmtId="0" fontId="81" fillId="14" borderId="0" xfId="0" applyFont="1" applyFill="1" applyProtection="1">
      <alignment vertical="center"/>
      <protection locked="0"/>
    </xf>
    <xf numFmtId="0" fontId="81" fillId="7" borderId="37" xfId="0" applyFont="1" applyFill="1" applyBorder="1" applyProtection="1">
      <alignment vertical="center"/>
    </xf>
    <xf numFmtId="0" fontId="81" fillId="7" borderId="38" xfId="0" applyFont="1" applyFill="1" applyBorder="1" applyProtection="1">
      <alignment vertical="center"/>
    </xf>
    <xf numFmtId="0" fontId="91" fillId="7" borderId="15" xfId="0" applyFont="1" applyFill="1" applyBorder="1" applyAlignment="1" applyProtection="1">
      <alignment vertical="center"/>
    </xf>
    <xf numFmtId="0" fontId="81" fillId="7" borderId="51" xfId="0" applyFont="1" applyFill="1" applyBorder="1" applyProtection="1">
      <alignment vertical="center"/>
    </xf>
    <xf numFmtId="0" fontId="91" fillId="7" borderId="8" xfId="0" applyFont="1" applyFill="1" applyBorder="1" applyAlignment="1" applyProtection="1">
      <alignment horizontal="center" vertical="center"/>
    </xf>
    <xf numFmtId="178" fontId="76" fillId="7" borderId="9" xfId="14" applyNumberFormat="1" applyFont="1" applyFill="1" applyBorder="1" applyAlignment="1" applyProtection="1">
      <alignment horizontal="center" vertical="center"/>
    </xf>
    <xf numFmtId="0" fontId="81" fillId="7" borderId="58" xfId="0" applyFont="1" applyFill="1" applyBorder="1" applyProtection="1">
      <alignment vertical="center"/>
    </xf>
    <xf numFmtId="0" fontId="81" fillId="7" borderId="51" xfId="0" applyFont="1" applyFill="1" applyBorder="1" applyAlignment="1" applyProtection="1">
      <alignment vertical="center"/>
    </xf>
    <xf numFmtId="0" fontId="81" fillId="7" borderId="1" xfId="0" applyFont="1" applyFill="1" applyBorder="1" applyAlignment="1" applyProtection="1">
      <alignment vertical="center"/>
    </xf>
    <xf numFmtId="178" fontId="81" fillId="7" borderId="11" xfId="0" applyNumberFormat="1" applyFont="1" applyFill="1" applyBorder="1" applyAlignment="1" applyProtection="1">
      <alignment vertical="center"/>
    </xf>
    <xf numFmtId="0" fontId="81" fillId="7" borderId="110" xfId="0" applyFont="1" applyFill="1" applyBorder="1" applyAlignment="1" applyProtection="1">
      <alignment vertical="center"/>
    </xf>
    <xf numFmtId="0" fontId="81" fillId="7" borderId="27" xfId="0" applyFont="1" applyFill="1" applyBorder="1" applyProtection="1">
      <alignment vertical="center"/>
    </xf>
    <xf numFmtId="0" fontId="81" fillId="7" borderId="15" xfId="0" applyFont="1" applyFill="1" applyBorder="1" applyProtection="1">
      <alignment vertical="center"/>
    </xf>
    <xf numFmtId="178" fontId="91" fillId="7" borderId="9" xfId="14" applyNumberFormat="1" applyFont="1" applyFill="1" applyBorder="1" applyAlignment="1" applyProtection="1">
      <alignment horizontal="center" vertical="center"/>
    </xf>
    <xf numFmtId="0" fontId="81" fillId="7" borderId="44" xfId="0" applyFont="1" applyFill="1" applyBorder="1" applyProtection="1">
      <alignment vertical="center"/>
    </xf>
    <xf numFmtId="0" fontId="81" fillId="7" borderId="62" xfId="0" applyFont="1" applyFill="1" applyBorder="1" applyProtection="1">
      <alignment vertical="center"/>
    </xf>
    <xf numFmtId="0" fontId="81" fillId="7" borderId="15" xfId="0" applyFont="1" applyFill="1" applyBorder="1" applyAlignment="1" applyProtection="1">
      <alignment vertical="center"/>
    </xf>
    <xf numFmtId="0" fontId="81" fillId="7" borderId="11" xfId="0" applyFont="1" applyFill="1" applyBorder="1" applyAlignment="1" applyProtection="1">
      <alignment vertical="center"/>
    </xf>
    <xf numFmtId="0" fontId="81" fillId="14" borderId="0" xfId="0" applyFont="1" applyFill="1" applyBorder="1" applyProtection="1">
      <alignment vertical="center"/>
      <protection locked="0"/>
    </xf>
    <xf numFmtId="0" fontId="81" fillId="7" borderId="27" xfId="0" applyFont="1" applyFill="1" applyBorder="1" applyAlignment="1" applyProtection="1">
      <alignment vertical="center"/>
    </xf>
    <xf numFmtId="0" fontId="81" fillId="7" borderId="64" xfId="0" applyFont="1" applyFill="1" applyBorder="1" applyAlignment="1" applyProtection="1">
      <alignment vertical="center"/>
    </xf>
    <xf numFmtId="0" fontId="81" fillId="0" borderId="11" xfId="0" applyFont="1" applyFill="1" applyBorder="1" applyAlignment="1" applyProtection="1">
      <alignment vertical="center"/>
      <protection locked="0"/>
    </xf>
    <xf numFmtId="0" fontId="81" fillId="7" borderId="40" xfId="0" applyFont="1" applyFill="1" applyBorder="1" applyAlignment="1" applyProtection="1">
      <alignment vertical="center"/>
    </xf>
    <xf numFmtId="0" fontId="91" fillId="7" borderId="37" xfId="0" applyFont="1" applyFill="1" applyBorder="1" applyProtection="1">
      <alignment vertical="center"/>
    </xf>
    <xf numFmtId="0" fontId="81" fillId="7" borderId="35" xfId="0" applyFont="1" applyFill="1" applyBorder="1" applyProtection="1">
      <alignment vertical="center"/>
    </xf>
    <xf numFmtId="0" fontId="91" fillId="7" borderId="35" xfId="0" applyFont="1" applyFill="1" applyBorder="1" applyAlignment="1" applyProtection="1">
      <alignment horizontal="center" vertical="center"/>
    </xf>
    <xf numFmtId="178" fontId="76" fillId="7" borderId="17" xfId="14" applyNumberFormat="1" applyFont="1" applyFill="1" applyBorder="1" applyAlignment="1" applyProtection="1">
      <alignment horizontal="center" vertical="center"/>
    </xf>
    <xf numFmtId="178" fontId="76" fillId="7" borderId="38" xfId="14" applyNumberFormat="1" applyFont="1" applyFill="1" applyBorder="1" applyAlignment="1" applyProtection="1">
      <alignment horizontal="center" vertical="center"/>
    </xf>
    <xf numFmtId="178" fontId="76" fillId="7" borderId="39" xfId="14" applyNumberFormat="1" applyFont="1" applyFill="1" applyBorder="1" applyAlignment="1" applyProtection="1">
      <alignment horizontal="center" vertical="center"/>
    </xf>
    <xf numFmtId="0" fontId="91" fillId="7" borderId="129" xfId="0" applyFont="1" applyFill="1" applyBorder="1" applyAlignment="1" applyProtection="1">
      <alignment horizontal="right" vertical="center"/>
    </xf>
    <xf numFmtId="0" fontId="81" fillId="7" borderId="16" xfId="0" applyFont="1" applyFill="1" applyBorder="1" applyAlignment="1" applyProtection="1">
      <alignment vertical="center"/>
    </xf>
    <xf numFmtId="0" fontId="81" fillId="7" borderId="0" xfId="0" applyFont="1" applyFill="1" applyBorder="1" applyAlignment="1" applyProtection="1">
      <alignment vertical="center"/>
    </xf>
    <xf numFmtId="0" fontId="91" fillId="7" borderId="16" xfId="0" applyFont="1" applyFill="1" applyBorder="1" applyAlignment="1" applyProtection="1">
      <alignment horizontal="center" vertical="center"/>
    </xf>
    <xf numFmtId="178" fontId="75" fillId="7" borderId="16" xfId="14" applyNumberFormat="1" applyFont="1" applyFill="1" applyBorder="1" applyAlignment="1" applyProtection="1">
      <alignment horizontal="center" vertical="center"/>
    </xf>
    <xf numFmtId="0" fontId="81" fillId="7" borderId="108" xfId="0" applyFont="1" applyFill="1" applyBorder="1" applyAlignment="1" applyProtection="1">
      <alignment horizontal="center" vertical="center"/>
    </xf>
    <xf numFmtId="0" fontId="81" fillId="7" borderId="28" xfId="0" applyFont="1" applyFill="1" applyBorder="1" applyAlignment="1" applyProtection="1">
      <alignment horizontal="center" vertical="center"/>
    </xf>
    <xf numFmtId="0" fontId="81" fillId="7" borderId="30" xfId="0" applyFont="1" applyFill="1" applyBorder="1" applyProtection="1">
      <alignment vertical="center"/>
    </xf>
    <xf numFmtId="187" fontId="108" fillId="0" borderId="1" xfId="14" applyNumberFormat="1" applyFont="1" applyFill="1" applyBorder="1" applyAlignment="1" applyProtection="1">
      <alignment vertical="center"/>
      <protection locked="0" hidden="1"/>
    </xf>
    <xf numFmtId="178" fontId="81" fillId="7" borderId="1" xfId="0" applyNumberFormat="1" applyFont="1" applyFill="1" applyBorder="1" applyAlignment="1" applyProtection="1">
      <alignment vertical="center"/>
    </xf>
    <xf numFmtId="0" fontId="58" fillId="0" borderId="4" xfId="0" applyFont="1" applyFill="1" applyBorder="1" applyProtection="1">
      <alignment vertical="center"/>
      <protection locked="0"/>
    </xf>
    <xf numFmtId="0" fontId="58" fillId="0" borderId="11" xfId="0" applyFont="1" applyFill="1" applyBorder="1" applyProtection="1">
      <alignment vertical="center"/>
      <protection locked="0"/>
    </xf>
    <xf numFmtId="0" fontId="81" fillId="7" borderId="30" xfId="0" applyFont="1" applyFill="1" applyBorder="1" applyAlignment="1" applyProtection="1">
      <alignment vertical="center"/>
    </xf>
    <xf numFmtId="187" fontId="58" fillId="0" borderId="1" xfId="14" applyNumberFormat="1" applyFont="1" applyFill="1" applyBorder="1" applyAlignment="1" applyProtection="1">
      <alignment vertical="center"/>
      <protection locked="0" hidden="1"/>
    </xf>
    <xf numFmtId="187" fontId="81" fillId="0" borderId="1" xfId="14" applyNumberFormat="1" applyFont="1" applyFill="1" applyBorder="1" applyAlignment="1" applyProtection="1">
      <alignment vertical="center"/>
      <protection locked="0"/>
    </xf>
    <xf numFmtId="0" fontId="81" fillId="0" borderId="112" xfId="0" applyFont="1" applyFill="1" applyBorder="1" applyProtection="1">
      <alignment vertical="center"/>
      <protection locked="0"/>
    </xf>
    <xf numFmtId="0" fontId="81" fillId="0" borderId="40" xfId="0" applyFont="1" applyFill="1" applyBorder="1" applyProtection="1">
      <alignment vertical="center"/>
      <protection locked="0"/>
    </xf>
    <xf numFmtId="187" fontId="81" fillId="0" borderId="4" xfId="14" applyNumberFormat="1" applyFont="1" applyFill="1" applyBorder="1" applyAlignment="1" applyProtection="1">
      <alignment vertical="center"/>
      <protection locked="0"/>
    </xf>
    <xf numFmtId="178" fontId="91" fillId="7" borderId="1" xfId="0" applyNumberFormat="1" applyFont="1" applyFill="1" applyBorder="1" applyAlignment="1" applyProtection="1">
      <alignment vertical="center"/>
    </xf>
    <xf numFmtId="178" fontId="91" fillId="7" borderId="1" xfId="0" applyNumberFormat="1" applyFont="1" applyFill="1" applyBorder="1" applyAlignment="1" applyProtection="1">
      <alignment horizontal="center" vertical="center"/>
    </xf>
    <xf numFmtId="178" fontId="91" fillId="7" borderId="11" xfId="0" applyNumberFormat="1" applyFont="1" applyFill="1" applyBorder="1" applyAlignment="1" applyProtection="1">
      <alignment vertical="center"/>
    </xf>
    <xf numFmtId="178" fontId="91" fillId="7" borderId="12" xfId="0" applyNumberFormat="1" applyFont="1" applyFill="1" applyBorder="1" applyAlignment="1" applyProtection="1">
      <alignment vertical="center"/>
    </xf>
    <xf numFmtId="0" fontId="81" fillId="7" borderId="42" xfId="0" applyFont="1" applyFill="1" applyBorder="1" applyProtection="1">
      <alignment vertical="center"/>
    </xf>
    <xf numFmtId="0" fontId="81" fillId="7" borderId="112" xfId="0" applyFont="1" applyFill="1" applyBorder="1" applyProtection="1">
      <alignment vertical="center"/>
    </xf>
    <xf numFmtId="0" fontId="81" fillId="7" borderId="40" xfId="0" applyFont="1" applyFill="1" applyBorder="1" applyProtection="1">
      <alignment vertical="center"/>
    </xf>
    <xf numFmtId="0" fontId="91" fillId="7" borderId="112" xfId="0" applyFont="1" applyFill="1" applyBorder="1" applyAlignment="1" applyProtection="1">
      <alignment horizontal="left" vertical="center"/>
    </xf>
    <xf numFmtId="0" fontId="81" fillId="7" borderId="61" xfId="0" applyFont="1" applyFill="1" applyBorder="1" applyAlignment="1" applyProtection="1">
      <alignment vertical="center"/>
    </xf>
    <xf numFmtId="0" fontId="81" fillId="7" borderId="33" xfId="0" applyFont="1" applyFill="1" applyBorder="1" applyProtection="1">
      <alignment vertical="center"/>
    </xf>
    <xf numFmtId="189" fontId="91" fillId="7" borderId="62" xfId="0" applyNumberFormat="1" applyFont="1" applyFill="1" applyBorder="1" applyAlignment="1" applyProtection="1">
      <alignment vertical="center"/>
    </xf>
    <xf numFmtId="189" fontId="91" fillId="7" borderId="13" xfId="0" applyNumberFormat="1" applyFont="1" applyFill="1" applyBorder="1" applyAlignment="1" applyProtection="1">
      <alignment vertical="center"/>
    </xf>
    <xf numFmtId="189" fontId="91" fillId="7" borderId="14" xfId="0" applyNumberFormat="1" applyFont="1" applyFill="1" applyBorder="1" applyAlignment="1" applyProtection="1">
      <alignment vertical="center"/>
    </xf>
    <xf numFmtId="0" fontId="81" fillId="7" borderId="16" xfId="0" applyFont="1" applyFill="1" applyBorder="1" applyProtection="1">
      <alignment vertical="center"/>
    </xf>
    <xf numFmtId="189" fontId="81" fillId="7" borderId="16" xfId="0" applyNumberFormat="1" applyFont="1" applyFill="1" applyBorder="1" applyProtection="1">
      <alignment vertical="center"/>
    </xf>
    <xf numFmtId="178" fontId="81" fillId="0" borderId="0" xfId="0" applyNumberFormat="1" applyFont="1" applyProtection="1">
      <alignment vertical="center"/>
      <protection locked="0"/>
    </xf>
    <xf numFmtId="0" fontId="81" fillId="7" borderId="11" xfId="0" applyFont="1" applyFill="1" applyBorder="1" applyAlignment="1" applyProtection="1">
      <alignment horizontal="center" vertical="center"/>
    </xf>
    <xf numFmtId="0" fontId="81" fillId="7" borderId="40" xfId="0" applyFont="1" applyFill="1" applyBorder="1" applyAlignment="1" applyProtection="1">
      <alignment horizontal="center" vertical="center"/>
    </xf>
    <xf numFmtId="0" fontId="81" fillId="0" borderId="14" xfId="0" applyFont="1" applyFill="1" applyBorder="1" applyAlignment="1" applyProtection="1">
      <alignment horizontal="center" vertical="center"/>
      <protection locked="0"/>
    </xf>
    <xf numFmtId="0" fontId="81" fillId="7" borderId="39" xfId="0" applyFont="1" applyFill="1" applyBorder="1" applyProtection="1">
      <alignment vertical="center"/>
    </xf>
    <xf numFmtId="189" fontId="91" fillId="10" borderId="11" xfId="0" applyNumberFormat="1" applyFont="1" applyFill="1" applyBorder="1" applyAlignment="1" applyProtection="1">
      <alignment horizontal="center" vertical="center"/>
      <protection locked="0"/>
    </xf>
    <xf numFmtId="189" fontId="81" fillId="7" borderId="11" xfId="0" applyNumberFormat="1" applyFont="1" applyFill="1" applyBorder="1" applyAlignment="1" applyProtection="1">
      <alignment horizontal="center" vertical="center"/>
    </xf>
    <xf numFmtId="0" fontId="81" fillId="7" borderId="10" xfId="0" applyFont="1" applyFill="1" applyBorder="1" applyProtection="1">
      <alignment vertical="center"/>
    </xf>
    <xf numFmtId="0" fontId="81" fillId="7" borderId="11" xfId="0" applyFont="1" applyFill="1" applyBorder="1" applyProtection="1">
      <alignment vertical="center"/>
    </xf>
    <xf numFmtId="0" fontId="81" fillId="0" borderId="10" xfId="0" applyFont="1" applyBorder="1" applyProtection="1">
      <alignment vertical="center"/>
      <protection locked="0"/>
    </xf>
    <xf numFmtId="0" fontId="81" fillId="0" borderId="1" xfId="0" applyFont="1" applyBorder="1" applyProtection="1">
      <alignment vertical="center"/>
      <protection locked="0"/>
    </xf>
    <xf numFmtId="0" fontId="81" fillId="0" borderId="51" xfId="0" applyFont="1" applyBorder="1" applyProtection="1">
      <alignment vertical="center"/>
      <protection locked="0"/>
    </xf>
    <xf numFmtId="0" fontId="81" fillId="0" borderId="15" xfId="0" applyFont="1" applyBorder="1" applyProtection="1">
      <alignment vertical="center"/>
      <protection locked="0"/>
    </xf>
    <xf numFmtId="178" fontId="91" fillId="7" borderId="114" xfId="0" applyNumberFormat="1" applyFont="1" applyFill="1" applyBorder="1" applyAlignment="1" applyProtection="1">
      <alignment vertical="center"/>
    </xf>
    <xf numFmtId="0" fontId="91" fillId="7" borderId="12" xfId="0" applyFont="1" applyFill="1" applyBorder="1" applyProtection="1">
      <alignment vertical="center"/>
    </xf>
    <xf numFmtId="0" fontId="91" fillId="7" borderId="13" xfId="0" applyFont="1" applyFill="1" applyBorder="1" applyProtection="1">
      <alignment vertical="center"/>
    </xf>
    <xf numFmtId="0" fontId="91" fillId="7" borderId="14" xfId="0" applyFont="1" applyFill="1" applyBorder="1" applyProtection="1">
      <alignment vertical="center"/>
    </xf>
    <xf numFmtId="0" fontId="81" fillId="7" borderId="14" xfId="0" applyFont="1" applyFill="1" applyBorder="1" applyProtection="1">
      <alignment vertical="center"/>
    </xf>
    <xf numFmtId="0" fontId="81" fillId="7" borderId="2" xfId="0" applyFont="1" applyFill="1" applyBorder="1" applyProtection="1">
      <alignment vertical="center"/>
    </xf>
    <xf numFmtId="178" fontId="81" fillId="7" borderId="1" xfId="0" applyNumberFormat="1" applyFont="1" applyFill="1" applyBorder="1" applyProtection="1">
      <alignment vertical="center"/>
    </xf>
    <xf numFmtId="0" fontId="0" fillId="0" borderId="0" xfId="0" applyAlignment="1">
      <alignment vertical="center" wrapText="1"/>
    </xf>
    <xf numFmtId="0" fontId="126" fillId="0" borderId="1" xfId="0" applyFont="1" applyBorder="1" applyAlignment="1">
      <alignment horizontal="center" vertical="center" wrapText="1"/>
    </xf>
    <xf numFmtId="0" fontId="126" fillId="0" borderId="1" xfId="0" applyFont="1" applyBorder="1" applyAlignment="1">
      <alignment vertical="center" wrapText="1"/>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178" fontId="58" fillId="0" borderId="0" xfId="0" applyNumberFormat="1" applyFont="1" applyAlignment="1" applyProtection="1">
      <alignment horizontal="center" vertical="center" wrapText="1"/>
    </xf>
    <xf numFmtId="0" fontId="81"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111" fillId="7" borderId="0" xfId="0" applyFont="1" applyFill="1" applyAlignment="1" applyProtection="1">
      <alignment horizontal="left" vertical="center"/>
    </xf>
    <xf numFmtId="0" fontId="81" fillId="7" borderId="0" xfId="0" applyFont="1" applyFill="1" applyAlignment="1" applyProtection="1">
      <alignment horizontal="center" vertical="center" wrapText="1"/>
    </xf>
    <xf numFmtId="0" fontId="58" fillId="7" borderId="0" xfId="0" applyFont="1" applyFill="1" applyAlignment="1" applyProtection="1">
      <alignment horizontal="center" vertical="center" wrapText="1"/>
    </xf>
    <xf numFmtId="189" fontId="58" fillId="0" borderId="1" xfId="0" applyNumberFormat="1" applyFont="1" applyBorder="1" applyAlignment="1" applyProtection="1">
      <alignment horizontal="center" vertical="center" wrapText="1"/>
      <protection locked="0"/>
    </xf>
    <xf numFmtId="189" fontId="30" fillId="7" borderId="1" xfId="0" applyNumberFormat="1" applyFont="1" applyFill="1" applyBorder="1" applyAlignment="1" applyProtection="1">
      <alignment horizontal="center" vertical="center" wrapText="1"/>
    </xf>
    <xf numFmtId="0" fontId="58" fillId="10" borderId="1" xfId="0" applyFont="1" applyFill="1" applyBorder="1" applyAlignment="1" applyProtection="1">
      <alignment horizontal="center" vertical="center" wrapText="1"/>
      <protection locked="0"/>
    </xf>
    <xf numFmtId="0" fontId="59" fillId="7" borderId="34" xfId="0" applyFont="1" applyFill="1" applyBorder="1" applyAlignment="1" applyProtection="1">
      <alignment horizontal="left" vertical="center"/>
    </xf>
    <xf numFmtId="189" fontId="58" fillId="7" borderId="0" xfId="0" applyNumberFormat="1" applyFont="1" applyFill="1" applyBorder="1" applyAlignment="1" applyProtection="1">
      <alignment horizontal="center" vertical="center" wrapText="1"/>
    </xf>
    <xf numFmtId="189" fontId="59" fillId="7" borderId="0" xfId="0" applyNumberFormat="1" applyFont="1" applyFill="1" applyBorder="1" applyAlignment="1" applyProtection="1">
      <alignment horizontal="center" vertical="center" wrapText="1"/>
    </xf>
    <xf numFmtId="178" fontId="58" fillId="7" borderId="1" xfId="0" applyNumberFormat="1" applyFont="1" applyFill="1" applyBorder="1" applyAlignment="1" applyProtection="1">
      <alignment horizontal="center" vertical="center" wrapText="1"/>
    </xf>
    <xf numFmtId="178" fontId="58" fillId="7" borderId="3" xfId="0" applyNumberFormat="1" applyFont="1" applyFill="1" applyBorder="1" applyAlignment="1" applyProtection="1">
      <alignment horizontal="center" vertical="center" wrapText="1"/>
    </xf>
    <xf numFmtId="178" fontId="58" fillId="7" borderId="4" xfId="0" applyNumberFormat="1" applyFont="1" applyFill="1" applyBorder="1" applyAlignment="1" applyProtection="1">
      <alignment horizontal="center" vertical="center" wrapText="1"/>
    </xf>
    <xf numFmtId="178" fontId="58" fillId="7" borderId="15" xfId="0" applyNumberFormat="1" applyFont="1" applyFill="1" applyBorder="1" applyAlignment="1" applyProtection="1">
      <alignment horizontal="center" vertical="center" wrapText="1"/>
    </xf>
    <xf numFmtId="0" fontId="58" fillId="7" borderId="50" xfId="0" applyFont="1" applyFill="1" applyBorder="1" applyAlignment="1" applyProtection="1">
      <alignment horizontal="center" vertical="center" wrapText="1"/>
    </xf>
    <xf numFmtId="0" fontId="58" fillId="7" borderId="95" xfId="0" applyFont="1" applyFill="1" applyBorder="1" applyAlignment="1" applyProtection="1">
      <alignment horizontal="center" vertical="center" wrapText="1"/>
    </xf>
    <xf numFmtId="0" fontId="58" fillId="7" borderId="50" xfId="0" applyFont="1" applyFill="1" applyBorder="1" applyAlignment="1" applyProtection="1">
      <alignment horizontal="center" vertical="center"/>
    </xf>
    <xf numFmtId="0" fontId="58" fillId="7" borderId="48" xfId="0" applyFont="1" applyFill="1" applyBorder="1" applyAlignment="1" applyProtection="1">
      <alignment horizontal="center" vertical="center"/>
    </xf>
    <xf numFmtId="189" fontId="58" fillId="7" borderId="2" xfId="0" applyNumberFormat="1" applyFont="1" applyFill="1" applyBorder="1" applyAlignment="1" applyProtection="1">
      <alignment horizontal="left" vertical="center"/>
    </xf>
    <xf numFmtId="189" fontId="58" fillId="7" borderId="0" xfId="0" applyNumberFormat="1" applyFont="1" applyFill="1" applyBorder="1" applyAlignment="1" applyProtection="1">
      <alignment horizontal="center" vertical="center"/>
    </xf>
    <xf numFmtId="0" fontId="58" fillId="7" borderId="119" xfId="0" applyFont="1" applyFill="1" applyBorder="1" applyAlignment="1" applyProtection="1">
      <alignment horizontal="center" vertical="center"/>
    </xf>
    <xf numFmtId="189" fontId="58" fillId="7" borderId="119" xfId="0" applyNumberFormat="1" applyFont="1" applyFill="1" applyBorder="1" applyAlignment="1" applyProtection="1">
      <alignment horizontal="center" vertical="center"/>
    </xf>
    <xf numFmtId="0" fontId="58" fillId="7" borderId="34" xfId="0" applyFont="1" applyFill="1" applyBorder="1" applyAlignment="1" applyProtection="1">
      <alignment horizontal="center" vertical="center" wrapText="1"/>
    </xf>
    <xf numFmtId="189" fontId="58" fillId="7" borderId="108"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58" fillId="10" borderId="16" xfId="0" applyFont="1" applyFill="1" applyBorder="1" applyAlignment="1" applyProtection="1">
      <alignment horizontal="center" vertical="center" wrapText="1"/>
      <protection locked="0"/>
    </xf>
    <xf numFmtId="178" fontId="58" fillId="0" borderId="16" xfId="0" applyNumberFormat="1" applyFont="1" applyFill="1" applyBorder="1" applyAlignment="1" applyProtection="1">
      <alignment horizontal="center" vertical="center" wrapText="1"/>
      <protection locked="0"/>
    </xf>
    <xf numFmtId="178" fontId="58" fillId="7" borderId="16" xfId="0" applyNumberFormat="1" applyFont="1" applyFill="1" applyBorder="1" applyAlignment="1" applyProtection="1">
      <alignment horizontal="center" vertical="center" wrapText="1"/>
    </xf>
    <xf numFmtId="0" fontId="58" fillId="0" borderId="1" xfId="0" applyFont="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2" borderId="16" xfId="0" applyFont="1" applyFill="1" applyBorder="1" applyAlignment="1" applyProtection="1">
      <alignment horizontal="center" vertical="center" wrapText="1"/>
      <protection locked="0"/>
    </xf>
    <xf numFmtId="178" fontId="81" fillId="7" borderId="1" xfId="0" applyNumberFormat="1" applyFont="1" applyFill="1" applyBorder="1" applyAlignment="1" applyProtection="1">
      <alignment horizontal="center" vertical="center" wrapText="1"/>
    </xf>
    <xf numFmtId="178" fontId="81" fillId="0" borderId="16" xfId="0" applyNumberFormat="1" applyFont="1" applyFill="1" applyBorder="1" applyAlignment="1" applyProtection="1">
      <alignment horizontal="center" vertical="center" wrapText="1"/>
      <protection locked="0"/>
    </xf>
    <xf numFmtId="178" fontId="81" fillId="7" borderId="16" xfId="0" applyNumberFormat="1" applyFont="1" applyFill="1" applyBorder="1" applyAlignment="1" applyProtection="1">
      <alignment horizontal="center" vertical="center" wrapText="1"/>
    </xf>
    <xf numFmtId="178" fontId="81" fillId="7" borderId="15" xfId="0" applyNumberFormat="1" applyFont="1" applyFill="1" applyBorder="1" applyAlignment="1" applyProtection="1">
      <alignment horizontal="center" vertical="center" wrapText="1"/>
    </xf>
    <xf numFmtId="0" fontId="59" fillId="7" borderId="3" xfId="0" applyFont="1" applyFill="1" applyBorder="1" applyAlignment="1" applyProtection="1">
      <alignment horizontal="center" vertical="center"/>
    </xf>
    <xf numFmtId="0" fontId="58" fillId="10" borderId="34" xfId="0" applyFont="1" applyFill="1" applyBorder="1" applyAlignment="1" applyProtection="1">
      <alignment horizontal="left" vertical="center"/>
      <protection locked="0"/>
    </xf>
    <xf numFmtId="0" fontId="58" fillId="10" borderId="2" xfId="0" applyFont="1" applyFill="1" applyBorder="1" applyAlignment="1" applyProtection="1">
      <alignment horizontal="left" vertical="center"/>
      <protection locked="0"/>
    </xf>
    <xf numFmtId="0" fontId="58" fillId="10" borderId="3" xfId="0" applyFont="1" applyFill="1" applyBorder="1" applyAlignment="1" applyProtection="1">
      <alignment horizontal="left" vertical="center"/>
      <protection locked="0"/>
    </xf>
    <xf numFmtId="0" fontId="59" fillId="7" borderId="4" xfId="0" applyFont="1" applyFill="1" applyBorder="1" applyAlignment="1" applyProtection="1">
      <alignment horizontal="left" vertical="center"/>
    </xf>
    <xf numFmtId="178" fontId="58" fillId="0" borderId="1" xfId="0" applyNumberFormat="1" applyFont="1" applyBorder="1" applyAlignment="1" applyProtection="1">
      <alignment vertical="center" wrapText="1"/>
      <protection locked="0"/>
    </xf>
    <xf numFmtId="178" fontId="81" fillId="0" borderId="1" xfId="0" applyNumberFormat="1" applyFont="1" applyBorder="1" applyAlignment="1" applyProtection="1">
      <alignment vertical="center" wrapText="1"/>
      <protection locked="0"/>
    </xf>
    <xf numFmtId="189" fontId="58" fillId="7" borderId="3" xfId="0" applyNumberFormat="1" applyFont="1" applyFill="1" applyBorder="1" applyAlignment="1" applyProtection="1">
      <alignment horizontal="center" vertical="center"/>
    </xf>
    <xf numFmtId="0" fontId="59" fillId="7" borderId="3" xfId="0" applyFont="1" applyFill="1" applyBorder="1" applyAlignment="1" applyProtection="1">
      <alignment horizontal="left" vertical="center"/>
    </xf>
    <xf numFmtId="189" fontId="58" fillId="7" borderId="4" xfId="0" applyNumberFormat="1" applyFont="1" applyFill="1" applyBorder="1" applyAlignment="1" applyProtection="1">
      <alignment horizontal="center" vertical="center"/>
    </xf>
    <xf numFmtId="0" fontId="59" fillId="7" borderId="95" xfId="0" applyFont="1" applyFill="1" applyBorder="1" applyAlignment="1" applyProtection="1">
      <alignment horizontal="center" vertical="center"/>
    </xf>
    <xf numFmtId="0" fontId="58" fillId="7" borderId="95" xfId="0" applyFont="1" applyFill="1" applyBorder="1" applyAlignment="1" applyProtection="1">
      <alignment horizontal="center" vertical="center"/>
    </xf>
    <xf numFmtId="0" fontId="58" fillId="7" borderId="4" xfId="0" applyFont="1" applyFill="1" applyBorder="1" applyAlignment="1" applyProtection="1">
      <alignment horizontal="right" vertical="center"/>
    </xf>
    <xf numFmtId="0" fontId="21" fillId="7" borderId="2" xfId="0" applyFont="1" applyFill="1" applyBorder="1" applyAlignment="1" applyProtection="1">
      <alignment horizontal="left" vertical="center"/>
    </xf>
    <xf numFmtId="189" fontId="58" fillId="7" borderId="16" xfId="0" applyNumberFormat="1" applyFont="1" applyFill="1" applyBorder="1" applyAlignment="1" applyProtection="1">
      <alignment horizontal="center" vertical="center" wrapText="1"/>
    </xf>
    <xf numFmtId="178" fontId="58" fillId="0" borderId="1" xfId="0" applyNumberFormat="1" applyFont="1" applyBorder="1" applyAlignment="1" applyProtection="1">
      <alignment horizontal="center" vertical="center" wrapText="1"/>
      <protection locked="0"/>
    </xf>
    <xf numFmtId="178" fontId="81" fillId="0" borderId="1" xfId="0" applyNumberFormat="1" applyFont="1" applyBorder="1" applyAlignment="1" applyProtection="1">
      <alignment horizontal="center" vertical="center" wrapText="1"/>
      <protection locked="0"/>
    </xf>
    <xf numFmtId="0" fontId="127" fillId="7" borderId="4" xfId="0" applyFont="1" applyFill="1" applyBorder="1" applyAlignment="1" applyProtection="1">
      <alignment horizontal="right" vertical="center"/>
    </xf>
    <xf numFmtId="0" fontId="53" fillId="7" borderId="0" xfId="0" applyFont="1" applyFill="1" applyAlignment="1" applyProtection="1">
      <alignment horizontal="left" vertical="center"/>
    </xf>
    <xf numFmtId="178" fontId="58" fillId="7" borderId="2" xfId="0" applyNumberFormat="1" applyFont="1" applyFill="1" applyBorder="1" applyAlignment="1" applyProtection="1">
      <alignment horizontal="center" vertical="center" wrapText="1"/>
    </xf>
    <xf numFmtId="0" fontId="58" fillId="7" borderId="15" xfId="0" applyFont="1" applyFill="1" applyBorder="1" applyAlignment="1" applyProtection="1">
      <alignment horizontal="center" vertical="center" wrapText="1"/>
    </xf>
    <xf numFmtId="0" fontId="58" fillId="7" borderId="108" xfId="0" applyFont="1" applyFill="1" applyBorder="1" applyAlignment="1" applyProtection="1">
      <alignment horizontal="left" vertical="center"/>
    </xf>
    <xf numFmtId="189" fontId="58" fillId="7" borderId="34" xfId="0" applyNumberFormat="1" applyFont="1" applyFill="1" applyBorder="1" applyAlignment="1" applyProtection="1">
      <alignment horizontal="center" vertical="center" wrapText="1"/>
    </xf>
    <xf numFmtId="0" fontId="58" fillId="7" borderId="64" xfId="0" applyFont="1" applyFill="1" applyBorder="1" applyAlignment="1" applyProtection="1">
      <alignment horizontal="center" vertical="center" wrapText="1"/>
    </xf>
    <xf numFmtId="178"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178" fontId="81" fillId="0" borderId="16" xfId="0" applyNumberFormat="1" applyFont="1" applyBorder="1" applyAlignment="1" applyProtection="1">
      <alignment horizontal="center" vertical="center" wrapText="1"/>
      <protection locked="0"/>
    </xf>
    <xf numFmtId="0" fontId="81" fillId="0" borderId="34" xfId="0" applyFont="1" applyBorder="1" applyAlignment="1" applyProtection="1">
      <alignment horizontal="center" vertical="center" wrapText="1"/>
      <protection locked="0"/>
    </xf>
    <xf numFmtId="0" fontId="58" fillId="7" borderId="48" xfId="0" applyFont="1" applyFill="1" applyBorder="1" applyAlignment="1" applyProtection="1">
      <alignment horizontal="center" vertical="center" wrapText="1"/>
    </xf>
    <xf numFmtId="0" fontId="30" fillId="7" borderId="1" xfId="0" applyFont="1" applyFill="1" applyBorder="1" applyAlignment="1" applyProtection="1">
      <alignment horizontal="left" vertical="center" wrapText="1"/>
      <protection locked="0"/>
    </xf>
    <xf numFmtId="0" fontId="58" fillId="8" borderId="2" xfId="0" applyFont="1" applyFill="1" applyBorder="1" applyAlignment="1" applyProtection="1">
      <alignment horizontal="center" vertical="center" wrapText="1"/>
      <protection locked="0"/>
    </xf>
    <xf numFmtId="178" fontId="58" fillId="0" borderId="1" xfId="0" applyNumberFormat="1" applyFont="1" applyFill="1" applyBorder="1" applyAlignment="1" applyProtection="1">
      <alignment horizontal="center" vertical="center" wrapText="1"/>
      <protection locked="0"/>
    </xf>
    <xf numFmtId="178" fontId="58" fillId="7" borderId="0" xfId="0" applyNumberFormat="1" applyFont="1" applyFill="1" applyAlignment="1" applyProtection="1">
      <alignment horizontal="center" vertical="center" wrapText="1"/>
    </xf>
    <xf numFmtId="0" fontId="58" fillId="7" borderId="7" xfId="0" applyFont="1" applyFill="1" applyBorder="1" applyAlignment="1" applyProtection="1">
      <alignment horizontal="center" vertical="center" wrapText="1"/>
    </xf>
    <xf numFmtId="178" fontId="58" fillId="7" borderId="8" xfId="0" applyNumberFormat="1" applyFont="1" applyFill="1" applyBorder="1" applyAlignment="1" applyProtection="1">
      <alignment horizontal="center" vertical="center" wrapText="1"/>
    </xf>
    <xf numFmtId="178" fontId="58" fillId="7" borderId="10" xfId="0" applyNumberFormat="1" applyFont="1" applyFill="1" applyBorder="1" applyAlignment="1" applyProtection="1">
      <alignment horizontal="center" vertical="center" wrapText="1"/>
    </xf>
    <xf numFmtId="189" fontId="58" fillId="7" borderId="34" xfId="0" applyNumberFormat="1" applyFont="1" applyFill="1" applyBorder="1" applyAlignment="1" applyProtection="1">
      <alignment horizontal="center" vertical="center"/>
    </xf>
    <xf numFmtId="0" fontId="59" fillId="7" borderId="96" xfId="0" applyFont="1" applyFill="1" applyBorder="1" applyAlignment="1" applyProtection="1">
      <alignment horizontal="center" vertical="center"/>
    </xf>
    <xf numFmtId="0" fontId="58" fillId="7" borderId="108" xfId="0" applyFont="1" applyFill="1" applyBorder="1" applyAlignment="1" applyProtection="1">
      <alignment horizontal="center" vertical="center"/>
    </xf>
    <xf numFmtId="0" fontId="58" fillId="7" borderId="119" xfId="0" applyFont="1" applyFill="1" applyBorder="1" applyAlignment="1" applyProtection="1">
      <alignment horizontal="center" vertical="center" wrapText="1"/>
    </xf>
    <xf numFmtId="189" fontId="58" fillId="7" borderId="1" xfId="0" applyNumberFormat="1" applyFont="1" applyFill="1" applyBorder="1" applyAlignment="1" applyProtection="1">
      <alignment horizontal="center" vertical="center"/>
    </xf>
    <xf numFmtId="0" fontId="81" fillId="7" borderId="4" xfId="0" applyFont="1" applyFill="1" applyBorder="1" applyAlignment="1" applyProtection="1">
      <alignment horizontal="center" vertical="center" wrapText="1"/>
    </xf>
    <xf numFmtId="189" fontId="58" fillId="7" borderId="108" xfId="0" applyNumberFormat="1" applyFont="1" applyFill="1" applyBorder="1" applyAlignment="1" applyProtection="1">
      <alignment horizontal="center" vertical="center"/>
    </xf>
    <xf numFmtId="178" fontId="58" fillId="7" borderId="9" xfId="0" applyNumberFormat="1" applyFont="1" applyFill="1" applyBorder="1" applyAlignment="1" applyProtection="1">
      <alignment horizontal="center" vertical="center" wrapText="1"/>
    </xf>
    <xf numFmtId="178" fontId="58" fillId="7" borderId="11" xfId="0" applyNumberFormat="1" applyFont="1" applyFill="1" applyBorder="1" applyAlignment="1" applyProtection="1">
      <alignment horizontal="center" vertical="center" wrapText="1"/>
    </xf>
    <xf numFmtId="0" fontId="58" fillId="7" borderId="69" xfId="0" applyFont="1" applyFill="1" applyBorder="1" applyAlignment="1" applyProtection="1">
      <alignment horizontal="center" vertical="center" wrapText="1"/>
    </xf>
    <xf numFmtId="0" fontId="58" fillId="7" borderId="28" xfId="0" applyFont="1" applyFill="1" applyBorder="1" applyAlignment="1" applyProtection="1">
      <alignment horizontal="center" vertical="center"/>
    </xf>
    <xf numFmtId="0" fontId="58" fillId="7" borderId="40" xfId="0" applyFont="1" applyFill="1" applyBorder="1" applyAlignment="1" applyProtection="1">
      <alignment horizontal="center" vertical="center"/>
    </xf>
    <xf numFmtId="178" fontId="81" fillId="7" borderId="11" xfId="0" applyNumberFormat="1" applyFont="1" applyFill="1" applyBorder="1" applyAlignment="1" applyProtection="1">
      <alignment horizontal="center" vertical="center" wrapText="1"/>
    </xf>
    <xf numFmtId="178" fontId="81" fillId="0" borderId="1"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0" fontId="81" fillId="0" borderId="2" xfId="0" applyFont="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xf>
    <xf numFmtId="178" fontId="81"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60" fillId="0" borderId="152" xfId="0" applyFont="1" applyBorder="1" applyAlignment="1" applyProtection="1">
      <alignment vertical="center" wrapText="1"/>
    </xf>
    <xf numFmtId="49" fontId="58" fillId="0" borderId="50"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7" borderId="19" xfId="0" applyFont="1" applyFill="1" applyBorder="1" applyAlignment="1" applyProtection="1">
      <alignment vertical="center" wrapText="1"/>
    </xf>
    <xf numFmtId="0" fontId="58" fillId="7"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14" borderId="0" xfId="0" applyFont="1" applyFill="1" applyBorder="1" applyAlignment="1" applyProtection="1">
      <alignment vertical="center" wrapText="1"/>
    </xf>
    <xf numFmtId="0" fontId="58" fillId="14" borderId="0" xfId="0" applyFont="1" applyFill="1" applyBorder="1" applyAlignment="1" applyProtection="1">
      <alignment horizontal="center" vertical="center" wrapText="1"/>
      <protection locked="0"/>
    </xf>
    <xf numFmtId="0" fontId="58" fillId="14" borderId="0" xfId="0" applyFont="1" applyFill="1" applyBorder="1" applyAlignment="1" applyProtection="1">
      <alignment vertical="center" wrapText="1"/>
      <protection locked="0"/>
    </xf>
    <xf numFmtId="14" fontId="58" fillId="0" borderId="15" xfId="0" applyNumberFormat="1" applyFont="1" applyFill="1" applyBorder="1" applyAlignment="1" applyProtection="1">
      <alignment horizontal="left" vertical="center"/>
      <protection locked="0"/>
    </xf>
    <xf numFmtId="0" fontId="58" fillId="19" borderId="1" xfId="0" applyFont="1" applyFill="1" applyBorder="1" applyAlignment="1" applyProtection="1">
      <alignment vertical="center" wrapText="1"/>
    </xf>
    <xf numFmtId="14" fontId="58" fillId="2" borderId="6" xfId="0" applyNumberFormat="1" applyFont="1" applyFill="1" applyBorder="1" applyAlignment="1" applyProtection="1">
      <alignment horizontal="center" vertical="center"/>
      <protection locked="0"/>
    </xf>
    <xf numFmtId="0" fontId="58" fillId="7" borderId="6" xfId="0" applyFont="1" applyFill="1" applyBorder="1" applyAlignment="1" applyProtection="1">
      <alignment horizontal="right" vertical="center" shrinkToFit="1"/>
    </xf>
    <xf numFmtId="0" fontId="58" fillId="7" borderId="6" xfId="0" applyNumberFormat="1" applyFont="1" applyFill="1" applyBorder="1" applyAlignment="1" applyProtection="1">
      <alignment horizontal="right" vertical="center" shrinkToFit="1"/>
    </xf>
    <xf numFmtId="0" fontId="58" fillId="7" borderId="34" xfId="0" applyFont="1" applyFill="1" applyBorder="1" applyAlignment="1" applyProtection="1">
      <alignment vertical="center" wrapText="1"/>
    </xf>
    <xf numFmtId="0" fontId="58" fillId="4" borderId="153" xfId="0" applyFont="1" applyFill="1" applyBorder="1" applyAlignment="1" applyProtection="1">
      <alignment vertical="center" wrapText="1"/>
      <protection locked="0"/>
    </xf>
    <xf numFmtId="0" fontId="58" fillId="4" borderId="96" xfId="0" applyFont="1" applyFill="1" applyBorder="1" applyAlignment="1" applyProtection="1">
      <alignment vertical="center" wrapText="1"/>
    </xf>
    <xf numFmtId="0" fontId="58" fillId="4" borderId="108" xfId="0" applyFont="1" applyFill="1" applyBorder="1" applyAlignment="1" applyProtection="1">
      <alignment vertical="center" wrapText="1"/>
    </xf>
    <xf numFmtId="0" fontId="58" fillId="7" borderId="48" xfId="0" applyFont="1" applyFill="1" applyBorder="1" applyAlignment="1" applyProtection="1">
      <alignment vertical="center" wrapText="1"/>
    </xf>
    <xf numFmtId="0" fontId="58" fillId="4" borderId="2" xfId="0" applyFont="1" applyFill="1" applyBorder="1" applyAlignment="1" applyProtection="1">
      <alignment vertical="center"/>
      <protection locked="0"/>
    </xf>
    <xf numFmtId="0" fontId="58" fillId="4" borderId="3" xfId="0" applyFont="1" applyFill="1" applyBorder="1" applyAlignment="1" applyProtection="1">
      <alignment vertical="center" wrapText="1"/>
    </xf>
    <xf numFmtId="0" fontId="58" fillId="4" borderId="112" xfId="0" applyFont="1" applyFill="1" applyBorder="1" applyAlignment="1" applyProtection="1">
      <alignment vertical="center" wrapText="1"/>
    </xf>
    <xf numFmtId="0" fontId="58" fillId="4" borderId="2" xfId="0" applyFont="1" applyFill="1" applyBorder="1" applyAlignment="1" applyProtection="1">
      <alignment vertical="center" wrapText="1"/>
      <protection locked="0"/>
    </xf>
    <xf numFmtId="0" fontId="58" fillId="19" borderId="48" xfId="0" applyFont="1" applyFill="1" applyBorder="1" applyAlignment="1" applyProtection="1">
      <alignment vertical="center" wrapText="1"/>
    </xf>
    <xf numFmtId="0" fontId="58" fillId="2" borderId="2" xfId="0" applyFont="1" applyFill="1" applyBorder="1" applyAlignment="1" applyProtection="1">
      <alignment horizontal="left" vertical="center" wrapText="1"/>
      <protection locked="0"/>
    </xf>
    <xf numFmtId="0" fontId="58" fillId="2" borderId="3" xfId="0" applyFont="1" applyFill="1" applyBorder="1" applyAlignment="1" applyProtection="1">
      <alignment vertical="center" wrapText="1"/>
    </xf>
    <xf numFmtId="0" fontId="58" fillId="2" borderId="15" xfId="0" applyFont="1" applyFill="1" applyBorder="1" applyAlignment="1" applyProtection="1">
      <alignment horizontal="left" vertical="center"/>
      <protection locked="0"/>
    </xf>
    <xf numFmtId="0" fontId="58" fillId="2" borderId="112" xfId="0" applyFont="1" applyFill="1" applyBorder="1" applyAlignment="1" applyProtection="1">
      <alignment vertical="center" wrapText="1"/>
    </xf>
    <xf numFmtId="0" fontId="58" fillId="19" borderId="127" xfId="0" applyFont="1" applyFill="1" applyBorder="1" applyAlignment="1" applyProtection="1">
      <alignment vertical="center" wrapText="1"/>
    </xf>
    <xf numFmtId="0" fontId="58" fillId="2" borderId="127" xfId="0" applyFont="1" applyFill="1" applyBorder="1" applyAlignment="1" applyProtection="1">
      <alignment horizontal="left" vertical="center"/>
      <protection locked="0"/>
    </xf>
    <xf numFmtId="0" fontId="58" fillId="2" borderId="128" xfId="0" applyFont="1" applyFill="1" applyBorder="1" applyAlignment="1" applyProtection="1">
      <alignment vertical="center" wrapText="1"/>
    </xf>
    <xf numFmtId="0" fontId="58" fillId="2" borderId="135" xfId="0" applyFont="1" applyFill="1" applyBorder="1" applyAlignment="1" applyProtection="1">
      <alignment vertical="center" wrapText="1"/>
    </xf>
    <xf numFmtId="0" fontId="58" fillId="14" borderId="5" xfId="0" applyFont="1" applyFill="1" applyBorder="1" applyAlignment="1" applyProtection="1">
      <alignment vertical="center" wrapText="1"/>
      <protection locked="0"/>
    </xf>
    <xf numFmtId="0" fontId="58" fillId="19" borderId="16" xfId="0" applyFont="1" applyFill="1" applyBorder="1" applyAlignment="1" applyProtection="1">
      <alignment horizontal="left" vertical="center"/>
    </xf>
    <xf numFmtId="0" fontId="58" fillId="10" borderId="108" xfId="0" applyFont="1" applyFill="1" applyBorder="1" applyAlignment="1" applyProtection="1">
      <alignment horizontal="center" vertical="center" wrapText="1"/>
      <protection locked="0"/>
    </xf>
    <xf numFmtId="0" fontId="58" fillId="4" borderId="96" xfId="0" applyFont="1" applyFill="1" applyBorder="1" applyAlignment="1" applyProtection="1">
      <alignment vertical="center" wrapText="1"/>
      <protection locked="0"/>
    </xf>
    <xf numFmtId="49" fontId="58" fillId="7" borderId="16" xfId="0" applyNumberFormat="1" applyFont="1" applyFill="1" applyBorder="1" applyAlignment="1" applyProtection="1">
      <alignment horizontal="left" vertical="center" wrapText="1"/>
    </xf>
    <xf numFmtId="49" fontId="61" fillId="14" borderId="34" xfId="0" applyNumberFormat="1" applyFont="1" applyFill="1" applyBorder="1" applyAlignment="1" applyProtection="1">
      <alignment horizontal="left" vertical="center"/>
      <protection locked="0"/>
    </xf>
    <xf numFmtId="0" fontId="58" fillId="14" borderId="96" xfId="0" applyFont="1" applyFill="1" applyBorder="1" applyAlignment="1" applyProtection="1">
      <alignment vertical="center" wrapText="1"/>
    </xf>
    <xf numFmtId="0" fontId="58" fillId="14" borderId="96" xfId="0" applyFont="1" applyFill="1" applyBorder="1" applyAlignment="1" applyProtection="1">
      <alignment horizontal="center" vertical="center" wrapText="1"/>
    </xf>
    <xf numFmtId="0" fontId="58" fillId="19" borderId="48" xfId="0" applyFont="1" applyFill="1" applyBorder="1" applyAlignment="1" applyProtection="1">
      <alignment horizontal="left" vertical="center"/>
    </xf>
    <xf numFmtId="0" fontId="58" fillId="2" borderId="15" xfId="0" applyFont="1" applyFill="1" applyBorder="1" applyAlignment="1" applyProtection="1">
      <alignment horizontal="center" vertical="center" wrapText="1"/>
      <protection locked="0"/>
    </xf>
    <xf numFmtId="0" fontId="58" fillId="4" borderId="3" xfId="0" applyFont="1" applyFill="1" applyBorder="1" applyAlignment="1" applyProtection="1">
      <alignment vertical="center" wrapText="1"/>
      <protection locked="0"/>
    </xf>
    <xf numFmtId="0" fontId="58" fillId="4" borderId="4" xfId="0" applyFont="1" applyFill="1" applyBorder="1" applyAlignment="1" applyProtection="1">
      <alignment vertical="center" wrapText="1"/>
    </xf>
    <xf numFmtId="0" fontId="58" fillId="7" borderId="0" xfId="0" applyFont="1" applyFill="1" applyAlignment="1" applyProtection="1">
      <alignment vertical="center" wrapText="1"/>
    </xf>
    <xf numFmtId="49" fontId="58" fillId="19" borderId="15" xfId="0" applyNumberFormat="1" applyFont="1" applyFill="1" applyBorder="1" applyAlignment="1" applyProtection="1">
      <alignment horizontal="left" vertical="center" wrapText="1"/>
    </xf>
    <xf numFmtId="49" fontId="58" fillId="7" borderId="1" xfId="0" applyNumberFormat="1" applyFont="1" applyFill="1" applyBorder="1" applyAlignment="1" applyProtection="1">
      <alignment horizontal="center" vertical="center" wrapText="1"/>
    </xf>
    <xf numFmtId="0" fontId="58" fillId="10" borderId="64" xfId="0" applyFont="1" applyFill="1" applyBorder="1" applyAlignment="1" applyProtection="1">
      <alignment horizontal="left" vertical="center" wrapText="1"/>
    </xf>
    <xf numFmtId="0" fontId="58" fillId="19" borderId="96" xfId="0" applyFont="1" applyFill="1" applyBorder="1" applyAlignment="1" applyProtection="1">
      <alignment vertical="center" wrapText="1"/>
    </xf>
    <xf numFmtId="179" fontId="58" fillId="0" borderId="1" xfId="0" applyNumberFormat="1" applyFont="1" applyFill="1" applyBorder="1" applyAlignment="1" applyProtection="1">
      <alignment horizontal="center" vertical="center" shrinkToFit="1"/>
      <protection locked="0"/>
    </xf>
    <xf numFmtId="187" fontId="58" fillId="2" borderId="1" xfId="14" applyNumberFormat="1" applyFont="1" applyFill="1" applyBorder="1" applyAlignment="1" applyProtection="1">
      <alignment horizontal="center" vertical="center"/>
      <protection locked="0"/>
    </xf>
    <xf numFmtId="0" fontId="58" fillId="10" borderId="16" xfId="0" applyFont="1" applyFill="1" applyBorder="1" applyAlignment="1" applyProtection="1">
      <alignment horizontal="left" vertical="center" wrapText="1"/>
    </xf>
    <xf numFmtId="0" fontId="58" fillId="7" borderId="96" xfId="0" applyFont="1" applyFill="1" applyBorder="1" applyAlignment="1" applyProtection="1">
      <alignment vertical="center" wrapText="1"/>
    </xf>
    <xf numFmtId="189" fontId="58" fillId="7" borderId="1" xfId="0" applyNumberFormat="1" applyFont="1" applyFill="1" applyBorder="1" applyAlignment="1" applyProtection="1">
      <alignment horizontal="center" vertical="center" wrapText="1"/>
    </xf>
    <xf numFmtId="49" fontId="58" fillId="7" borderId="64" xfId="0" applyNumberFormat="1"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protection locked="0"/>
    </xf>
    <xf numFmtId="0" fontId="58" fillId="7" borderId="6" xfId="0" applyFont="1" applyFill="1" applyBorder="1" applyAlignment="1" applyProtection="1">
      <alignment horizontal="center" vertical="center" wrapText="1"/>
    </xf>
    <xf numFmtId="0" fontId="58" fillId="2" borderId="64" xfId="0" applyFont="1" applyFill="1" applyBorder="1" applyAlignment="1" applyProtection="1">
      <alignment horizontal="center" vertical="center" wrapText="1"/>
      <protection locked="0"/>
    </xf>
    <xf numFmtId="0" fontId="58" fillId="7" borderId="20" xfId="0" applyFont="1" applyFill="1" applyBorder="1" applyAlignment="1" applyProtection="1">
      <alignment horizontal="center" vertical="center" wrapText="1"/>
    </xf>
    <xf numFmtId="0" fontId="58" fillId="2" borderId="20" xfId="0" applyFont="1" applyFill="1" applyBorder="1" applyAlignment="1" applyProtection="1">
      <alignment horizontal="center" vertical="center" wrapText="1"/>
      <protection locked="0"/>
    </xf>
    <xf numFmtId="0" fontId="21" fillId="7" borderId="20" xfId="0" applyFont="1" applyFill="1" applyBorder="1" applyAlignment="1" applyProtection="1">
      <alignment vertical="center" wrapText="1"/>
    </xf>
    <xf numFmtId="0" fontId="58" fillId="2" borderId="114" xfId="0" applyFont="1" applyFill="1" applyBorder="1" applyAlignment="1" applyProtection="1">
      <alignment horizontal="center" vertical="center" wrapText="1"/>
      <protection locked="0"/>
    </xf>
    <xf numFmtId="0" fontId="58" fillId="7" borderId="2" xfId="0" applyFont="1" applyFill="1" applyBorder="1" applyAlignment="1" applyProtection="1">
      <alignment vertical="center" wrapText="1"/>
    </xf>
    <xf numFmtId="0" fontId="58" fillId="7" borderId="130" xfId="0" applyFont="1" applyFill="1" applyBorder="1" applyAlignment="1" applyProtection="1">
      <alignment horizontal="left" vertical="center"/>
    </xf>
    <xf numFmtId="0" fontId="58" fillId="2" borderId="10" xfId="0" applyFont="1" applyFill="1" applyBorder="1" applyAlignment="1" applyProtection="1">
      <alignment vertical="center" wrapText="1"/>
      <protection locked="0"/>
    </xf>
    <xf numFmtId="0" fontId="58" fillId="2" borderId="11" xfId="0" applyFont="1" applyFill="1" applyBorder="1" applyAlignment="1" applyProtection="1">
      <alignment vertical="center" wrapText="1"/>
      <protection locked="0"/>
    </xf>
    <xf numFmtId="0" fontId="61" fillId="0" borderId="10" xfId="0" applyFont="1" applyBorder="1" applyAlignment="1" applyProtection="1">
      <alignment vertical="center" wrapText="1"/>
      <protection locked="0"/>
    </xf>
    <xf numFmtId="0" fontId="58" fillId="2" borderId="2" xfId="0" applyFont="1" applyFill="1" applyBorder="1" applyAlignment="1" applyProtection="1">
      <alignment vertical="center" wrapText="1"/>
      <protection locked="0"/>
    </xf>
    <xf numFmtId="0" fontId="58" fillId="0" borderId="60" xfId="0" applyFont="1" applyBorder="1" applyAlignment="1" applyProtection="1">
      <alignment horizontal="left" vertical="center" wrapText="1"/>
      <protection locked="0"/>
    </xf>
    <xf numFmtId="0" fontId="58" fillId="2" borderId="10" xfId="0" applyFont="1" applyFill="1" applyBorder="1" applyAlignment="1" applyProtection="1">
      <alignment vertical="center" wrapText="1" shrinkToFit="1"/>
      <protection locked="0"/>
    </xf>
    <xf numFmtId="0" fontId="58" fillId="7" borderId="30" xfId="0" applyFont="1" applyFill="1" applyBorder="1" applyAlignment="1" applyProtection="1">
      <alignment vertical="center" wrapText="1"/>
    </xf>
    <xf numFmtId="179" fontId="61" fillId="0" borderId="11" xfId="0" applyNumberFormat="1" applyFont="1" applyFill="1" applyBorder="1" applyAlignment="1" applyProtection="1">
      <alignment vertical="center" shrinkToFit="1"/>
      <protection locked="0"/>
    </xf>
    <xf numFmtId="0" fontId="58" fillId="7" borderId="49" xfId="0" applyFont="1" applyFill="1" applyBorder="1" applyAlignment="1" applyProtection="1">
      <alignment vertical="center" wrapText="1"/>
    </xf>
    <xf numFmtId="179" fontId="61" fillId="0" borderId="39" xfId="0" applyNumberFormat="1" applyFont="1" applyFill="1" applyBorder="1" applyAlignment="1" applyProtection="1">
      <alignment vertical="center" shrinkToFit="1"/>
      <protection locked="0"/>
    </xf>
    <xf numFmtId="0" fontId="61" fillId="0" borderId="11" xfId="0" applyFont="1" applyFill="1" applyBorder="1" applyAlignment="1" applyProtection="1">
      <alignment vertical="center" wrapText="1"/>
      <protection locked="0"/>
    </xf>
    <xf numFmtId="0" fontId="61" fillId="0" borderId="42" xfId="0" applyFont="1" applyFill="1" applyBorder="1" applyAlignment="1" applyProtection="1">
      <alignment vertical="center" wrapText="1"/>
      <protection locked="0"/>
    </xf>
    <xf numFmtId="0" fontId="58" fillId="7" borderId="136" xfId="0" applyFont="1" applyFill="1" applyBorder="1" applyAlignment="1" applyProtection="1">
      <alignment vertical="center" wrapText="1"/>
    </xf>
    <xf numFmtId="0" fontId="58" fillId="7" borderId="137" xfId="0" applyFont="1" applyFill="1" applyBorder="1" applyAlignment="1" applyProtection="1">
      <alignment vertical="center" wrapText="1"/>
    </xf>
    <xf numFmtId="0" fontId="61" fillId="0" borderId="124" xfId="0" applyFont="1" applyFill="1" applyBorder="1" applyAlignment="1" applyProtection="1">
      <alignment vertical="center" wrapText="1"/>
      <protection locked="0"/>
    </xf>
    <xf numFmtId="0" fontId="61" fillId="0" borderId="138" xfId="0" applyFont="1" applyFill="1" applyBorder="1" applyAlignment="1" applyProtection="1">
      <alignment vertical="center" wrapText="1"/>
      <protection locked="0"/>
    </xf>
    <xf numFmtId="0" fontId="58" fillId="10" borderId="34" xfId="0" applyFont="1" applyFill="1" applyBorder="1" applyAlignment="1" applyProtection="1">
      <alignment vertical="center"/>
      <protection locked="0"/>
    </xf>
    <xf numFmtId="0" fontId="58" fillId="10" borderId="108" xfId="0" applyFont="1" applyFill="1" applyBorder="1" applyAlignment="1" applyProtection="1">
      <alignment vertical="center" wrapText="1"/>
    </xf>
    <xf numFmtId="0" fontId="58" fillId="10" borderId="108"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0" borderId="2" xfId="0" applyFont="1" applyFill="1" applyBorder="1" applyAlignment="1" applyProtection="1">
      <alignment vertical="center"/>
      <protection locked="0"/>
    </xf>
    <xf numFmtId="0" fontId="58" fillId="10" borderId="4"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0" borderId="1" xfId="0" applyFont="1" applyBorder="1" applyAlignment="1" applyProtection="1">
      <alignment horizontal="left" vertical="center"/>
      <protection locked="0"/>
    </xf>
    <xf numFmtId="0" fontId="58" fillId="2" borderId="112" xfId="0" applyFont="1" applyFill="1" applyBorder="1" applyAlignment="1" applyProtection="1">
      <alignment horizontal="center" vertical="center" wrapText="1"/>
      <protection locked="0"/>
    </xf>
    <xf numFmtId="0" fontId="58" fillId="0" borderId="15" xfId="0" applyFont="1" applyBorder="1" applyAlignment="1" applyProtection="1">
      <alignment horizontal="left" vertical="center"/>
      <protection locked="0"/>
    </xf>
    <xf numFmtId="0" fontId="58" fillId="7" borderId="15" xfId="0" applyNumberFormat="1" applyFont="1" applyFill="1" applyBorder="1" applyAlignment="1" applyProtection="1">
      <alignment vertical="center" wrapText="1"/>
    </xf>
    <xf numFmtId="0" fontId="58" fillId="7" borderId="50" xfId="0" applyNumberFormat="1" applyFont="1" applyFill="1" applyBorder="1" applyAlignment="1" applyProtection="1">
      <alignment vertical="center" wrapText="1"/>
    </xf>
    <xf numFmtId="0" fontId="58" fillId="14" borderId="1" xfId="0" applyNumberFormat="1" applyFont="1" applyFill="1" applyBorder="1" applyAlignment="1" applyProtection="1">
      <alignment horizontal="center" vertical="center" wrapText="1"/>
      <protection locked="0"/>
    </xf>
    <xf numFmtId="0" fontId="58" fillId="19" borderId="64" xfId="0" applyNumberFormat="1" applyFont="1" applyFill="1" applyBorder="1" applyAlignment="1" applyProtection="1">
      <alignment vertical="center" wrapText="1"/>
    </xf>
    <xf numFmtId="0" fontId="58" fillId="2" borderId="1" xfId="0" applyNumberFormat="1" applyFont="1" applyFill="1" applyBorder="1" applyAlignment="1" applyProtection="1">
      <alignment horizontal="center" vertical="center" wrapText="1"/>
      <protection locked="0"/>
    </xf>
    <xf numFmtId="0" fontId="58" fillId="19" borderId="6"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protection locked="0"/>
    </xf>
    <xf numFmtId="0" fontId="58" fillId="14" borderId="6" xfId="0" applyNumberFormat="1" applyFont="1" applyFill="1" applyBorder="1" applyAlignment="1" applyProtection="1">
      <alignment horizontal="center" vertical="center" wrapText="1"/>
      <protection locked="0"/>
    </xf>
    <xf numFmtId="0" fontId="78" fillId="7" borderId="152" xfId="0" applyFont="1" applyFill="1" applyBorder="1" applyAlignment="1" applyProtection="1">
      <alignment vertical="center"/>
    </xf>
    <xf numFmtId="0" fontId="60" fillId="7" borderId="152" xfId="0" applyFont="1" applyFill="1" applyBorder="1" applyAlignment="1" applyProtection="1">
      <alignment vertical="center" wrapText="1"/>
    </xf>
    <xf numFmtId="0" fontId="60" fillId="7" borderId="2" xfId="0" applyFont="1" applyFill="1" applyBorder="1" applyAlignment="1" applyProtection="1">
      <alignment vertical="center"/>
    </xf>
    <xf numFmtId="0" fontId="58" fillId="7" borderId="50" xfId="0" applyFont="1" applyFill="1" applyBorder="1" applyAlignment="1" applyProtection="1">
      <alignment vertical="center" wrapText="1"/>
    </xf>
    <xf numFmtId="49" fontId="58" fillId="7" borderId="0" xfId="0" applyNumberFormat="1" applyFont="1" applyFill="1" applyAlignment="1" applyProtection="1">
      <alignment horizontal="center" vertical="center" wrapText="1"/>
    </xf>
    <xf numFmtId="0" fontId="58" fillId="7" borderId="50" xfId="0" applyNumberFormat="1" applyFont="1" applyFill="1" applyBorder="1" applyAlignment="1" applyProtection="1">
      <alignment horizontal="left" vertical="center"/>
    </xf>
    <xf numFmtId="0" fontId="58" fillId="7" borderId="50" xfId="0" applyNumberFormat="1" applyFont="1" applyFill="1" applyBorder="1" applyAlignment="1" applyProtection="1">
      <alignment horizontal="center" vertical="center" wrapText="1"/>
      <protection locked="0"/>
    </xf>
    <xf numFmtId="49" fontId="58" fillId="7" borderId="0" xfId="0" applyNumberFormat="1"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49" fontId="58" fillId="7" borderId="50" xfId="0" applyNumberFormat="1" applyFont="1" applyFill="1" applyBorder="1" applyAlignment="1" applyProtection="1">
      <alignment horizontal="center" vertical="center" wrapText="1"/>
      <protection locked="0"/>
    </xf>
    <xf numFmtId="0" fontId="58" fillId="7" borderId="50" xfId="0" applyNumberFormat="1" applyFont="1" applyFill="1" applyBorder="1" applyAlignment="1" applyProtection="1">
      <alignment horizontal="left" vertical="center"/>
      <protection locked="0"/>
    </xf>
    <xf numFmtId="0" fontId="58" fillId="14" borderId="108" xfId="0" applyFont="1" applyFill="1" applyBorder="1" applyAlignment="1" applyProtection="1">
      <alignment vertical="center" wrapText="1"/>
    </xf>
    <xf numFmtId="187" fontId="58" fillId="7" borderId="50" xfId="0" applyNumberFormat="1" applyFont="1" applyFill="1" applyBorder="1" applyAlignment="1" applyProtection="1">
      <alignment horizontal="center" vertical="center" wrapText="1"/>
      <protection locked="0"/>
    </xf>
    <xf numFmtId="189" fontId="58" fillId="7" borderId="50" xfId="0" applyNumberFormat="1" applyFont="1" applyFill="1" applyBorder="1" applyAlignment="1" applyProtection="1">
      <alignment horizontal="center" vertical="center" wrapText="1"/>
      <protection locked="0"/>
    </xf>
    <xf numFmtId="0" fontId="58" fillId="7" borderId="0" xfId="0" applyNumberFormat="1" applyFont="1" applyFill="1" applyAlignment="1" applyProtection="1">
      <alignment horizontal="center" vertical="center" wrapText="1"/>
      <protection locked="0"/>
    </xf>
    <xf numFmtId="189" fontId="58" fillId="7" borderId="50" xfId="0" applyNumberFormat="1" applyFont="1" applyFill="1" applyBorder="1" applyAlignment="1" applyProtection="1">
      <alignment horizontal="left" vertical="center"/>
      <protection locked="0"/>
    </xf>
    <xf numFmtId="0" fontId="58" fillId="7" borderId="0" xfId="0" applyNumberFormat="1" applyFont="1" applyFill="1" applyAlignment="1" applyProtection="1">
      <alignment vertical="center" wrapText="1"/>
    </xf>
    <xf numFmtId="0" fontId="58" fillId="7" borderId="0" xfId="0" applyNumberFormat="1" applyFont="1" applyFill="1" applyAlignment="1" applyProtection="1">
      <alignment horizontal="center" vertical="center" wrapText="1"/>
    </xf>
    <xf numFmtId="0" fontId="58" fillId="7" borderId="50" xfId="0" applyFont="1" applyFill="1" applyBorder="1" applyAlignment="1" applyProtection="1">
      <alignment horizontal="center" vertical="center" wrapText="1"/>
      <protection locked="0"/>
    </xf>
    <xf numFmtId="0" fontId="60" fillId="7" borderId="152" xfId="0" applyFont="1" applyFill="1" applyBorder="1" applyAlignment="1" applyProtection="1">
      <alignment vertical="center" wrapText="1"/>
      <protection locked="0"/>
    </xf>
    <xf numFmtId="0" fontId="60" fillId="7" borderId="154" xfId="0" applyFont="1" applyFill="1" applyBorder="1" applyAlignment="1" applyProtection="1">
      <alignment vertical="center" wrapText="1"/>
      <protection locked="0"/>
    </xf>
    <xf numFmtId="0" fontId="60" fillId="7" borderId="152" xfId="0" applyFont="1" applyFill="1" applyBorder="1" applyAlignment="1" applyProtection="1">
      <alignment horizontal="center" vertical="center" wrapText="1"/>
      <protection locked="0"/>
    </xf>
    <xf numFmtId="49" fontId="58" fillId="7" borderId="2" xfId="0" applyNumberFormat="1" applyFont="1" applyFill="1" applyBorder="1" applyAlignment="1" applyProtection="1">
      <alignment horizontal="center" vertical="center" wrapText="1"/>
      <protection locked="0"/>
    </xf>
    <xf numFmtId="49" fontId="58" fillId="7" borderId="1" xfId="0" applyNumberFormat="1" applyFont="1" applyFill="1" applyBorder="1" applyAlignment="1" applyProtection="1">
      <alignment horizontal="center" vertical="center" wrapText="1"/>
      <protection locked="0"/>
    </xf>
    <xf numFmtId="0" fontId="58" fillId="7" borderId="1" xfId="0" applyFont="1" applyFill="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49" fontId="58" fillId="0" borderId="1" xfId="0" applyNumberFormat="1" applyFont="1" applyBorder="1" applyAlignment="1" applyProtection="1">
      <alignment horizontal="center" vertical="center" wrapText="1"/>
      <protection locked="0"/>
    </xf>
    <xf numFmtId="49" fontId="58" fillId="0" borderId="2" xfId="0" applyNumberFormat="1" applyFont="1" applyBorder="1" applyAlignment="1" applyProtection="1">
      <alignment vertical="center" wrapText="1"/>
      <protection locked="0"/>
    </xf>
    <xf numFmtId="190" fontId="58" fillId="7" borderId="1" xfId="0" applyNumberFormat="1" applyFont="1" applyFill="1" applyBorder="1" applyAlignment="1" applyProtection="1">
      <alignment vertical="center" wrapText="1"/>
    </xf>
    <xf numFmtId="0" fontId="60" fillId="0" borderId="152" xfId="0" applyFont="1" applyBorder="1" applyAlignment="1" applyProtection="1">
      <alignment vertical="center" wrapText="1"/>
      <protection locked="0"/>
    </xf>
    <xf numFmtId="0" fontId="58" fillId="7"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7" borderId="0" xfId="0" applyFont="1" applyFill="1" applyProtection="1">
      <alignment vertical="center"/>
    </xf>
    <xf numFmtId="0" fontId="0" fillId="7" borderId="0" xfId="0" applyFont="1" applyFill="1" applyAlignment="1" applyProtection="1">
      <alignment horizontal="center" vertical="center"/>
    </xf>
    <xf numFmtId="0" fontId="128" fillId="7" borderId="119" xfId="0" applyFont="1" applyFill="1" applyBorder="1" applyAlignment="1" applyProtection="1">
      <alignment horizontal="center" vertical="center" wrapText="1"/>
    </xf>
    <xf numFmtId="0" fontId="0" fillId="7" borderId="64" xfId="0" applyFont="1" applyFill="1" applyBorder="1" applyAlignment="1" applyProtection="1">
      <alignment horizontal="center" vertical="center" wrapText="1"/>
    </xf>
    <xf numFmtId="0" fontId="0" fillId="7" borderId="0" xfId="0" applyFont="1" applyFill="1" applyBorder="1" applyAlignment="1" applyProtection="1">
      <alignment horizontal="center" vertical="center" wrapText="1"/>
    </xf>
    <xf numFmtId="0" fontId="0" fillId="7"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7" borderId="0" xfId="0" applyFont="1" applyFill="1" applyBorder="1" applyAlignment="1" applyProtection="1">
      <alignment horizontal="center" vertical="center"/>
      <protection locked="0"/>
    </xf>
    <xf numFmtId="0" fontId="128" fillId="0" borderId="1" xfId="0" applyFont="1" applyBorder="1" applyAlignment="1" applyProtection="1">
      <alignment horizontal="left" vertical="center"/>
      <protection locked="0"/>
    </xf>
    <xf numFmtId="0" fontId="0" fillId="7" borderId="0" xfId="0" applyFont="1" applyFill="1" applyAlignment="1" applyProtection="1">
      <alignment horizontal="center" vertical="center"/>
      <protection locked="0"/>
    </xf>
    <xf numFmtId="0" fontId="128" fillId="7" borderId="0" xfId="0" applyFont="1" applyFill="1" applyBorder="1" applyAlignment="1" applyProtection="1">
      <alignment horizontal="center" vertical="center"/>
      <protection locked="0"/>
    </xf>
    <xf numFmtId="0" fontId="0" fillId="7" borderId="0" xfId="0" applyFont="1" applyFill="1" applyBorder="1" applyAlignment="1" applyProtection="1">
      <alignment horizontal="left" vertical="center"/>
    </xf>
    <xf numFmtId="0" fontId="0" fillId="7" borderId="0" xfId="0" applyFont="1" applyFill="1" applyAlignment="1" applyProtection="1">
      <alignment horizontal="left" vertical="center"/>
    </xf>
    <xf numFmtId="0" fontId="0" fillId="7" borderId="0" xfId="0" applyFont="1" applyFill="1" applyBorder="1" applyAlignment="1" applyProtection="1">
      <alignment horizontal="center" vertical="center"/>
    </xf>
    <xf numFmtId="0" fontId="128" fillId="7" borderId="0" xfId="0" applyFont="1" applyFill="1" applyAlignment="1" applyProtection="1">
      <alignment horizontal="center" vertical="center" wrapText="1"/>
    </xf>
    <xf numFmtId="0" fontId="128" fillId="7" borderId="0" xfId="0" applyNumberFormat="1" applyFont="1" applyFill="1" applyBorder="1" applyAlignment="1" applyProtection="1">
      <alignment horizontal="center" vertical="center" wrapText="1"/>
    </xf>
    <xf numFmtId="0" fontId="129" fillId="0" borderId="0" xfId="17" applyFont="1" applyFill="1" applyAlignment="1">
      <alignment horizontal="left" vertical="center"/>
    </xf>
    <xf numFmtId="0" fontId="130" fillId="0" borderId="0" xfId="17" applyFont="1" applyAlignment="1">
      <alignment horizontal="left" vertical="center"/>
    </xf>
    <xf numFmtId="0" fontId="129" fillId="0" borderId="0" xfId="17" applyFont="1" applyAlignment="1">
      <alignment horizontal="left" vertical="center"/>
    </xf>
    <xf numFmtId="0" fontId="131" fillId="0" borderId="0" xfId="17" applyFont="1" applyAlignment="1">
      <alignment horizontal="left" vertical="center"/>
    </xf>
    <xf numFmtId="0" fontId="132" fillId="0" borderId="0" xfId="17" applyFont="1" applyAlignment="1">
      <alignment horizontal="left" vertical="center"/>
    </xf>
    <xf numFmtId="14" fontId="132" fillId="0" borderId="0" xfId="17" applyNumberFormat="1" applyFont="1" applyAlignment="1">
      <alignment horizontal="left" vertical="center"/>
    </xf>
    <xf numFmtId="0" fontId="133" fillId="0" borderId="0" xfId="17" applyFont="1" applyAlignment="1">
      <alignment horizontal="left" vertical="center"/>
    </xf>
    <xf numFmtId="0" fontId="134" fillId="2" borderId="15" xfId="17" applyFont="1" applyFill="1" applyBorder="1" applyAlignment="1">
      <alignment horizontal="left" vertical="center"/>
    </xf>
    <xf numFmtId="0" fontId="135" fillId="0" borderId="1" xfId="17" applyFont="1" applyBorder="1" applyAlignment="1">
      <alignment horizontal="left" vertical="center"/>
    </xf>
    <xf numFmtId="0" fontId="135" fillId="0" borderId="2" xfId="17" applyFont="1" applyBorder="1" applyAlignment="1">
      <alignment horizontal="left" vertical="center"/>
    </xf>
    <xf numFmtId="0" fontId="134" fillId="2" borderId="155" xfId="17" applyFont="1" applyFill="1" applyBorder="1" applyAlignment="1">
      <alignment horizontal="left" vertical="center"/>
    </xf>
    <xf numFmtId="0" fontId="135" fillId="0" borderId="1" xfId="17" applyFont="1" applyFill="1" applyBorder="1" applyAlignment="1">
      <alignment horizontal="left" vertical="center"/>
    </xf>
    <xf numFmtId="182" fontId="135" fillId="0" borderId="1" xfId="17" applyNumberFormat="1" applyFont="1" applyFill="1" applyBorder="1" applyAlignment="1">
      <alignment horizontal="left" vertical="center"/>
    </xf>
    <xf numFmtId="182" fontId="136" fillId="0" borderId="2" xfId="17" applyNumberFormat="1" applyFont="1" applyFill="1" applyBorder="1" applyAlignment="1">
      <alignment horizontal="left" vertical="center"/>
    </xf>
    <xf numFmtId="0" fontId="135" fillId="0" borderId="156" xfId="17" applyFont="1" applyFill="1" applyBorder="1" applyAlignment="1">
      <alignment horizontal="left" vertical="center"/>
    </xf>
    <xf numFmtId="179" fontId="135" fillId="0" borderId="1" xfId="17" applyNumberFormat="1" applyFont="1" applyFill="1" applyBorder="1" applyAlignment="1">
      <alignment horizontal="left" vertical="center"/>
    </xf>
    <xf numFmtId="0" fontId="136" fillId="0" borderId="1" xfId="17" applyFont="1" applyFill="1" applyBorder="1" applyAlignment="1">
      <alignment horizontal="left" vertical="center"/>
    </xf>
    <xf numFmtId="182" fontId="135" fillId="0" borderId="2" xfId="17" applyNumberFormat="1" applyFont="1" applyFill="1" applyBorder="1" applyAlignment="1">
      <alignment horizontal="left" vertical="center"/>
    </xf>
    <xf numFmtId="0" fontId="136" fillId="0" borderId="0" xfId="17" applyFont="1" applyFill="1" applyAlignment="1">
      <alignment horizontal="left" vertical="center"/>
    </xf>
    <xf numFmtId="0" fontId="134" fillId="0" borderId="1" xfId="17" applyFont="1" applyFill="1" applyBorder="1" applyAlignment="1">
      <alignment horizontal="left" vertical="center"/>
    </xf>
    <xf numFmtId="0" fontId="132" fillId="0" borderId="1" xfId="17" applyFont="1" applyBorder="1" applyAlignment="1">
      <alignment horizontal="left" vertical="center"/>
    </xf>
    <xf numFmtId="179" fontId="135" fillId="0" borderId="2" xfId="17" applyNumberFormat="1" applyFont="1" applyFill="1" applyBorder="1" applyAlignment="1">
      <alignment horizontal="left" vertical="center"/>
    </xf>
    <xf numFmtId="0" fontId="132" fillId="0" borderId="156" xfId="17" applyFont="1" applyBorder="1" applyAlignment="1">
      <alignment horizontal="left" vertical="center"/>
    </xf>
    <xf numFmtId="179" fontId="135" fillId="0" borderId="1" xfId="0" applyNumberFormat="1" applyFont="1" applyFill="1" applyBorder="1" applyAlignment="1">
      <alignment horizontal="left" vertical="center"/>
    </xf>
    <xf numFmtId="14" fontId="132" fillId="0" borderId="1" xfId="17" applyNumberFormat="1" applyFont="1" applyBorder="1" applyAlignment="1">
      <alignment horizontal="left" vertical="center"/>
    </xf>
    <xf numFmtId="14" fontId="132" fillId="0" borderId="2" xfId="17" applyNumberFormat="1" applyFont="1" applyBorder="1" applyAlignment="1">
      <alignment horizontal="left" vertical="center"/>
    </xf>
    <xf numFmtId="0" fontId="137" fillId="0" borderId="1" xfId="17" applyFont="1" applyBorder="1" applyAlignment="1">
      <alignment horizontal="left" vertical="center"/>
    </xf>
    <xf numFmtId="179" fontId="137" fillId="0" borderId="1" xfId="0" applyNumberFormat="1" applyFont="1" applyFill="1" applyBorder="1" applyAlignment="1">
      <alignment horizontal="left" vertical="center"/>
    </xf>
    <xf numFmtId="14" fontId="129" fillId="0" borderId="0" xfId="17" applyNumberFormat="1" applyFont="1" applyAlignment="1">
      <alignment horizontal="left" vertical="center"/>
    </xf>
    <xf numFmtId="14" fontId="129" fillId="0" borderId="157" xfId="17" applyNumberFormat="1" applyFont="1" applyBorder="1" applyAlignment="1">
      <alignment horizontal="left" vertical="center"/>
    </xf>
    <xf numFmtId="0" fontId="129" fillId="0" borderId="0" xfId="17" applyFont="1" applyBorder="1" applyAlignment="1">
      <alignment horizontal="left" vertical="center"/>
    </xf>
    <xf numFmtId="0" fontId="138" fillId="0" borderId="0" xfId="17"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0" borderId="1" xfId="0" applyFont="1" applyFill="1" applyBorder="1" applyAlignment="1" applyProtection="1">
      <alignment horizontal="center" vertical="center" wrapText="1"/>
    </xf>
    <xf numFmtId="0" fontId="140" fillId="7" borderId="1" xfId="0" applyFont="1" applyFill="1" applyBorder="1" applyAlignment="1" applyProtection="1">
      <alignment horizontal="center" vertical="center" wrapText="1"/>
    </xf>
    <xf numFmtId="0" fontId="141" fillId="20" borderId="1" xfId="0" applyFont="1" applyFill="1" applyBorder="1" applyAlignment="1" applyProtection="1">
      <alignment horizontal="center" vertical="center"/>
    </xf>
    <xf numFmtId="0" fontId="142" fillId="0" borderId="1" xfId="0" applyFont="1" applyFill="1" applyBorder="1" applyAlignment="1" applyProtection="1">
      <alignment horizontal="center" vertical="center"/>
    </xf>
    <xf numFmtId="0" fontId="128" fillId="0" borderId="0" xfId="0" applyFont="1" applyProtection="1">
      <alignment vertical="center"/>
    </xf>
    <xf numFmtId="0" fontId="13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5" borderId="2" xfId="0" applyFont="1" applyFill="1" applyBorder="1" applyAlignment="1" applyProtection="1">
      <alignment vertical="center"/>
    </xf>
    <xf numFmtId="0" fontId="0" fillId="4" borderId="3" xfId="0" applyFont="1" applyFill="1" applyBorder="1" applyAlignment="1" applyProtection="1">
      <alignment vertical="center"/>
    </xf>
    <xf numFmtId="0" fontId="0" fillId="4" borderId="4" xfId="0" applyFont="1" applyFill="1" applyBorder="1" applyAlignment="1" applyProtection="1">
      <alignment vertical="center"/>
    </xf>
    <xf numFmtId="0" fontId="143" fillId="0" borderId="0" xfId="0" applyFont="1" applyProtection="1">
      <alignment vertical="center"/>
    </xf>
    <xf numFmtId="0" fontId="128" fillId="0" borderId="0" xfId="0" applyFont="1" applyAlignment="1" applyProtection="1">
      <alignment horizontal="left" vertical="center"/>
    </xf>
    <xf numFmtId="178"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96"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3"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68" fillId="0" borderId="0" xfId="0" applyFont="1" applyProtection="1">
      <alignment vertical="center"/>
    </xf>
    <xf numFmtId="0" fontId="6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96" fillId="0" borderId="1" xfId="0" applyFont="1" applyFill="1" applyBorder="1" applyAlignment="1" applyProtection="1">
      <alignment horizontal="center" vertical="center" wrapText="1"/>
    </xf>
    <xf numFmtId="0" fontId="96" fillId="0" borderId="1" xfId="0" applyFont="1" applyFill="1" applyBorder="1" applyAlignment="1" applyProtection="1">
      <alignment horizontal="left" vertical="center" wrapText="1"/>
    </xf>
    <xf numFmtId="0" fontId="147" fillId="0" borderId="0" xfId="0" applyFont="1" applyProtection="1">
      <alignment vertical="center"/>
      <protection locked="0"/>
    </xf>
    <xf numFmtId="0" fontId="68" fillId="0" borderId="0" xfId="18" applyFont="1">
      <alignment vertical="center"/>
    </xf>
    <xf numFmtId="0" fontId="145" fillId="0" borderId="0" xfId="18" applyFont="1" applyProtection="1">
      <alignment vertical="center"/>
    </xf>
    <xf numFmtId="0" fontId="68" fillId="0" borderId="0" xfId="18" applyFont="1" applyProtection="1">
      <alignment vertical="center"/>
    </xf>
    <xf numFmtId="0" fontId="145" fillId="0" borderId="0" xfId="18" applyFont="1" applyAlignment="1" applyProtection="1">
      <alignment horizontal="center" vertical="center"/>
    </xf>
    <xf numFmtId="0" fontId="70" fillId="0" borderId="16" xfId="18" applyFont="1" applyFill="1" applyBorder="1" applyAlignment="1" applyProtection="1">
      <alignment horizontal="left" vertical="center" wrapText="1"/>
    </xf>
    <xf numFmtId="0" fontId="62" fillId="0" borderId="16" xfId="18" applyFont="1" applyFill="1" applyBorder="1" applyAlignment="1" applyProtection="1">
      <alignment horizontal="center" vertical="center" wrapText="1"/>
    </xf>
    <xf numFmtId="0" fontId="120" fillId="0" borderId="1" xfId="18" applyFont="1" applyFill="1" applyBorder="1" applyAlignment="1" applyProtection="1">
      <alignment horizontal="left" vertical="center" wrapText="1"/>
    </xf>
    <xf numFmtId="0" fontId="62" fillId="0" borderId="1" xfId="18" applyFont="1" applyFill="1" applyBorder="1" applyAlignment="1" applyProtection="1">
      <alignment horizontal="center" vertical="center" wrapText="1"/>
    </xf>
    <xf numFmtId="0" fontId="151" fillId="0" borderId="1" xfId="18" applyFont="1" applyFill="1" applyBorder="1" applyAlignment="1" applyProtection="1">
      <alignment horizontal="left" vertical="center" wrapText="1"/>
    </xf>
    <xf numFmtId="0" fontId="96" fillId="0" borderId="2" xfId="18" applyFont="1" applyFill="1" applyBorder="1" applyAlignment="1" applyProtection="1">
      <alignment vertical="center" wrapText="1"/>
    </xf>
    <xf numFmtId="0" fontId="119" fillId="0" borderId="1" xfId="18" applyFont="1" applyFill="1" applyBorder="1" applyAlignment="1" applyProtection="1">
      <alignment horizontal="left" vertical="center" wrapText="1"/>
    </xf>
    <xf numFmtId="0" fontId="96" fillId="0" borderId="1" xfId="18" applyFont="1" applyFill="1" applyBorder="1" applyAlignment="1" applyProtection="1">
      <alignment horizontal="center" vertical="center" wrapText="1"/>
    </xf>
    <xf numFmtId="0" fontId="70" fillId="0" borderId="1" xfId="18" applyFont="1" applyFill="1" applyBorder="1" applyAlignment="1" applyProtection="1">
      <alignment horizontal="left" vertical="center" wrapText="1"/>
    </xf>
    <xf numFmtId="0" fontId="62" fillId="0" borderId="4" xfId="18" applyFont="1" applyFill="1" applyBorder="1" applyAlignment="1" applyProtection="1">
      <alignment horizontal="center" vertical="center" wrapText="1"/>
    </xf>
    <xf numFmtId="0" fontId="96" fillId="0" borderId="4" xfId="18" applyFont="1" applyFill="1" applyBorder="1" applyAlignment="1" applyProtection="1">
      <alignment horizontal="center" vertical="center" wrapText="1"/>
    </xf>
    <xf numFmtId="0" fontId="80" fillId="0" borderId="1" xfId="18" applyFont="1" applyBorder="1" applyAlignment="1">
      <alignment horizontal="center" vertical="center"/>
    </xf>
    <xf numFmtId="0" fontId="120" fillId="0" borderId="6" xfId="18" applyFont="1" applyFill="1" applyBorder="1" applyAlignment="1" applyProtection="1">
      <alignment horizontal="left" vertical="center" wrapText="1"/>
    </xf>
    <xf numFmtId="0" fontId="96" fillId="0" borderId="6" xfId="18" applyFont="1" applyFill="1" applyBorder="1" applyAlignment="1" applyProtection="1">
      <alignment horizontal="center" vertical="center" wrapText="1"/>
    </xf>
    <xf numFmtId="0" fontId="30" fillId="0" borderId="0" xfId="18" applyFont="1" applyProtection="1">
      <alignment vertical="center"/>
    </xf>
    <xf numFmtId="0" fontId="68" fillId="0" borderId="0" xfId="18" applyFont="1" applyProtection="1">
      <alignment vertical="center"/>
      <protection locked="0"/>
    </xf>
    <xf numFmtId="0" fontId="147" fillId="0" borderId="0" xfId="18" applyFont="1" applyProtection="1">
      <alignment vertical="center"/>
      <protection locked="0"/>
    </xf>
    <xf numFmtId="0" fontId="152" fillId="0" borderId="0" xfId="0" applyFont="1" applyBorder="1" applyAlignment="1">
      <alignment horizontal="center" vertical="center"/>
    </xf>
    <xf numFmtId="0" fontId="68"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79" fontId="147" fillId="0" borderId="0" xfId="0" applyNumberFormat="1" applyFont="1" applyAlignment="1">
      <alignment horizontal="left" vertical="center"/>
    </xf>
    <xf numFmtId="0" fontId="150" fillId="2" borderId="0" xfId="0" applyFont="1" applyFill="1" applyProtection="1">
      <alignment vertical="center"/>
      <protection locked="0"/>
    </xf>
    <xf numFmtId="0" fontId="156" fillId="0" borderId="0" xfId="17" applyFont="1">
      <alignment vertical="center"/>
    </xf>
    <xf numFmtId="0" fontId="2" fillId="0" borderId="0" xfId="17">
      <alignment vertical="center"/>
    </xf>
    <xf numFmtId="0" fontId="156" fillId="0" borderId="0" xfId="17" applyFont="1" applyAlignment="1">
      <alignment vertical="top" wrapText="1"/>
    </xf>
    <xf numFmtId="0" fontId="157" fillId="0" borderId="0" xfId="17" applyFont="1">
      <alignment vertical="center"/>
    </xf>
    <xf numFmtId="0" fontId="129" fillId="0" borderId="5" xfId="0" applyFont="1" applyBorder="1" applyProtection="1">
      <alignment vertical="center"/>
    </xf>
    <xf numFmtId="0" fontId="129" fillId="0" borderId="134" xfId="0" applyFont="1" applyBorder="1" applyProtection="1">
      <alignment vertical="center"/>
    </xf>
    <xf numFmtId="0" fontId="129" fillId="0" borderId="0" xfId="0" applyFont="1" applyBorder="1" applyProtection="1">
      <alignment vertical="center"/>
    </xf>
    <xf numFmtId="0" fontId="129" fillId="0" borderId="0" xfId="19"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6" xfId="19" applyFont="1" applyBorder="1" applyAlignment="1" applyProtection="1">
      <alignment horizontal="left" vertical="center" wrapText="1"/>
    </xf>
    <xf numFmtId="0" fontId="70" fillId="0" borderId="6" xfId="0" applyFont="1" applyBorder="1" applyAlignment="1" applyProtection="1">
      <alignment horizontal="left" vertical="center"/>
    </xf>
    <xf numFmtId="0" fontId="129" fillId="0" borderId="123" xfId="19" applyFont="1" applyBorder="1" applyAlignment="1" applyProtection="1">
      <alignment vertical="center" wrapText="1"/>
    </xf>
    <xf numFmtId="0" fontId="129" fillId="0" borderId="123" xfId="0" applyFont="1" applyBorder="1" applyAlignment="1" applyProtection="1">
      <alignment horizontal="left" vertical="center"/>
    </xf>
    <xf numFmtId="0" fontId="129" fillId="0" borderId="1" xfId="19" applyFont="1" applyBorder="1" applyAlignment="1" applyProtection="1">
      <alignment vertical="center" wrapText="1"/>
    </xf>
    <xf numFmtId="0" fontId="129" fillId="0" borderId="1" xfId="0" applyFont="1" applyBorder="1" applyAlignment="1" applyProtection="1">
      <alignment horizontal="left" vertical="center"/>
    </xf>
    <xf numFmtId="0" fontId="129" fillId="0" borderId="6" xfId="19" applyFont="1" applyBorder="1" applyAlignment="1" applyProtection="1">
      <alignment vertical="center" wrapText="1"/>
    </xf>
    <xf numFmtId="0" fontId="129" fillId="0" borderId="6" xfId="0" applyFont="1" applyBorder="1" applyAlignment="1" applyProtection="1">
      <alignment horizontal="left" vertical="center"/>
    </xf>
    <xf numFmtId="176" fontId="129" fillId="0" borderId="6" xfId="0" applyNumberFormat="1" applyFont="1" applyBorder="1" applyAlignment="1" applyProtection="1">
      <alignment horizontal="left" vertical="center"/>
    </xf>
    <xf numFmtId="0" fontId="129" fillId="0" borderId="16" xfId="19"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1" xfId="0" applyNumberFormat="1" applyFont="1" applyBorder="1" applyAlignment="1" applyProtection="1">
      <alignment horizontal="left" vertical="center"/>
    </xf>
    <xf numFmtId="187" fontId="52" fillId="21" borderId="1" xfId="14" applyNumberFormat="1" applyFont="1" applyFill="1" applyBorder="1" applyAlignment="1" applyProtection="1">
      <alignment horizontal="center"/>
    </xf>
    <xf numFmtId="0" fontId="158" fillId="0" borderId="0" xfId="0" applyFont="1" applyAlignment="1">
      <alignment horizontal="left" vertical="center" wrapText="1"/>
    </xf>
    <xf numFmtId="0" fontId="75" fillId="21" borderId="0" xfId="0" applyFont="1" applyFill="1" applyAlignment="1" applyProtection="1">
      <alignment horizontal="center" vertical="center"/>
      <protection locked="0"/>
    </xf>
    <xf numFmtId="0" fontId="101" fillId="14" borderId="0" xfId="0" applyFont="1" applyFill="1" applyAlignment="1" applyProtection="1">
      <alignment horizontal="center" vertical="center"/>
      <protection locked="0"/>
    </xf>
    <xf numFmtId="0" fontId="158" fillId="0" borderId="1"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Font="1" applyAlignment="1">
      <alignment vertical="center" wrapText="1"/>
    </xf>
    <xf numFmtId="0" fontId="227" fillId="12" borderId="1" xfId="0" applyFont="1" applyFill="1" applyBorder="1" applyAlignment="1">
      <alignment horizontal="center" vertical="center" wrapText="1"/>
    </xf>
    <xf numFmtId="0" fontId="227" fillId="22" borderId="1" xfId="0" applyFont="1" applyFill="1" applyBorder="1" applyAlignment="1">
      <alignment horizontal="center" vertical="center" wrapText="1"/>
    </xf>
    <xf numFmtId="0" fontId="227" fillId="22" borderId="15" xfId="0" applyFont="1" applyFill="1" applyBorder="1" applyAlignment="1">
      <alignment horizontal="center" vertical="center" wrapText="1"/>
    </xf>
    <xf numFmtId="0" fontId="227" fillId="12" borderId="15" xfId="0" applyFont="1" applyFill="1" applyBorder="1" applyAlignment="1">
      <alignment horizontal="center" vertical="center" wrapText="1"/>
    </xf>
    <xf numFmtId="0" fontId="226" fillId="12" borderId="15" xfId="0" applyFont="1" applyFill="1" applyBorder="1" applyAlignment="1">
      <alignment horizontal="center" vertical="center" wrapText="1"/>
    </xf>
    <xf numFmtId="0" fontId="0" fillId="0" borderId="0" xfId="0" applyFont="1" applyAlignment="1">
      <alignment horizontal="center" vertical="center" wrapText="1"/>
    </xf>
    <xf numFmtId="0" fontId="226" fillId="12" borderId="16" xfId="0" applyFont="1" applyFill="1" applyBorder="1" applyAlignment="1">
      <alignment horizontal="center" vertical="center" wrapText="1"/>
    </xf>
    <xf numFmtId="0" fontId="222" fillId="23" borderId="16" xfId="0" applyFont="1" applyFill="1" applyBorder="1" applyAlignment="1">
      <alignment horizontal="center" vertical="center" wrapText="1"/>
    </xf>
    <xf numFmtId="0" fontId="123" fillId="23" borderId="16" xfId="0" applyFont="1" applyFill="1" applyBorder="1" applyAlignment="1">
      <alignment horizontal="center" vertical="center" wrapText="1"/>
    </xf>
    <xf numFmtId="0" fontId="222" fillId="23" borderId="1" xfId="0" applyFont="1" applyFill="1" applyBorder="1" applyAlignment="1">
      <alignment horizontal="center" vertical="center" wrapText="1"/>
    </xf>
    <xf numFmtId="0" fontId="66" fillId="23" borderId="1" xfId="0" applyFont="1" applyFill="1" applyBorder="1" applyAlignment="1">
      <alignment horizontal="center" vertical="center" wrapText="1"/>
    </xf>
    <xf numFmtId="0" fontId="66" fillId="24" borderId="1" xfId="0" applyFont="1" applyFill="1" applyBorder="1" applyAlignment="1">
      <alignment horizontal="center" vertical="center" wrapText="1"/>
    </xf>
    <xf numFmtId="0" fontId="66" fillId="23" borderId="15" xfId="0" applyFont="1" applyFill="1" applyBorder="1" applyAlignment="1">
      <alignment horizontal="center" vertical="center" wrapText="1"/>
    </xf>
    <xf numFmtId="0" fontId="66" fillId="24" borderId="15" xfId="0" applyFont="1" applyFill="1" applyBorder="1" applyAlignment="1">
      <alignment horizontal="center" vertical="center" wrapText="1"/>
    </xf>
    <xf numFmtId="0" fontId="222" fillId="23" borderId="15" xfId="0" applyFont="1" applyFill="1" applyBorder="1" applyAlignment="1">
      <alignment horizontal="center" vertical="center" wrapText="1"/>
    </xf>
    <xf numFmtId="0" fontId="31" fillId="0" borderId="0" xfId="0" applyFont="1" applyAlignment="1">
      <alignment vertical="center" wrapText="1"/>
    </xf>
    <xf numFmtId="0" fontId="123" fillId="25" borderId="1" xfId="0" applyFont="1" applyFill="1" applyBorder="1" applyAlignment="1">
      <alignment horizontal="center" vertical="center" wrapText="1"/>
    </xf>
    <xf numFmtId="0" fontId="123" fillId="23" borderId="1" xfId="0" applyFont="1" applyFill="1" applyBorder="1" applyAlignment="1">
      <alignment horizontal="center" vertical="center" wrapText="1"/>
    </xf>
    <xf numFmtId="0" fontId="0" fillId="0" borderId="1" xfId="0" applyFont="1" applyBorder="1"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22" fillId="24" borderId="15" xfId="0" applyFont="1" applyFill="1" applyBorder="1" applyAlignment="1">
      <alignment horizontal="center" vertical="center" wrapText="1"/>
    </xf>
    <xf numFmtId="0" fontId="0" fillId="4" borderId="0" xfId="0" applyFill="1" applyAlignment="1">
      <alignment vertical="center" wrapText="1"/>
    </xf>
    <xf numFmtId="0" fontId="18" fillId="26" borderId="1" xfId="0" applyFont="1" applyFill="1" applyBorder="1" applyAlignment="1">
      <alignment horizontal="center" vertical="center" wrapText="1"/>
    </xf>
    <xf numFmtId="0" fontId="228" fillId="25" borderId="1" xfId="0" applyFont="1" applyFill="1" applyBorder="1" applyAlignment="1">
      <alignment horizontal="center" vertical="center" wrapText="1"/>
    </xf>
    <xf numFmtId="0" fontId="0" fillId="21" borderId="1" xfId="0" applyFont="1" applyFill="1" applyBorder="1" applyAlignment="1">
      <alignment vertical="center" wrapText="1"/>
    </xf>
    <xf numFmtId="2" fontId="0" fillId="0" borderId="1" xfId="0" applyNumberFormat="1" applyBorder="1" applyAlignment="1">
      <alignment horizontal="center" vertical="center" wrapText="1"/>
    </xf>
    <xf numFmtId="0" fontId="123" fillId="27" borderId="16" xfId="0" applyFont="1" applyFill="1" applyBorder="1" applyAlignment="1">
      <alignment horizontal="center" vertical="center" wrapText="1"/>
    </xf>
    <xf numFmtId="0" fontId="222" fillId="24" borderId="1" xfId="0" applyFont="1" applyFill="1" applyBorder="1" applyAlignment="1">
      <alignment horizontal="center" vertical="center" wrapText="1"/>
    </xf>
    <xf numFmtId="0" fontId="1" fillId="0" borderId="0" xfId="0" applyFont="1" applyAlignment="1">
      <alignment vertical="center" wrapText="1"/>
    </xf>
    <xf numFmtId="0" fontId="1" fillId="0" borderId="1" xfId="0" applyFont="1" applyBorder="1" applyAlignment="1">
      <alignment horizontal="center" vertical="center" wrapText="1"/>
    </xf>
    <xf numFmtId="0" fontId="222" fillId="28" borderId="16" xfId="0" applyFont="1" applyFill="1" applyBorder="1" applyAlignment="1">
      <alignment horizontal="center" vertical="center" wrapText="1"/>
    </xf>
    <xf numFmtId="0" fontId="66" fillId="28" borderId="1" xfId="0" applyFont="1" applyFill="1" applyBorder="1" applyAlignment="1">
      <alignment horizontal="center" vertical="center" wrapText="1"/>
    </xf>
    <xf numFmtId="0" fontId="123" fillId="28" borderId="1" xfId="0" applyFont="1" applyFill="1" applyBorder="1" applyAlignment="1">
      <alignment horizontal="center" vertical="center" wrapText="1"/>
    </xf>
    <xf numFmtId="0" fontId="228" fillId="12" borderId="1" xfId="0" applyFont="1" applyFill="1" applyBorder="1" applyAlignment="1">
      <alignment horizontal="center" vertical="center" wrapText="1"/>
    </xf>
    <xf numFmtId="0" fontId="66" fillId="28" borderId="15" xfId="0" applyFont="1" applyFill="1" applyBorder="1" applyAlignment="1">
      <alignment horizontal="center" vertical="center" wrapText="1"/>
    </xf>
    <xf numFmtId="0" fontId="228" fillId="12" borderId="15" xfId="0" applyFont="1" applyFill="1" applyBorder="1" applyAlignment="1">
      <alignment horizontal="center" vertical="center" wrapText="1"/>
    </xf>
    <xf numFmtId="0" fontId="222" fillId="28" borderId="15" xfId="0" applyFont="1" applyFill="1" applyBorder="1" applyAlignment="1">
      <alignment horizontal="center" vertical="center" wrapText="1"/>
    </xf>
    <xf numFmtId="0" fontId="226" fillId="0" borderId="1" xfId="0" applyFont="1" applyFill="1" applyBorder="1" applyAlignment="1">
      <alignment horizontal="center" vertical="center" wrapText="1"/>
    </xf>
    <xf numFmtId="0" fontId="227" fillId="0" borderId="1" xfId="0" applyFont="1" applyFill="1" applyBorder="1" applyAlignment="1">
      <alignment horizontal="center" vertical="center" wrapText="1"/>
    </xf>
    <xf numFmtId="0" fontId="227" fillId="25"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9" borderId="64" xfId="0" applyFont="1" applyFill="1" applyBorder="1" applyAlignment="1">
      <alignment vertical="center" wrapText="1"/>
    </xf>
    <xf numFmtId="0" fontId="0" fillId="29" borderId="0" xfId="0" applyFill="1" applyAlignment="1">
      <alignment vertical="center" wrapText="1"/>
    </xf>
    <xf numFmtId="0" fontId="0" fillId="27" borderId="0" xfId="0" applyFill="1" applyAlignment="1">
      <alignment vertical="center" wrapText="1"/>
    </xf>
    <xf numFmtId="10" fontId="52" fillId="5" borderId="2" xfId="14" applyNumberFormat="1" applyFont="1" applyFill="1" applyBorder="1" applyAlignment="1" applyProtection="1">
      <alignment horizontal="center" vertical="center"/>
    </xf>
    <xf numFmtId="14" fontId="4" fillId="3" borderId="1" xfId="0" applyNumberFormat="1" applyFont="1" applyFill="1" applyBorder="1" applyAlignment="1">
      <alignment wrapText="1"/>
    </xf>
    <xf numFmtId="0" fontId="52" fillId="2" borderId="1" xfId="0" applyFont="1" applyFill="1" applyBorder="1" applyAlignment="1" applyProtection="1">
      <alignment horizontal="right" vertical="center"/>
    </xf>
    <xf numFmtId="0" fontId="52" fillId="2" borderId="1" xfId="0" applyFont="1" applyFill="1" applyBorder="1" applyAlignment="1" applyProtection="1">
      <alignment horizontal="left" vertical="center"/>
    </xf>
    <xf numFmtId="0" fontId="157" fillId="0" borderId="0" xfId="17" applyFont="1" applyAlignment="1" applyProtection="1">
      <alignment horizontal="left" vertical="top" wrapText="1"/>
    </xf>
    <xf numFmtId="0" fontId="62" fillId="0" borderId="15" xfId="18" applyFont="1" applyFill="1" applyBorder="1" applyAlignment="1" applyProtection="1">
      <alignment horizontal="left" vertical="center" wrapText="1"/>
    </xf>
    <xf numFmtId="0" fontId="62" fillId="0" borderId="64" xfId="18" applyFont="1" applyFill="1" applyBorder="1" applyAlignment="1" applyProtection="1">
      <alignment horizontal="left" vertical="center" wrapText="1"/>
    </xf>
    <xf numFmtId="0" fontId="62" fillId="0" borderId="16" xfId="18" applyFont="1" applyFill="1" applyBorder="1" applyAlignment="1" applyProtection="1">
      <alignment horizontal="left" vertical="center" wrapText="1"/>
    </xf>
    <xf numFmtId="0" fontId="62" fillId="0" borderId="15" xfId="18" applyFont="1" applyFill="1" applyBorder="1" applyAlignment="1" applyProtection="1">
      <alignment vertical="center" wrapText="1"/>
    </xf>
    <xf numFmtId="0" fontId="62" fillId="0" borderId="64" xfId="18" applyFont="1" applyFill="1" applyBorder="1" applyAlignment="1" applyProtection="1">
      <alignment vertical="center" wrapText="1"/>
    </xf>
    <xf numFmtId="0" fontId="62" fillId="0" borderId="16" xfId="18" applyFont="1" applyFill="1" applyBorder="1" applyAlignment="1" applyProtection="1">
      <alignment vertical="center" wrapText="1"/>
    </xf>
    <xf numFmtId="0" fontId="62" fillId="0" borderId="121" xfId="18" applyFont="1" applyFill="1" applyBorder="1" applyAlignment="1" applyProtection="1">
      <alignment horizontal="left" vertical="center" wrapText="1"/>
    </xf>
    <xf numFmtId="0" fontId="147" fillId="0" borderId="0" xfId="18" applyFont="1" applyAlignment="1" applyProtection="1">
      <alignment horizontal="left" vertical="center" wrapText="1"/>
    </xf>
    <xf numFmtId="0" fontId="145" fillId="0" borderId="0" xfId="18" applyFont="1" applyAlignment="1" applyProtection="1">
      <alignment horizontal="center" vertical="center"/>
    </xf>
    <xf numFmtId="0" fontId="145" fillId="0" borderId="5" xfId="18" applyFont="1" applyBorder="1" applyAlignment="1" applyProtection="1">
      <alignment horizontal="center" vertical="center"/>
    </xf>
    <xf numFmtId="0" fontId="114" fillId="0" borderId="0" xfId="0" applyFont="1" applyFill="1" applyBorder="1" applyAlignment="1" applyProtection="1">
      <alignment horizontal="center" vertical="center"/>
    </xf>
    <xf numFmtId="0" fontId="96" fillId="0" borderId="123" xfId="0" applyFont="1" applyFill="1" applyBorder="1" applyAlignment="1" applyProtection="1">
      <alignment horizontal="center" vertical="center" wrapText="1"/>
    </xf>
    <xf numFmtId="0" fontId="96" fillId="0" borderId="1" xfId="0" applyFont="1" applyFill="1" applyBorder="1" applyAlignment="1" applyProtection="1">
      <alignment horizontal="center" vertical="center" wrapText="1"/>
    </xf>
    <xf numFmtId="191" fontId="96" fillId="0"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191" fontId="96" fillId="0" borderId="2" xfId="0" applyNumberFormat="1" applyFont="1" applyFill="1" applyBorder="1" applyAlignment="1" applyProtection="1">
      <alignment horizontal="center" vertical="center" wrapText="1"/>
    </xf>
    <xf numFmtId="191" fontId="96" fillId="0" borderId="3" xfId="0" applyNumberFormat="1" applyFont="1" applyFill="1" applyBorder="1" applyAlignment="1" applyProtection="1">
      <alignment horizontal="center" vertical="center" wrapText="1"/>
    </xf>
    <xf numFmtId="191" fontId="96" fillId="0" borderId="4" xfId="0" applyNumberFormat="1"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xf>
    <xf numFmtId="191" fontId="96" fillId="0" borderId="6"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96"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176" fontId="150" fillId="0" borderId="0" xfId="0" applyNumberFormat="1" applyFont="1" applyAlignment="1" applyProtection="1">
      <alignment horizontal="right" vertical="center"/>
      <protection locked="0"/>
    </xf>
    <xf numFmtId="0" fontId="68" fillId="0" borderId="0" xfId="0" applyFont="1" applyAlignment="1" applyProtection="1">
      <alignment vertical="center" wrapText="1"/>
    </xf>
    <xf numFmtId="0" fontId="9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64"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3"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8" fillId="0" borderId="2" xfId="0" applyFont="1" applyBorder="1" applyAlignment="1" applyProtection="1">
      <alignment horizontal="left" vertical="center"/>
    </xf>
    <xf numFmtId="0" fontId="134" fillId="2" borderId="1" xfId="17" applyFont="1" applyFill="1" applyBorder="1" applyAlignment="1">
      <alignment horizontal="left" vertical="center"/>
    </xf>
    <xf numFmtId="0" fontId="135" fillId="0" borderId="1" xfId="17" applyFont="1" applyBorder="1" applyAlignment="1">
      <alignment horizontal="left" vertical="center"/>
    </xf>
    <xf numFmtId="0" fontId="135" fillId="0" borderId="156" xfId="17" applyFont="1" applyBorder="1" applyAlignment="1">
      <alignment horizontal="left" vertical="center"/>
    </xf>
    <xf numFmtId="0" fontId="0" fillId="7" borderId="0" xfId="0" applyFont="1" applyFill="1" applyBorder="1" applyAlignment="1" applyProtection="1">
      <alignment horizontal="center" vertical="center" wrapText="1"/>
    </xf>
    <xf numFmtId="0" fontId="58" fillId="7" borderId="64" xfId="0" applyFont="1" applyFill="1" applyBorder="1" applyAlignment="1" applyProtection="1">
      <alignment horizontal="left" vertical="center"/>
    </xf>
    <xf numFmtId="0" fontId="58" fillId="7" borderId="16" xfId="0" applyFont="1" applyFill="1" applyBorder="1" applyAlignment="1" applyProtection="1">
      <alignment horizontal="left" vertical="center"/>
    </xf>
    <xf numFmtId="0" fontId="58" fillId="7" borderId="112" xfId="0" applyFont="1" applyFill="1" applyBorder="1" applyAlignment="1" applyProtection="1">
      <alignment horizontal="left" vertical="center"/>
    </xf>
    <xf numFmtId="0" fontId="58" fillId="7" borderId="119" xfId="0" applyFont="1" applyFill="1" applyBorder="1" applyAlignment="1" applyProtection="1">
      <alignment horizontal="left" vertical="center"/>
    </xf>
    <xf numFmtId="0" fontId="58" fillId="7" borderId="109" xfId="0" applyFont="1" applyFill="1" applyBorder="1" applyAlignment="1" applyProtection="1">
      <alignment horizontal="left" vertical="center" wrapText="1"/>
    </xf>
    <xf numFmtId="0" fontId="58" fillId="7" borderId="25" xfId="0" applyFont="1" applyFill="1" applyBorder="1" applyAlignment="1" applyProtection="1">
      <alignment horizontal="left" vertical="center" wrapText="1"/>
    </xf>
    <xf numFmtId="0" fontId="58" fillId="7" borderId="115" xfId="0" applyFont="1" applyFill="1" applyBorder="1" applyAlignment="1" applyProtection="1">
      <alignment horizontal="left" vertical="center" wrapText="1"/>
    </xf>
    <xf numFmtId="49" fontId="61" fillId="0" borderId="3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49" fontId="61" fillId="0" borderId="4" xfId="0" applyNumberFormat="1" applyFont="1" applyFill="1" applyBorder="1" applyAlignment="1" applyProtection="1">
      <alignment horizontal="left" vertical="center"/>
      <protection locked="0"/>
    </xf>
    <xf numFmtId="0" fontId="61" fillId="0" borderId="2"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0" fontId="61" fillId="0" borderId="4" xfId="0" applyNumberFormat="1" applyFont="1" applyBorder="1" applyAlignment="1" applyProtection="1">
      <alignment horizontal="left" vertical="center"/>
      <protection locked="0"/>
    </xf>
    <xf numFmtId="49" fontId="61" fillId="4" borderId="2" xfId="0" applyNumberFormat="1" applyFont="1" applyFill="1" applyBorder="1" applyAlignment="1" applyProtection="1">
      <alignment horizontal="left" vertical="center"/>
      <protection locked="0"/>
    </xf>
    <xf numFmtId="49" fontId="61" fillId="4" borderId="3" xfId="0" applyNumberFormat="1" applyFont="1" applyFill="1" applyBorder="1" applyAlignment="1" applyProtection="1">
      <alignment horizontal="left" vertical="center"/>
      <protection locked="0"/>
    </xf>
    <xf numFmtId="49" fontId="61" fillId="4" borderId="4" xfId="0" applyNumberFormat="1" applyFont="1" applyFill="1" applyBorder="1" applyAlignment="1" applyProtection="1">
      <alignment horizontal="left" vertical="center"/>
      <protection locked="0"/>
    </xf>
    <xf numFmtId="49" fontId="61" fillId="4" borderId="127" xfId="0" applyNumberFormat="1" applyFont="1" applyFill="1" applyBorder="1" applyAlignment="1" applyProtection="1">
      <alignment horizontal="left" vertical="center"/>
      <protection locked="0"/>
    </xf>
    <xf numFmtId="49" fontId="61" fillId="4" borderId="128" xfId="0" applyNumberFormat="1" applyFont="1" applyFill="1" applyBorder="1" applyAlignment="1" applyProtection="1">
      <alignment horizontal="left" vertical="center"/>
      <protection locked="0"/>
    </xf>
    <xf numFmtId="49" fontId="61" fillId="4" borderId="135" xfId="0" applyNumberFormat="1" applyFont="1" applyFill="1" applyBorder="1" applyAlignment="1" applyProtection="1">
      <alignment horizontal="left" vertical="center"/>
      <protection locked="0"/>
    </xf>
    <xf numFmtId="0" fontId="58" fillId="19" borderId="15" xfId="0" applyFont="1" applyFill="1" applyBorder="1" applyAlignment="1" applyProtection="1">
      <alignment horizontal="center" vertical="center" wrapText="1"/>
    </xf>
    <xf numFmtId="0" fontId="58" fillId="19" borderId="133" xfId="0" applyFont="1" applyFill="1" applyBorder="1" applyAlignment="1" applyProtection="1">
      <alignment horizontal="center" vertical="center" wrapText="1"/>
    </xf>
    <xf numFmtId="0" fontId="58" fillId="7" borderId="50" xfId="0" applyFont="1" applyFill="1" applyBorder="1" applyAlignment="1" applyProtection="1">
      <alignment horizontal="center" vertical="center" wrapText="1"/>
    </xf>
    <xf numFmtId="0" fontId="58" fillId="7" borderId="1" xfId="0" applyFont="1" applyFill="1" applyBorder="1" applyAlignment="1" applyProtection="1">
      <alignment horizontal="center" vertical="center" wrapText="1"/>
    </xf>
    <xf numFmtId="0" fontId="58" fillId="7" borderId="7" xfId="0" applyFont="1" applyFill="1" applyBorder="1" applyAlignment="1" applyProtection="1">
      <alignment vertical="center"/>
    </xf>
    <xf numFmtId="0" fontId="58" fillId="7" borderId="9" xfId="0" applyFont="1" applyFill="1" applyBorder="1" applyAlignment="1" applyProtection="1">
      <alignment vertical="center"/>
    </xf>
    <xf numFmtId="0" fontId="58" fillId="7" borderId="37" xfId="0" applyFont="1" applyFill="1" applyBorder="1" applyAlignment="1" applyProtection="1">
      <alignment vertical="center"/>
    </xf>
    <xf numFmtId="0" fontId="58" fillId="7" borderId="38" xfId="0" applyFont="1" applyFill="1" applyBorder="1" applyAlignment="1" applyProtection="1">
      <alignment vertical="center"/>
    </xf>
    <xf numFmtId="0" fontId="58" fillId="0" borderId="2" xfId="0" applyFont="1" applyBorder="1" applyAlignment="1" applyProtection="1">
      <alignment horizontal="left" vertical="center" wrapText="1"/>
      <protection locked="0"/>
    </xf>
    <xf numFmtId="0" fontId="58" fillId="0" borderId="4" xfId="0" applyFont="1" applyBorder="1" applyAlignment="1" applyProtection="1">
      <alignment horizontal="left" vertical="center" wrapText="1"/>
      <protection locked="0"/>
    </xf>
    <xf numFmtId="0" fontId="58" fillId="7" borderId="1" xfId="0" applyNumberFormat="1" applyFont="1" applyFill="1" applyBorder="1" applyAlignment="1" applyProtection="1">
      <alignment horizontal="center" vertical="center" wrapText="1"/>
    </xf>
    <xf numFmtId="0" fontId="126" fillId="0" borderId="1" xfId="0" applyFont="1" applyBorder="1" applyAlignment="1">
      <alignment horizontal="center" vertical="center" wrapText="1"/>
    </xf>
    <xf numFmtId="0" fontId="125" fillId="0" borderId="1" xfId="0" applyFont="1" applyFill="1" applyBorder="1" applyAlignment="1" applyProtection="1">
      <alignment horizontal="center" vertical="center" wrapText="1"/>
    </xf>
    <xf numFmtId="0" fontId="81" fillId="7" borderId="37" xfId="0" applyFont="1" applyFill="1" applyBorder="1" applyAlignment="1" applyProtection="1">
      <alignment horizontal="center" vertical="center"/>
    </xf>
    <xf numFmtId="0" fontId="81" fillId="7" borderId="38" xfId="0" applyFont="1" applyFill="1" applyBorder="1" applyAlignment="1" applyProtection="1">
      <alignment horizontal="center" vertical="center"/>
    </xf>
    <xf numFmtId="0" fontId="81" fillId="7" borderId="113" xfId="0" applyFont="1" applyFill="1" applyBorder="1" applyAlignment="1" applyProtection="1">
      <alignment horizontal="center" vertical="center"/>
    </xf>
    <xf numFmtId="0" fontId="91" fillId="7" borderId="18" xfId="0" applyFont="1" applyFill="1" applyBorder="1" applyAlignment="1" applyProtection="1">
      <alignment horizontal="center" vertical="center"/>
    </xf>
    <xf numFmtId="0" fontId="91" fillId="7" borderId="35" xfId="0" applyFont="1" applyFill="1" applyBorder="1" applyAlignment="1" applyProtection="1">
      <alignment horizontal="center" vertical="center"/>
    </xf>
    <xf numFmtId="0" fontId="91" fillId="7" borderId="36" xfId="0" applyFont="1" applyFill="1" applyBorder="1" applyAlignment="1" applyProtection="1">
      <alignment horizontal="center" vertical="center"/>
    </xf>
    <xf numFmtId="0" fontId="81" fillId="7" borderId="7" xfId="0" applyFont="1" applyFill="1" applyBorder="1" applyAlignment="1" applyProtection="1">
      <alignment horizontal="center" vertical="center"/>
    </xf>
    <xf numFmtId="0" fontId="81" fillId="7" borderId="8" xfId="0" applyFont="1" applyFill="1" applyBorder="1" applyAlignment="1" applyProtection="1">
      <alignment horizontal="center" vertical="center"/>
    </xf>
    <xf numFmtId="0" fontId="81" fillId="7" borderId="9" xfId="0" applyFont="1" applyFill="1" applyBorder="1" applyAlignment="1" applyProtection="1">
      <alignment horizontal="center" vertical="center"/>
    </xf>
    <xf numFmtId="0" fontId="91" fillId="7" borderId="1" xfId="0" applyFont="1" applyFill="1" applyBorder="1" applyAlignment="1" applyProtection="1">
      <alignment horizontal="center" vertical="center"/>
    </xf>
    <xf numFmtId="0" fontId="91" fillId="7" borderId="15" xfId="0" applyFont="1" applyFill="1" applyBorder="1" applyAlignment="1" applyProtection="1">
      <alignment horizontal="center" vertical="center"/>
    </xf>
    <xf numFmtId="0" fontId="91" fillId="7" borderId="37" xfId="0" applyFont="1" applyFill="1" applyBorder="1" applyAlignment="1" applyProtection="1">
      <alignment horizontal="center" vertical="center"/>
    </xf>
    <xf numFmtId="0" fontId="91" fillId="7" borderId="38" xfId="0" applyFont="1" applyFill="1" applyBorder="1" applyAlignment="1" applyProtection="1">
      <alignment horizontal="center" vertical="center"/>
    </xf>
    <xf numFmtId="0" fontId="91" fillId="7" borderId="113" xfId="0" applyFont="1" applyFill="1" applyBorder="1" applyAlignment="1" applyProtection="1">
      <alignment horizontal="center" vertical="center"/>
    </xf>
    <xf numFmtId="0" fontId="81" fillId="7" borderId="1" xfId="0" applyFont="1" applyFill="1" applyBorder="1" applyAlignment="1" applyProtection="1">
      <alignment horizontal="center" vertical="center"/>
    </xf>
    <xf numFmtId="0" fontId="93" fillId="7" borderId="148" xfId="0" applyFont="1" applyFill="1" applyBorder="1" applyAlignment="1" applyProtection="1">
      <alignment vertical="center"/>
    </xf>
    <xf numFmtId="0" fontId="93" fillId="7" borderId="149" xfId="0" applyFont="1" applyFill="1" applyBorder="1" applyAlignment="1" applyProtection="1">
      <alignment vertical="center"/>
    </xf>
    <xf numFmtId="0" fontId="98" fillId="7" borderId="117" xfId="0" applyFont="1" applyFill="1" applyBorder="1" applyAlignment="1" applyProtection="1">
      <alignment horizontal="center" vertical="center"/>
    </xf>
    <xf numFmtId="0" fontId="98" fillId="7" borderId="25" xfId="0" applyFont="1" applyFill="1" applyBorder="1" applyAlignment="1" applyProtection="1">
      <alignment horizontal="center" vertical="center"/>
    </xf>
    <xf numFmtId="0" fontId="98" fillId="7" borderId="115" xfId="0" applyFont="1" applyFill="1" applyBorder="1" applyAlignment="1" applyProtection="1">
      <alignment horizontal="center" vertical="center"/>
    </xf>
    <xf numFmtId="0" fontId="58" fillId="7" borderId="120" xfId="0" applyFont="1" applyFill="1" applyBorder="1" applyAlignment="1" applyProtection="1">
      <alignment horizontal="center" vertical="center"/>
    </xf>
    <xf numFmtId="0" fontId="58" fillId="7" borderId="96" xfId="0" applyFont="1" applyFill="1" applyBorder="1" applyAlignment="1" applyProtection="1">
      <alignment horizontal="center" vertical="center"/>
    </xf>
    <xf numFmtId="0" fontId="58" fillId="7" borderId="2" xfId="0" applyFont="1" applyFill="1" applyBorder="1" applyAlignment="1" applyProtection="1">
      <alignment horizontal="center" vertical="center" wrapText="1"/>
    </xf>
    <xf numFmtId="0" fontId="58" fillId="7" borderId="3" xfId="0" applyFont="1" applyFill="1" applyBorder="1" applyAlignment="1" applyProtection="1">
      <alignment horizontal="center" vertical="center" wrapText="1"/>
    </xf>
    <xf numFmtId="0" fontId="58" fillId="7" borderId="4" xfId="0" applyFont="1" applyFill="1" applyBorder="1" applyAlignment="1" applyProtection="1">
      <alignment horizontal="center" vertical="center" wrapText="1"/>
    </xf>
    <xf numFmtId="0" fontId="42" fillId="7" borderId="50" xfId="0" applyFont="1" applyFill="1" applyBorder="1" applyAlignment="1" applyProtection="1">
      <alignment horizontal="left" vertical="center" wrapText="1"/>
    </xf>
    <xf numFmtId="0" fontId="42" fillId="7" borderId="0" xfId="0" applyFont="1" applyFill="1" applyAlignment="1" applyProtection="1">
      <alignment horizontal="left" vertical="center" wrapText="1"/>
    </xf>
    <xf numFmtId="0" fontId="60" fillId="7" borderId="48" xfId="0" applyFont="1" applyFill="1" applyBorder="1" applyAlignment="1" applyProtection="1">
      <alignment horizontal="left" vertical="center" wrapText="1"/>
    </xf>
    <xf numFmtId="0" fontId="60" fillId="7" borderId="95" xfId="0" applyFont="1" applyFill="1" applyBorder="1" applyAlignment="1" applyProtection="1">
      <alignment horizontal="left" vertical="center" wrapText="1"/>
    </xf>
    <xf numFmtId="0" fontId="60" fillId="7" borderId="112" xfId="0" applyFont="1" applyFill="1" applyBorder="1" applyAlignment="1" applyProtection="1">
      <alignment horizontal="left" vertical="center" wrapText="1"/>
    </xf>
    <xf numFmtId="0" fontId="63" fillId="7" borderId="1" xfId="0" applyFont="1" applyFill="1" applyBorder="1" applyAlignment="1" applyProtection="1">
      <alignment horizontal="center" vertical="center" wrapText="1"/>
    </xf>
    <xf numFmtId="0" fontId="60" fillId="7" borderId="37" xfId="0" applyFont="1" applyFill="1" applyBorder="1" applyAlignment="1" applyProtection="1">
      <alignment horizontal="center" vertical="center" wrapText="1"/>
    </xf>
    <xf numFmtId="0" fontId="60" fillId="7" borderId="38" xfId="0" applyFont="1" applyFill="1" applyBorder="1" applyAlignment="1" applyProtection="1">
      <alignment horizontal="center" vertical="center" wrapText="1"/>
    </xf>
    <xf numFmtId="0" fontId="60" fillId="7" borderId="39" xfId="0" applyFont="1" applyFill="1" applyBorder="1" applyAlignment="1" applyProtection="1">
      <alignment horizontal="center" vertical="center" wrapText="1"/>
    </xf>
    <xf numFmtId="0" fontId="63" fillId="7" borderId="1" xfId="0" applyFont="1" applyFill="1" applyBorder="1" applyAlignment="1" applyProtection="1">
      <alignment horizontal="left" vertical="center" wrapText="1"/>
    </xf>
    <xf numFmtId="0" fontId="116" fillId="7" borderId="1" xfId="0" applyFont="1" applyFill="1" applyBorder="1" applyAlignment="1" applyProtection="1">
      <alignment horizontal="center" vertical="center" wrapText="1"/>
      <protection locked="0"/>
    </xf>
    <xf numFmtId="0" fontId="81" fillId="0" borderId="1" xfId="0" applyFont="1" applyBorder="1" applyAlignment="1" applyProtection="1">
      <alignment horizontal="center" vertical="center"/>
      <protection locked="0"/>
    </xf>
    <xf numFmtId="182" fontId="116" fillId="7" borderId="1" xfId="0" applyNumberFormat="1" applyFont="1" applyFill="1" applyBorder="1" applyAlignment="1" applyProtection="1">
      <alignment horizontal="center" vertical="center" wrapText="1"/>
    </xf>
    <xf numFmtId="0" fontId="58" fillId="7" borderId="51" xfId="0" applyFont="1" applyFill="1" applyBorder="1" applyAlignment="1" applyProtection="1">
      <alignment horizontal="left" vertical="center" wrapText="1"/>
    </xf>
    <xf numFmtId="0" fontId="58" fillId="7" borderId="1" xfId="0" applyFont="1" applyFill="1" applyBorder="1" applyAlignment="1" applyProtection="1">
      <alignment horizontal="left" vertical="center" wrapText="1"/>
    </xf>
    <xf numFmtId="0" fontId="116" fillId="7" borderId="1" xfId="0" applyFont="1" applyFill="1" applyBorder="1" applyAlignment="1" applyProtection="1">
      <alignment horizontal="center" vertical="center" wrapText="1"/>
    </xf>
    <xf numFmtId="0" fontId="58" fillId="7" borderId="3" xfId="0" applyFont="1" applyFill="1" applyBorder="1" applyAlignment="1" applyProtection="1">
      <alignment horizontal="left" vertical="center" wrapText="1"/>
    </xf>
    <xf numFmtId="0" fontId="30" fillId="7" borderId="1" xfId="0" applyFont="1" applyFill="1" applyBorder="1" applyAlignment="1" applyProtection="1">
      <alignment horizontal="left" vertical="center" wrapText="1"/>
    </xf>
    <xf numFmtId="0" fontId="58" fillId="7" borderId="2" xfId="0" applyFont="1" applyFill="1" applyBorder="1" applyAlignment="1" applyProtection="1">
      <alignment horizontal="left" vertical="center" wrapText="1"/>
    </xf>
    <xf numFmtId="0" fontId="58" fillId="7" borderId="4" xfId="0" applyFont="1" applyFill="1" applyBorder="1" applyAlignment="1" applyProtection="1">
      <alignment horizontal="left" vertical="center" wrapText="1"/>
    </xf>
    <xf numFmtId="0" fontId="58" fillId="7" borderId="10" xfId="0" applyFont="1" applyFill="1" applyBorder="1" applyAlignment="1" applyProtection="1">
      <alignment horizontal="left" vertical="center" wrapText="1"/>
    </xf>
    <xf numFmtId="0" fontId="58" fillId="7" borderId="40" xfId="0" applyFont="1" applyFill="1" applyBorder="1" applyAlignment="1" applyProtection="1">
      <alignment horizontal="left" vertical="center"/>
    </xf>
    <xf numFmtId="0" fontId="58" fillId="7" borderId="43" xfId="0" applyFont="1" applyFill="1" applyBorder="1" applyAlignment="1" applyProtection="1">
      <alignment horizontal="left" vertical="center"/>
    </xf>
    <xf numFmtId="0" fontId="58" fillId="7" borderId="28" xfId="0" applyFont="1" applyFill="1" applyBorder="1" applyAlignment="1" applyProtection="1">
      <alignment horizontal="left" vertical="center"/>
    </xf>
    <xf numFmtId="0" fontId="52" fillId="7" borderId="30" xfId="0"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xf>
    <xf numFmtId="0" fontId="52" fillId="7" borderId="7" xfId="0" applyFont="1" applyFill="1" applyBorder="1" applyAlignment="1" applyProtection="1">
      <alignment horizontal="left" vertical="center" wrapText="1"/>
    </xf>
    <xf numFmtId="0" fontId="52" fillId="7" borderId="8" xfId="0" applyFont="1" applyFill="1" applyBorder="1" applyAlignment="1" applyProtection="1">
      <alignment horizontal="left" vertical="center" wrapText="1"/>
    </xf>
    <xf numFmtId="10" fontId="108" fillId="7" borderId="1" xfId="0" applyNumberFormat="1" applyFont="1" applyFill="1" applyBorder="1" applyAlignment="1" applyProtection="1">
      <alignment horizontal="left" vertical="center" wrapText="1"/>
    </xf>
    <xf numFmtId="10" fontId="58" fillId="7" borderId="1" xfId="0" applyNumberFormat="1" applyFont="1" applyFill="1" applyBorder="1" applyAlignment="1" applyProtection="1">
      <alignment horizontal="left" vertical="center" wrapText="1"/>
    </xf>
    <xf numFmtId="10" fontId="58" fillId="7" borderId="2" xfId="0" applyNumberFormat="1" applyFont="1" applyFill="1" applyBorder="1" applyAlignment="1" applyProtection="1">
      <alignment horizontal="left" vertical="center" wrapText="1"/>
    </xf>
    <xf numFmtId="10" fontId="58" fillId="7" borderId="3" xfId="0" applyNumberFormat="1" applyFont="1" applyFill="1" applyBorder="1" applyAlignment="1" applyProtection="1">
      <alignment horizontal="left" vertical="center" wrapText="1"/>
    </xf>
    <xf numFmtId="10" fontId="58" fillId="7" borderId="42" xfId="0" applyNumberFormat="1" applyFont="1" applyFill="1" applyBorder="1" applyAlignment="1" applyProtection="1">
      <alignment horizontal="left" vertical="center" wrapText="1"/>
    </xf>
    <xf numFmtId="0" fontId="58" fillId="7" borderId="2" xfId="0" applyFont="1" applyFill="1" applyBorder="1" applyAlignment="1" applyProtection="1">
      <alignment horizontal="left" vertical="center"/>
    </xf>
    <xf numFmtId="0" fontId="58" fillId="7" borderId="3" xfId="0" applyFont="1" applyFill="1" applyBorder="1" applyAlignment="1" applyProtection="1">
      <alignment horizontal="left" vertical="center"/>
    </xf>
    <xf numFmtId="0" fontId="58" fillId="7" borderId="4" xfId="0" applyFont="1" applyFill="1" applyBorder="1" applyAlignment="1" applyProtection="1">
      <alignment horizontal="left" vertical="center"/>
    </xf>
    <xf numFmtId="0" fontId="58" fillId="7" borderId="12" xfId="0" applyFont="1" applyFill="1" applyBorder="1" applyAlignment="1" applyProtection="1">
      <alignment horizontal="left" vertical="center" wrapText="1"/>
    </xf>
    <xf numFmtId="0" fontId="58" fillId="7" borderId="13" xfId="0" applyFont="1" applyFill="1" applyBorder="1" applyAlignment="1" applyProtection="1">
      <alignment horizontal="left" vertical="center" wrapText="1"/>
    </xf>
    <xf numFmtId="0" fontId="60" fillId="7" borderId="21" xfId="0" applyFont="1" applyFill="1" applyBorder="1" applyAlignment="1" applyProtection="1">
      <alignment horizontal="center" vertical="center"/>
    </xf>
    <xf numFmtId="0" fontId="30" fillId="7" borderId="15" xfId="0" applyFont="1" applyFill="1" applyBorder="1" applyAlignment="1" applyProtection="1">
      <alignment horizontal="left" vertical="center" wrapText="1"/>
    </xf>
    <xf numFmtId="0" fontId="30" fillId="7" borderId="16" xfId="0" applyFont="1" applyFill="1" applyBorder="1" applyAlignment="1" applyProtection="1">
      <alignment horizontal="left" vertical="center" wrapText="1"/>
    </xf>
    <xf numFmtId="0" fontId="91" fillId="7" borderId="1" xfId="0" applyFont="1" applyFill="1" applyBorder="1" applyAlignment="1" applyProtection="1">
      <alignment horizontal="left" vertical="center" wrapText="1"/>
    </xf>
    <xf numFmtId="0" fontId="91" fillId="7" borderId="2" xfId="0" applyFont="1" applyFill="1" applyBorder="1" applyAlignment="1" applyProtection="1">
      <alignment horizontal="left" vertical="center" wrapText="1"/>
    </xf>
    <xf numFmtId="0" fontId="91" fillId="7" borderId="3" xfId="0" applyFont="1" applyFill="1" applyBorder="1" applyAlignment="1" applyProtection="1">
      <alignment horizontal="left" vertical="center" wrapText="1"/>
    </xf>
    <xf numFmtId="0" fontId="91" fillId="7" borderId="4" xfId="0" applyFont="1" applyFill="1" applyBorder="1" applyAlignment="1" applyProtection="1">
      <alignment horizontal="left" vertical="center" wrapText="1"/>
    </xf>
    <xf numFmtId="0" fontId="81" fillId="7" borderId="1" xfId="0" applyFont="1" applyFill="1" applyBorder="1" applyAlignment="1" applyProtection="1">
      <alignment horizontal="left" vertical="center" wrapText="1"/>
    </xf>
    <xf numFmtId="191" fontId="81" fillId="7" borderId="2" xfId="0" applyNumberFormat="1" applyFont="1" applyFill="1" applyBorder="1" applyAlignment="1" applyProtection="1">
      <alignment horizontal="left" vertical="center" wrapText="1"/>
    </xf>
    <xf numFmtId="191" fontId="81" fillId="7" borderId="3" xfId="0" applyNumberFormat="1" applyFont="1" applyFill="1" applyBorder="1" applyAlignment="1" applyProtection="1">
      <alignment horizontal="left" vertical="center" wrapText="1"/>
    </xf>
    <xf numFmtId="191" fontId="81" fillId="7" borderId="4" xfId="0" applyNumberFormat="1" applyFont="1" applyFill="1" applyBorder="1" applyAlignment="1" applyProtection="1">
      <alignment horizontal="left" vertical="center" wrapText="1"/>
    </xf>
    <xf numFmtId="0" fontId="81" fillId="7" borderId="2" xfId="0" applyFont="1" applyFill="1" applyBorder="1" applyAlignment="1" applyProtection="1">
      <alignment horizontal="left" vertical="center" wrapText="1"/>
    </xf>
    <xf numFmtId="0" fontId="81" fillId="7" borderId="3" xfId="0" applyFont="1" applyFill="1" applyBorder="1" applyAlignment="1" applyProtection="1">
      <alignment horizontal="left" vertical="center" wrapText="1"/>
    </xf>
    <xf numFmtId="0" fontId="81" fillId="7" borderId="4" xfId="0" applyFont="1" applyFill="1" applyBorder="1" applyAlignment="1" applyProtection="1">
      <alignment horizontal="left" vertical="center" wrapText="1"/>
    </xf>
    <xf numFmtId="0" fontId="81" fillId="0" borderId="15"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16" xfId="0" applyFont="1" applyBorder="1" applyAlignment="1" applyProtection="1">
      <alignment horizontal="center" vertical="center"/>
      <protection locked="0"/>
    </xf>
    <xf numFmtId="0" fontId="81" fillId="2" borderId="15" xfId="0" applyFont="1" applyFill="1" applyBorder="1" applyAlignment="1" applyProtection="1">
      <alignment horizontal="left" vertical="center" wrapText="1"/>
      <protection locked="0"/>
    </xf>
    <xf numFmtId="0" fontId="81" fillId="2" borderId="16" xfId="0" applyFont="1" applyFill="1" applyBorder="1" applyAlignment="1" applyProtection="1">
      <alignment horizontal="left" vertical="center" wrapText="1"/>
      <protection locked="0"/>
    </xf>
    <xf numFmtId="10" fontId="21" fillId="7" borderId="2" xfId="0" applyNumberFormat="1" applyFont="1" applyFill="1" applyBorder="1" applyAlignment="1" applyProtection="1">
      <alignment horizontal="left" vertical="center" wrapText="1"/>
    </xf>
    <xf numFmtId="10" fontId="21" fillId="7" borderId="3" xfId="0" applyNumberFormat="1" applyFont="1" applyFill="1" applyBorder="1" applyAlignment="1" applyProtection="1">
      <alignment horizontal="left" vertical="center" wrapText="1"/>
    </xf>
    <xf numFmtId="10" fontId="21" fillId="7" borderId="42" xfId="0" applyNumberFormat="1" applyFont="1" applyFill="1" applyBorder="1" applyAlignment="1" applyProtection="1">
      <alignment horizontal="left" vertical="center" wrapText="1"/>
    </xf>
    <xf numFmtId="0" fontId="91" fillId="7" borderId="39" xfId="0" applyFont="1" applyFill="1" applyBorder="1" applyAlignment="1" applyProtection="1">
      <alignment horizontal="center" vertical="center"/>
    </xf>
    <xf numFmtId="0" fontId="119" fillId="7" borderId="146" xfId="0" applyFont="1" applyFill="1" applyBorder="1" applyProtection="1">
      <alignment vertical="center"/>
    </xf>
    <xf numFmtId="0" fontId="119" fillId="7" borderId="147" xfId="0" applyFont="1" applyFill="1" applyBorder="1" applyProtection="1">
      <alignment vertical="center"/>
    </xf>
    <xf numFmtId="0" fontId="91" fillId="2" borderId="41" xfId="0" applyFont="1" applyFill="1" applyBorder="1" applyAlignment="1" applyProtection="1">
      <alignment horizontal="left" vertical="center" wrapText="1"/>
      <protection locked="0"/>
    </xf>
    <xf numFmtId="0" fontId="91" fillId="2" borderId="4" xfId="0" applyFont="1" applyFill="1" applyBorder="1" applyAlignment="1" applyProtection="1">
      <alignment horizontal="left" vertical="center" wrapText="1"/>
      <protection locked="0"/>
    </xf>
    <xf numFmtId="0" fontId="58" fillId="7" borderId="31" xfId="0" applyFont="1" applyFill="1" applyBorder="1" applyAlignment="1" applyProtection="1">
      <alignment horizontal="left" vertical="center" wrapText="1"/>
    </xf>
    <xf numFmtId="0" fontId="91" fillId="7" borderId="2" xfId="0" applyFont="1" applyFill="1" applyBorder="1" applyAlignment="1" applyProtection="1">
      <alignment horizontal="center" vertical="center"/>
    </xf>
    <xf numFmtId="0" fontId="91" fillId="7" borderId="3" xfId="0" applyFont="1" applyFill="1" applyBorder="1" applyAlignment="1" applyProtection="1">
      <alignment horizontal="center" vertical="center"/>
    </xf>
    <xf numFmtId="0" fontId="91" fillId="7" borderId="4" xfId="0" applyFont="1" applyFill="1" applyBorder="1" applyAlignment="1" applyProtection="1">
      <alignment horizontal="center" vertical="center"/>
    </xf>
    <xf numFmtId="0" fontId="81" fillId="2" borderId="2" xfId="0" applyFont="1" applyFill="1" applyBorder="1" applyAlignment="1" applyProtection="1">
      <alignment horizontal="left" vertical="center" wrapText="1"/>
      <protection locked="0"/>
    </xf>
    <xf numFmtId="0" fontId="81" fillId="2" borderId="4" xfId="0" applyFont="1" applyFill="1" applyBorder="1" applyAlignment="1" applyProtection="1">
      <alignment horizontal="left" vertical="center" wrapText="1"/>
      <protection locked="0"/>
    </xf>
    <xf numFmtId="0" fontId="81" fillId="2" borderId="1" xfId="0" applyFont="1" applyFill="1" applyBorder="1" applyAlignment="1" applyProtection="1">
      <alignment horizontal="left" vertical="center" wrapText="1"/>
      <protection locked="0"/>
    </xf>
    <xf numFmtId="0" fontId="58" fillId="7" borderId="42" xfId="0" applyFont="1" applyFill="1" applyBorder="1" applyAlignment="1" applyProtection="1">
      <alignment horizontal="left" vertical="center" wrapText="1"/>
    </xf>
    <xf numFmtId="0" fontId="29" fillId="7" borderId="1" xfId="0" applyFont="1" applyFill="1" applyBorder="1" applyAlignment="1">
      <alignment horizontal="left" vertical="center" wrapText="1"/>
    </xf>
    <xf numFmtId="0" fontId="91" fillId="7" borderId="10" xfId="0" applyFont="1" applyFill="1" applyBorder="1" applyAlignment="1" applyProtection="1">
      <alignment horizontal="left" vertical="center"/>
    </xf>
    <xf numFmtId="0" fontId="91" fillId="7" borderId="1" xfId="0" applyFont="1" applyFill="1" applyBorder="1" applyAlignment="1" applyProtection="1">
      <alignment horizontal="left" vertical="center"/>
    </xf>
    <xf numFmtId="0" fontId="91" fillId="7" borderId="10" xfId="0" applyFont="1" applyFill="1" applyBorder="1" applyAlignment="1" applyProtection="1">
      <alignment horizontal="left" vertical="center" wrapText="1"/>
    </xf>
    <xf numFmtId="0" fontId="91" fillId="7" borderId="12" xfId="0" applyFont="1" applyFill="1" applyBorder="1" applyAlignment="1" applyProtection="1">
      <alignment horizontal="left" vertical="center" wrapText="1"/>
    </xf>
    <xf numFmtId="0" fontId="91" fillId="7" borderId="13" xfId="0" applyFont="1" applyFill="1" applyBorder="1" applyAlignment="1" applyProtection="1">
      <alignment horizontal="left" vertical="center" wrapText="1"/>
    </xf>
    <xf numFmtId="0" fontId="91" fillId="7" borderId="4" xfId="0" applyFont="1" applyFill="1" applyBorder="1" applyAlignment="1" applyProtection="1">
      <alignment horizontal="left" vertical="center"/>
    </xf>
    <xf numFmtId="0" fontId="58" fillId="7" borderId="95" xfId="0" applyFont="1" applyFill="1" applyBorder="1" applyAlignment="1" applyProtection="1">
      <alignment horizontal="left" vertical="center"/>
    </xf>
    <xf numFmtId="0" fontId="91" fillId="7" borderId="18" xfId="0" applyFont="1" applyFill="1" applyBorder="1" applyAlignment="1" applyProtection="1">
      <alignment horizontal="left" vertical="center" wrapText="1"/>
    </xf>
    <xf numFmtId="0" fontId="91" fillId="7" borderId="58" xfId="0" applyFont="1" applyFill="1" applyBorder="1" applyAlignment="1" applyProtection="1">
      <alignment horizontal="left" vertical="center" wrapText="1"/>
    </xf>
    <xf numFmtId="0" fontId="91" fillId="7" borderId="18" xfId="0" applyFont="1" applyFill="1" applyBorder="1" applyAlignment="1" applyProtection="1">
      <alignment horizontal="center" vertical="center" wrapText="1"/>
    </xf>
    <xf numFmtId="0" fontId="91" fillId="7" borderId="27" xfId="0" applyFont="1" applyFill="1" applyBorder="1" applyAlignment="1" applyProtection="1">
      <alignment horizontal="center" vertical="center" wrapText="1"/>
    </xf>
    <xf numFmtId="0" fontId="91" fillId="7" borderId="110" xfId="0" applyFont="1" applyFill="1" applyBorder="1" applyAlignment="1" applyProtection="1">
      <alignment horizontal="center" vertical="center" wrapText="1"/>
    </xf>
    <xf numFmtId="0" fontId="120" fillId="7" borderId="10" xfId="0" applyFont="1" applyFill="1" applyBorder="1" applyAlignment="1" applyProtection="1">
      <alignment horizontal="left" vertical="center"/>
    </xf>
    <xf numFmtId="0" fontId="120" fillId="7" borderId="12" xfId="0" applyFont="1" applyFill="1" applyBorder="1" applyAlignment="1" applyProtection="1">
      <alignment horizontal="left" vertical="center"/>
    </xf>
    <xf numFmtId="0" fontId="81" fillId="7" borderId="1" xfId="0" applyFont="1" applyFill="1" applyBorder="1" applyAlignment="1" applyProtection="1">
      <alignment horizontal="center" vertical="center" wrapText="1"/>
    </xf>
    <xf numFmtId="0" fontId="20" fillId="7" borderId="40" xfId="0" applyFont="1" applyFill="1" applyBorder="1" applyAlignment="1" applyProtection="1">
      <alignment horizontal="left" vertical="center"/>
    </xf>
    <xf numFmtId="0" fontId="20" fillId="7" borderId="43" xfId="0" applyFont="1" applyFill="1" applyBorder="1" applyAlignment="1" applyProtection="1">
      <alignment horizontal="left" vertical="center"/>
    </xf>
    <xf numFmtId="0" fontId="20" fillId="7" borderId="28" xfId="0" applyFont="1" applyFill="1" applyBorder="1" applyAlignment="1" applyProtection="1">
      <alignment horizontal="left" vertical="center"/>
    </xf>
    <xf numFmtId="0" fontId="21" fillId="7" borderId="109" xfId="0" applyFont="1" applyFill="1" applyBorder="1" applyAlignment="1" applyProtection="1">
      <alignment horizontal="left" vertical="center" wrapText="1"/>
    </xf>
    <xf numFmtId="0" fontId="21" fillId="7" borderId="115" xfId="0" applyFont="1" applyFill="1" applyBorder="1" applyAlignment="1" applyProtection="1">
      <alignment horizontal="left" vertical="center" wrapText="1"/>
    </xf>
    <xf numFmtId="0" fontId="58" fillId="7" borderId="15" xfId="0" applyFont="1" applyFill="1" applyBorder="1" applyAlignment="1" applyProtection="1">
      <alignment vertical="top" wrapText="1"/>
    </xf>
    <xf numFmtId="0" fontId="58" fillId="7" borderId="64" xfId="0" applyFont="1" applyFill="1" applyBorder="1" applyAlignment="1" applyProtection="1">
      <alignment vertical="top" wrapText="1"/>
    </xf>
    <xf numFmtId="0" fontId="58" fillId="7" borderId="16" xfId="0" applyFont="1" applyFill="1" applyBorder="1" applyAlignment="1" applyProtection="1">
      <alignment vertical="top" wrapText="1"/>
    </xf>
    <xf numFmtId="0" fontId="80" fillId="7" borderId="2" xfId="0" applyFont="1" applyFill="1" applyBorder="1" applyAlignment="1">
      <alignment horizontal="center" vertical="center"/>
    </xf>
    <xf numFmtId="0" fontId="80" fillId="7" borderId="4" xfId="0" applyFont="1" applyFill="1" applyBorder="1" applyAlignment="1">
      <alignment horizontal="center" vertical="center"/>
    </xf>
    <xf numFmtId="0" fontId="43" fillId="7" borderId="41" xfId="0" applyFont="1" applyFill="1" applyBorder="1" applyAlignment="1">
      <alignment horizontal="left" vertical="center"/>
    </xf>
    <xf numFmtId="0" fontId="43" fillId="7" borderId="3" xfId="0" applyFont="1" applyFill="1" applyBorder="1" applyAlignment="1">
      <alignment horizontal="left" vertical="center"/>
    </xf>
    <xf numFmtId="0" fontId="43" fillId="7" borderId="4" xfId="0" applyFont="1" applyFill="1" applyBorder="1" applyAlignment="1">
      <alignment horizontal="left" vertical="center"/>
    </xf>
    <xf numFmtId="0" fontId="102" fillId="7" borderId="1" xfId="0" applyFont="1" applyFill="1" applyBorder="1" applyAlignment="1">
      <alignment horizontal="center" vertical="center"/>
    </xf>
    <xf numFmtId="0" fontId="102" fillId="7" borderId="11" xfId="0" applyFont="1" applyFill="1" applyBorder="1" applyAlignment="1">
      <alignment horizontal="center" vertical="center"/>
    </xf>
    <xf numFmtId="0" fontId="32" fillId="0" borderId="1" xfId="0" applyFont="1" applyFill="1" applyBorder="1" applyAlignment="1">
      <alignment horizontal="center" vertical="center"/>
    </xf>
    <xf numFmtId="0" fontId="35" fillId="0" borderId="1" xfId="0" applyFont="1" applyFill="1" applyBorder="1" applyAlignment="1">
      <alignment horizontal="center" vertical="center"/>
    </xf>
    <xf numFmtId="0" fontId="32" fillId="0" borderId="1" xfId="0" applyFont="1" applyBorder="1" applyAlignment="1">
      <alignment horizontal="center"/>
    </xf>
    <xf numFmtId="0" fontId="34" fillId="18" borderId="2" xfId="0" applyFont="1" applyFill="1" applyBorder="1" applyAlignment="1">
      <alignment horizontal="left" vertical="center"/>
    </xf>
    <xf numFmtId="0" fontId="34" fillId="18" borderId="3" xfId="0" applyFont="1" applyFill="1" applyBorder="1" applyAlignment="1">
      <alignment horizontal="left" vertical="center"/>
    </xf>
    <xf numFmtId="0" fontId="34" fillId="18" borderId="4" xfId="0" applyFont="1" applyFill="1" applyBorder="1" applyAlignment="1">
      <alignment horizontal="left" vertical="center"/>
    </xf>
    <xf numFmtId="0" fontId="35" fillId="18" borderId="1" xfId="0" applyFont="1" applyFill="1" applyBorder="1" applyAlignment="1">
      <alignment horizontal="center" vertical="center"/>
    </xf>
    <xf numFmtId="0" fontId="35" fillId="7" borderId="10" xfId="0" applyFont="1" applyFill="1" applyBorder="1" applyAlignment="1">
      <alignment horizontal="left" vertical="center" wrapText="1"/>
    </xf>
    <xf numFmtId="0" fontId="34" fillId="7" borderId="129" xfId="0" applyFont="1" applyFill="1" applyBorder="1" applyAlignment="1">
      <alignment vertical="center"/>
    </xf>
    <xf numFmtId="0" fontId="34" fillId="7" borderId="95" xfId="0" applyFont="1" applyFill="1" applyBorder="1" applyAlignment="1">
      <alignment vertical="center"/>
    </xf>
    <xf numFmtId="0" fontId="34" fillId="7" borderId="112" xfId="0" applyFont="1" applyFill="1" applyBorder="1" applyAlignment="1">
      <alignment vertical="center"/>
    </xf>
    <xf numFmtId="0" fontId="34" fillId="7" borderId="61" xfId="0" applyFont="1" applyFill="1" applyBorder="1" applyAlignment="1">
      <alignment vertical="center"/>
    </xf>
    <xf numFmtId="0" fontId="34" fillId="7" borderId="21" xfId="0" applyFont="1" applyFill="1" applyBorder="1" applyAlignment="1">
      <alignment vertical="center"/>
    </xf>
    <xf numFmtId="0" fontId="34" fillId="7" borderId="68" xfId="0" applyFont="1" applyFill="1" applyBorder="1" applyAlignment="1">
      <alignment vertical="center"/>
    </xf>
    <xf numFmtId="0" fontId="32" fillId="0" borderId="1" xfId="0" applyFont="1" applyBorder="1" applyAlignment="1"/>
    <xf numFmtId="0" fontId="35" fillId="7" borderId="1" xfId="0" applyFont="1" applyFill="1" applyBorder="1" applyAlignment="1">
      <alignment horizontal="left" vertical="center" wrapText="1"/>
    </xf>
    <xf numFmtId="0" fontId="75" fillId="7" borderId="7" xfId="0" applyFont="1" applyFill="1" applyBorder="1" applyAlignment="1" applyProtection="1">
      <alignment horizontal="center" vertical="center" wrapText="1"/>
    </xf>
    <xf numFmtId="0" fontId="75" fillId="7" borderId="9" xfId="0" applyFont="1" applyFill="1" applyBorder="1" applyAlignment="1" applyProtection="1">
      <alignment horizontal="center" vertical="center" wrapText="1"/>
    </xf>
    <xf numFmtId="0" fontId="75" fillId="7" borderId="113" xfId="0" applyFont="1" applyFill="1" applyBorder="1" applyAlignment="1" applyProtection="1">
      <alignment horizontal="center" vertical="center" wrapText="1"/>
    </xf>
    <xf numFmtId="0" fontId="75" fillId="7" borderId="32" xfId="0" applyFont="1" applyFill="1" applyBorder="1" applyAlignment="1" applyProtection="1">
      <alignment horizontal="center" vertical="center" wrapText="1"/>
    </xf>
    <xf numFmtId="0" fontId="90" fillId="0" borderId="10" xfId="0" applyFont="1" applyFill="1" applyBorder="1" applyAlignment="1" applyProtection="1">
      <alignment horizontal="center" vertical="center" wrapText="1"/>
      <protection locked="0"/>
    </xf>
    <xf numFmtId="0" fontId="90"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90" fillId="0" borderId="2"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90" fillId="0" borderId="40" xfId="0" applyFont="1" applyFill="1" applyBorder="1" applyAlignment="1" applyProtection="1">
      <alignment horizontal="center" vertical="center" wrapText="1"/>
      <protection locked="0"/>
    </xf>
    <xf numFmtId="0" fontId="90" fillId="0" borderId="112" xfId="0" applyFont="1" applyFill="1" applyBorder="1" applyAlignment="1" applyProtection="1">
      <alignment horizontal="center" vertical="center" wrapText="1"/>
      <protection locked="0"/>
    </xf>
    <xf numFmtId="0" fontId="90" fillId="0" borderId="48" xfId="0" applyFont="1" applyFill="1" applyBorder="1" applyAlignment="1" applyProtection="1">
      <alignment horizontal="center" vertical="center" wrapText="1"/>
      <protection locked="0"/>
    </xf>
    <xf numFmtId="0" fontId="81" fillId="7" borderId="2" xfId="0" applyFont="1" applyFill="1" applyBorder="1" applyAlignment="1" applyProtection="1">
      <alignment horizontal="center" vertical="center"/>
    </xf>
    <xf numFmtId="0" fontId="81" fillId="7" borderId="3" xfId="0" applyFont="1" applyFill="1" applyBorder="1" applyAlignment="1" applyProtection="1">
      <alignment horizontal="center" vertical="center"/>
    </xf>
    <xf numFmtId="0" fontId="81" fillId="7" borderId="4" xfId="0" applyFont="1" applyFill="1" applyBorder="1" applyAlignment="1" applyProtection="1">
      <alignment horizontal="center" vertical="center"/>
    </xf>
    <xf numFmtId="0" fontId="75" fillId="7" borderId="1" xfId="0" applyFont="1" applyFill="1" applyBorder="1" applyAlignment="1" applyProtection="1">
      <alignment horizontal="center" vertical="center" wrapText="1"/>
    </xf>
    <xf numFmtId="0" fontId="75" fillId="7" borderId="1" xfId="0" applyFont="1" applyFill="1" applyBorder="1" applyAlignment="1" applyProtection="1">
      <alignment horizontal="center" vertical="center"/>
    </xf>
    <xf numFmtId="0" fontId="75" fillId="7" borderId="10" xfId="0" applyFont="1" applyFill="1" applyBorder="1" applyAlignment="1" applyProtection="1">
      <alignment horizontal="center" vertical="center" wrapText="1"/>
    </xf>
    <xf numFmtId="0" fontId="75" fillId="7" borderId="51" xfId="0" applyFont="1" applyFill="1" applyBorder="1" applyAlignment="1" applyProtection="1">
      <alignment horizontal="center" vertical="center" wrapText="1"/>
    </xf>
    <xf numFmtId="0" fontId="75" fillId="7" borderId="27" xfId="0" applyFont="1" applyFill="1" applyBorder="1" applyAlignment="1" applyProtection="1">
      <alignment horizontal="center" vertical="center" wrapText="1"/>
    </xf>
    <xf numFmtId="0" fontId="75" fillId="7" borderId="51" xfId="0" applyFont="1" applyFill="1" applyBorder="1" applyAlignment="1" applyProtection="1">
      <alignment horizontal="center" vertical="center" textRotation="255" wrapText="1"/>
    </xf>
    <xf numFmtId="0" fontId="75" fillId="7" borderId="27" xfId="0" applyFont="1" applyFill="1" applyBorder="1" applyAlignment="1" applyProtection="1">
      <alignment horizontal="center" vertical="center" textRotation="255" wrapText="1"/>
    </xf>
    <xf numFmtId="0" fontId="75" fillId="7" borderId="58" xfId="0" applyFont="1" applyFill="1" applyBorder="1" applyAlignment="1" applyProtection="1">
      <alignment horizontal="center" vertical="center" textRotation="255" wrapText="1"/>
    </xf>
    <xf numFmtId="0" fontId="75" fillId="7" borderId="15" xfId="0" applyFont="1" applyFill="1" applyBorder="1" applyAlignment="1" applyProtection="1">
      <alignment horizontal="center" vertical="center" wrapText="1"/>
    </xf>
    <xf numFmtId="0" fontId="75" fillId="7" borderId="64" xfId="0" applyFont="1" applyFill="1" applyBorder="1" applyAlignment="1" applyProtection="1">
      <alignment horizontal="center" vertical="center" wrapText="1"/>
    </xf>
    <xf numFmtId="0" fontId="75" fillId="7" borderId="64" xfId="0" applyFont="1" applyFill="1" applyBorder="1" applyAlignment="1" applyProtection="1">
      <alignment horizontal="center" vertical="center" textRotation="255" wrapText="1"/>
    </xf>
    <xf numFmtId="0" fontId="75" fillId="7" borderId="16" xfId="0" applyFont="1" applyFill="1" applyBorder="1" applyAlignment="1" applyProtection="1">
      <alignment horizontal="center" vertical="center" textRotation="255" wrapText="1"/>
    </xf>
    <xf numFmtId="0" fontId="75" fillId="7" borderId="1" xfId="0" applyNumberFormat="1" applyFont="1" applyFill="1" applyBorder="1" applyAlignment="1" applyProtection="1">
      <alignment horizontal="center" vertical="center"/>
    </xf>
    <xf numFmtId="0" fontId="75" fillId="7" borderId="2" xfId="0" applyFont="1" applyFill="1" applyBorder="1" applyAlignment="1" applyProtection="1">
      <alignment horizontal="center" vertical="center" wrapText="1"/>
    </xf>
    <xf numFmtId="0" fontId="75" fillId="7" borderId="4" xfId="0" applyFont="1" applyFill="1" applyBorder="1" applyAlignment="1" applyProtection="1">
      <alignment horizontal="center" vertical="center" wrapText="1"/>
    </xf>
    <xf numFmtId="0" fontId="76" fillId="16" borderId="1" xfId="0" applyNumberFormat="1" applyFont="1" applyFill="1" applyBorder="1" applyAlignment="1" applyProtection="1">
      <alignment horizontal="center" vertical="center"/>
    </xf>
    <xf numFmtId="0" fontId="75" fillId="7" borderId="15" xfId="0" applyFont="1" applyFill="1" applyBorder="1" applyAlignment="1" applyProtection="1">
      <alignment horizontal="center" vertical="center"/>
    </xf>
    <xf numFmtId="0" fontId="75" fillId="7" borderId="64" xfId="0" applyFont="1" applyFill="1" applyBorder="1" applyAlignment="1" applyProtection="1">
      <alignment horizontal="center" vertical="center"/>
    </xf>
    <xf numFmtId="0" fontId="75" fillId="7" borderId="16" xfId="0" applyFont="1" applyFill="1" applyBorder="1" applyAlignment="1" applyProtection="1">
      <alignment horizontal="center" vertical="center"/>
    </xf>
    <xf numFmtId="0" fontId="75" fillId="7" borderId="48" xfId="0" applyFont="1" applyFill="1" applyBorder="1" applyAlignment="1" applyProtection="1">
      <alignment horizontal="center" vertical="center" wrapText="1"/>
    </xf>
    <xf numFmtId="0" fontId="75" fillId="7" borderId="112" xfId="0" applyFont="1" applyFill="1" applyBorder="1" applyAlignment="1" applyProtection="1">
      <alignment horizontal="center" vertical="center" wrapText="1"/>
    </xf>
    <xf numFmtId="0" fontId="75" fillId="7" borderId="50" xfId="0" applyFont="1" applyFill="1" applyBorder="1" applyAlignment="1" applyProtection="1">
      <alignment horizontal="center" vertical="center" wrapText="1"/>
    </xf>
    <xf numFmtId="0" fontId="75" fillId="7" borderId="119" xfId="0" applyFont="1" applyFill="1" applyBorder="1" applyAlignment="1" applyProtection="1">
      <alignment horizontal="center" vertical="center" wrapText="1"/>
    </xf>
    <xf numFmtId="0" fontId="75" fillId="7" borderId="34" xfId="0" applyFont="1" applyFill="1" applyBorder="1" applyAlignment="1" applyProtection="1">
      <alignment horizontal="center" vertical="center" wrapText="1"/>
    </xf>
    <xf numFmtId="0" fontId="75" fillId="7" borderId="108" xfId="0" applyFont="1" applyFill="1" applyBorder="1" applyAlignment="1" applyProtection="1">
      <alignment horizontal="center" vertical="center" wrapText="1"/>
    </xf>
    <xf numFmtId="0" fontId="75" fillId="7" borderId="48" xfId="0" applyFont="1" applyFill="1" applyBorder="1" applyAlignment="1" applyProtection="1">
      <alignment horizontal="center" vertical="center"/>
    </xf>
    <xf numFmtId="0" fontId="75" fillId="7" borderId="112" xfId="0" applyFont="1" applyFill="1" applyBorder="1" applyAlignment="1" applyProtection="1">
      <alignment horizontal="center" vertical="center"/>
    </xf>
    <xf numFmtId="0" fontId="75" fillId="7" borderId="50" xfId="0" applyFont="1" applyFill="1" applyBorder="1" applyAlignment="1" applyProtection="1">
      <alignment horizontal="center" vertical="center"/>
    </xf>
    <xf numFmtId="0" fontId="75" fillId="7" borderId="119" xfId="0" applyFont="1" applyFill="1" applyBorder="1" applyAlignment="1" applyProtection="1">
      <alignment horizontal="center" vertical="center"/>
    </xf>
    <xf numFmtId="0" fontId="75" fillId="7" borderId="34" xfId="0" applyFont="1" applyFill="1" applyBorder="1" applyAlignment="1" applyProtection="1">
      <alignment horizontal="center" vertical="center"/>
    </xf>
    <xf numFmtId="0" fontId="75" fillId="7" borderId="108" xfId="0" applyFont="1" applyFill="1" applyBorder="1" applyAlignment="1" applyProtection="1">
      <alignment horizontal="center" vertical="center"/>
    </xf>
    <xf numFmtId="0" fontId="81" fillId="7" borderId="41" xfId="0" applyFont="1" applyFill="1" applyBorder="1" applyAlignment="1" applyProtection="1">
      <alignment horizontal="center" vertical="center"/>
    </xf>
    <xf numFmtId="0" fontId="75" fillId="7" borderId="44" xfId="0" applyFont="1" applyFill="1" applyBorder="1" applyAlignment="1" applyProtection="1">
      <alignment horizontal="center" vertical="center" wrapText="1"/>
    </xf>
    <xf numFmtId="0" fontId="75" fillId="7" borderId="62" xfId="0" applyFont="1" applyFill="1" applyBorder="1" applyAlignment="1" applyProtection="1">
      <alignment horizontal="center" vertical="center" wrapText="1"/>
    </xf>
    <xf numFmtId="0" fontId="76" fillId="7" borderId="13" xfId="0" applyNumberFormat="1" applyFont="1" applyFill="1" applyBorder="1" applyAlignment="1" applyProtection="1">
      <alignment horizontal="center" vertical="center"/>
    </xf>
    <xf numFmtId="0" fontId="75" fillId="7" borderId="35" xfId="0" applyFont="1" applyFill="1" applyBorder="1" applyAlignment="1" applyProtection="1">
      <alignment horizontal="center" vertical="center"/>
    </xf>
    <xf numFmtId="0" fontId="75" fillId="7" borderId="36" xfId="0" applyFont="1" applyFill="1" applyBorder="1" applyAlignment="1" applyProtection="1">
      <alignment horizontal="center" vertical="center"/>
    </xf>
    <xf numFmtId="0" fontId="75" fillId="7" borderId="43" xfId="0" applyFont="1" applyFill="1" applyBorder="1" applyAlignment="1" applyProtection="1">
      <alignment horizontal="center" vertical="center"/>
    </xf>
    <xf numFmtId="0" fontId="75" fillId="7" borderId="28" xfId="0" applyFont="1" applyFill="1" applyBorder="1" applyAlignment="1" applyProtection="1">
      <alignment horizontal="center" vertical="center"/>
    </xf>
    <xf numFmtId="0" fontId="75" fillId="7" borderId="49" xfId="0" applyFont="1" applyFill="1" applyBorder="1" applyAlignment="1" applyProtection="1">
      <alignment horizontal="center" vertical="center" wrapText="1"/>
    </xf>
    <xf numFmtId="0" fontId="75" fillId="7" borderId="111" xfId="0" applyFont="1" applyFill="1" applyBorder="1" applyAlignment="1" applyProtection="1">
      <alignment horizontal="center" vertical="center" wrapText="1"/>
    </xf>
    <xf numFmtId="0" fontId="75" fillId="7" borderId="30" xfId="0" applyFont="1" applyFill="1" applyBorder="1" applyAlignment="1" applyProtection="1">
      <alignment horizontal="center" vertical="center" wrapText="1"/>
    </xf>
    <xf numFmtId="0" fontId="75" fillId="7" borderId="120" xfId="0" applyFont="1" applyFill="1" applyBorder="1" applyAlignment="1" applyProtection="1">
      <alignment horizontal="center" vertical="center" wrapText="1"/>
    </xf>
    <xf numFmtId="0" fontId="75" fillId="7" borderId="17" xfId="0" applyFont="1" applyFill="1" applyBorder="1" applyAlignment="1" applyProtection="1">
      <alignment horizontal="center" vertical="center"/>
    </xf>
    <xf numFmtId="0" fontId="75" fillId="7" borderId="111" xfId="0" applyFont="1" applyFill="1" applyBorder="1" applyAlignment="1" applyProtection="1">
      <alignment horizontal="center" vertical="center"/>
    </xf>
    <xf numFmtId="0" fontId="75" fillId="7" borderId="8" xfId="0" applyFont="1" applyFill="1" applyBorder="1" applyAlignment="1" applyProtection="1">
      <alignment horizontal="center" vertical="center"/>
    </xf>
    <xf numFmtId="0" fontId="75" fillId="7" borderId="15" xfId="0" applyFont="1" applyFill="1" applyBorder="1" applyAlignment="1" applyProtection="1">
      <alignment horizontal="center" vertical="center" textRotation="255" wrapText="1"/>
    </xf>
    <xf numFmtId="0" fontId="76" fillId="7" borderId="1" xfId="0" applyNumberFormat="1" applyFont="1" applyFill="1" applyBorder="1" applyAlignment="1" applyProtection="1">
      <alignment horizontal="center" vertical="center"/>
    </xf>
    <xf numFmtId="0" fontId="30" fillId="7" borderId="10" xfId="0" applyFont="1" applyFill="1" applyBorder="1" applyAlignment="1" applyProtection="1">
      <alignment horizontal="center" vertical="center"/>
    </xf>
    <xf numFmtId="184" fontId="75" fillId="7" borderId="1" xfId="0" applyNumberFormat="1" applyFont="1" applyFill="1" applyBorder="1" applyAlignment="1" applyProtection="1">
      <alignment horizontal="center" vertical="center"/>
    </xf>
    <xf numFmtId="184" fontId="76" fillId="16" borderId="1" xfId="0" applyNumberFormat="1" applyFont="1" applyFill="1" applyBorder="1" applyAlignment="1" applyProtection="1">
      <alignment horizontal="center" vertical="center"/>
    </xf>
    <xf numFmtId="0" fontId="75" fillId="7" borderId="8" xfId="0" applyFont="1" applyFill="1" applyBorder="1" applyAlignment="1" applyProtection="1">
      <alignment horizontal="center" vertical="center" wrapText="1"/>
    </xf>
    <xf numFmtId="0" fontId="75" fillId="0" borderId="51"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112" xfId="0" applyFont="1" applyFill="1" applyBorder="1" applyAlignment="1" applyProtection="1">
      <alignment horizontal="center" vertical="center" wrapText="1"/>
      <protection locked="0"/>
    </xf>
    <xf numFmtId="0" fontId="75" fillId="0" borderId="48" xfId="0" applyFont="1" applyFill="1" applyBorder="1" applyAlignment="1" applyProtection="1">
      <alignment horizontal="center" vertical="center" wrapText="1"/>
      <protection locked="0"/>
    </xf>
    <xf numFmtId="0" fontId="51" fillId="7" borderId="2" xfId="0" applyFont="1" applyFill="1" applyBorder="1" applyAlignment="1" applyProtection="1">
      <alignment horizontal="center" vertical="center" wrapText="1"/>
    </xf>
    <xf numFmtId="0" fontId="51" fillId="7" borderId="3" xfId="0" applyFont="1" applyFill="1" applyBorder="1" applyAlignment="1" applyProtection="1">
      <alignment horizontal="center" vertical="center" wrapText="1"/>
    </xf>
    <xf numFmtId="0" fontId="51" fillId="7" borderId="0" xfId="0" applyFont="1" applyFill="1" applyBorder="1" applyAlignment="1" applyProtection="1">
      <alignment horizontal="center" vertical="center" wrapText="1"/>
    </xf>
    <xf numFmtId="0" fontId="51" fillId="7" borderId="112" xfId="0" applyFont="1" applyFill="1" applyBorder="1" applyAlignment="1" applyProtection="1">
      <alignment horizontal="center" vertical="center" wrapText="1"/>
    </xf>
    <xf numFmtId="0" fontId="20" fillId="7" borderId="3" xfId="12" applyFont="1" applyFill="1" applyBorder="1" applyAlignment="1" applyProtection="1">
      <alignment horizontal="right" vertical="center" wrapText="1"/>
      <protection locked="0"/>
    </xf>
    <xf numFmtId="0" fontId="20" fillId="7" borderId="4" xfId="12" applyFont="1" applyFill="1" applyBorder="1" applyAlignment="1" applyProtection="1">
      <alignment horizontal="right" vertical="center" wrapText="1"/>
      <protection locked="0"/>
    </xf>
    <xf numFmtId="0" fontId="20" fillId="7" borderId="17" xfId="0" applyFont="1" applyFill="1" applyBorder="1" applyAlignment="1" applyProtection="1">
      <alignment horizontal="center" vertical="center" wrapText="1"/>
    </xf>
    <xf numFmtId="0" fontId="20" fillId="7" borderId="111" xfId="0" applyFont="1" applyFill="1" applyBorder="1" applyAlignment="1" applyProtection="1">
      <alignment horizontal="center" vertical="center" wrapText="1"/>
    </xf>
    <xf numFmtId="0" fontId="63" fillId="7" borderId="0" xfId="0" applyFont="1" applyFill="1" applyAlignment="1" applyProtection="1">
      <alignment horizontal="center" vertical="center"/>
    </xf>
    <xf numFmtId="0" fontId="20" fillId="7" borderId="4" xfId="12" applyFont="1" applyFill="1" applyBorder="1" applyAlignment="1" applyProtection="1">
      <alignment horizontal="center" vertical="center" wrapText="1"/>
      <protection locked="0"/>
    </xf>
    <xf numFmtId="0" fontId="30" fillId="0" borderId="0" xfId="0" applyFont="1" applyAlignment="1" applyProtection="1">
      <alignment horizontal="left" vertical="center"/>
    </xf>
    <xf numFmtId="49" fontId="20" fillId="7" borderId="18" xfId="0" applyNumberFormat="1" applyFont="1" applyFill="1" applyBorder="1" applyAlignment="1" applyProtection="1">
      <alignment horizontal="center" vertical="center" wrapText="1"/>
    </xf>
    <xf numFmtId="49" fontId="20" fillId="7" borderId="27" xfId="0" applyNumberFormat="1" applyFont="1" applyFill="1" applyBorder="1" applyAlignment="1" applyProtection="1">
      <alignment horizontal="center" vertical="center" wrapText="1"/>
    </xf>
    <xf numFmtId="49" fontId="68" fillId="7" borderId="30" xfId="0" applyNumberFormat="1" applyFont="1" applyFill="1" applyBorder="1" applyAlignment="1" applyProtection="1">
      <alignment horizontal="center" vertical="center" wrapText="1"/>
    </xf>
    <xf numFmtId="49" fontId="68" fillId="7" borderId="110" xfId="0" applyNumberFormat="1" applyFont="1" applyFill="1" applyBorder="1" applyAlignment="1" applyProtection="1">
      <alignment horizontal="center" vertical="center" wrapText="1"/>
    </xf>
    <xf numFmtId="49" fontId="20" fillId="7" borderId="110" xfId="0" applyNumberFormat="1" applyFont="1" applyFill="1" applyBorder="1" applyAlignment="1" applyProtection="1">
      <alignment horizontal="center" vertical="center" wrapText="1"/>
    </xf>
    <xf numFmtId="0" fontId="78" fillId="7" borderId="15" xfId="0" applyFont="1" applyFill="1" applyBorder="1" applyAlignment="1" applyProtection="1">
      <alignment vertical="center" wrapText="1"/>
    </xf>
    <xf numFmtId="0" fontId="78" fillId="7" borderId="64" xfId="0" applyFont="1" applyFill="1" applyBorder="1" applyAlignment="1" applyProtection="1">
      <alignment vertical="center" wrapText="1"/>
    </xf>
    <xf numFmtId="0" fontId="78" fillId="7" borderId="16" xfId="0" applyFont="1" applyFill="1" applyBorder="1" applyAlignment="1" applyProtection="1">
      <alignment vertical="center" wrapText="1"/>
    </xf>
    <xf numFmtId="0" fontId="30" fillId="7" borderId="1" xfId="0" applyFont="1" applyFill="1" applyBorder="1" applyAlignment="1" applyProtection="1">
      <alignment horizontal="center" vertical="center"/>
    </xf>
    <xf numFmtId="0" fontId="30" fillId="7" borderId="15" xfId="0" applyFont="1" applyFill="1" applyBorder="1" applyAlignment="1" applyProtection="1">
      <alignment horizontal="center" vertical="center"/>
    </xf>
    <xf numFmtId="0" fontId="30" fillId="7" borderId="64" xfId="0" applyFont="1" applyFill="1" applyBorder="1" applyAlignment="1" applyProtection="1">
      <alignment horizontal="center" vertical="center"/>
    </xf>
    <xf numFmtId="0" fontId="30" fillId="7" borderId="16" xfId="0" applyFont="1" applyFill="1" applyBorder="1" applyAlignment="1" applyProtection="1">
      <alignment horizontal="center" vertical="center"/>
    </xf>
    <xf numFmtId="0" fontId="30" fillId="7" borderId="15" xfId="0" applyFont="1" applyFill="1" applyBorder="1" applyAlignment="1" applyProtection="1">
      <alignment horizontal="center" vertical="center" wrapText="1"/>
    </xf>
    <xf numFmtId="0" fontId="30" fillId="7" borderId="16" xfId="0" applyFont="1" applyFill="1" applyBorder="1" applyAlignment="1" applyProtection="1">
      <alignment horizontal="center" vertical="center" wrapText="1"/>
    </xf>
    <xf numFmtId="0" fontId="33" fillId="7" borderId="15" xfId="0" applyFont="1" applyFill="1" applyBorder="1" applyAlignment="1" applyProtection="1">
      <alignment vertical="center" wrapText="1"/>
    </xf>
    <xf numFmtId="0" fontId="3" fillId="7" borderId="1" xfId="0" applyFont="1" applyFill="1" applyBorder="1" applyAlignment="1" applyProtection="1">
      <alignment horizontal="center" vertical="center"/>
    </xf>
    <xf numFmtId="0" fontId="65" fillId="0" borderId="0" xfId="4" applyFont="1" applyAlignment="1">
      <alignment horizontal="left" vertical="center"/>
    </xf>
    <xf numFmtId="0" fontId="63" fillId="0" borderId="0" xfId="4" applyFont="1" applyAlignment="1">
      <alignment horizontal="left" vertical="center"/>
    </xf>
    <xf numFmtId="0" fontId="34" fillId="0" borderId="0" xfId="4" applyFont="1" applyAlignment="1">
      <alignment horizontal="left" vertical="center"/>
    </xf>
    <xf numFmtId="0" fontId="69" fillId="13" borderId="77" xfId="4" applyFont="1" applyFill="1" applyBorder="1" applyAlignment="1" applyProtection="1">
      <alignment horizontal="left" vertical="center" wrapText="1"/>
    </xf>
    <xf numFmtId="0" fontId="69" fillId="13" borderId="81" xfId="4" applyFont="1" applyFill="1" applyBorder="1" applyAlignment="1" applyProtection="1">
      <alignment horizontal="left" vertical="center" wrapText="1"/>
    </xf>
    <xf numFmtId="0" fontId="69" fillId="13" borderId="82" xfId="4" applyFont="1" applyFill="1" applyBorder="1" applyAlignment="1" applyProtection="1">
      <alignment horizontal="left" vertical="center" wrapText="1"/>
    </xf>
    <xf numFmtId="0" fontId="69" fillId="13" borderId="83" xfId="4" applyFont="1" applyFill="1" applyBorder="1" applyAlignment="1" applyProtection="1">
      <alignment horizontal="left" vertical="center" wrapText="1"/>
    </xf>
    <xf numFmtId="0" fontId="69" fillId="13" borderId="84" xfId="4" applyFont="1" applyFill="1" applyBorder="1" applyAlignment="1" applyProtection="1">
      <alignment horizontal="left" vertical="center" wrapText="1"/>
    </xf>
    <xf numFmtId="0" fontId="30" fillId="13" borderId="84" xfId="4" applyFont="1" applyFill="1" applyBorder="1" applyAlignment="1" applyProtection="1">
      <alignment horizontal="left" vertical="center" wrapText="1"/>
    </xf>
    <xf numFmtId="0" fontId="30" fillId="13" borderId="77" xfId="4" applyFont="1" applyFill="1" applyBorder="1" applyAlignment="1" applyProtection="1">
      <alignment horizontal="left" vertical="center" wrapText="1"/>
    </xf>
    <xf numFmtId="0" fontId="30" fillId="13" borderId="83" xfId="4" applyFont="1" applyFill="1" applyBorder="1" applyAlignment="1" applyProtection="1">
      <alignment horizontal="left" vertical="center" wrapText="1"/>
    </xf>
    <xf numFmtId="0" fontId="58" fillId="7" borderId="47" xfId="0" applyFont="1" applyFill="1" applyBorder="1" applyAlignment="1" applyProtection="1">
      <alignment horizontal="center" vertical="center"/>
      <protection locked="0"/>
    </xf>
    <xf numFmtId="0" fontId="58" fillId="7" borderId="21" xfId="0" applyFont="1" applyFill="1" applyBorder="1" applyAlignment="1" applyProtection="1">
      <alignment horizontal="center" vertical="center"/>
      <protection locked="0"/>
    </xf>
    <xf numFmtId="0" fontId="58" fillId="7" borderId="68" xfId="0" applyFont="1" applyFill="1" applyBorder="1" applyAlignment="1" applyProtection="1">
      <alignment horizontal="center" vertical="center"/>
      <protection locked="0"/>
    </xf>
    <xf numFmtId="0" fontId="58" fillId="7" borderId="2" xfId="0" applyFont="1" applyFill="1" applyBorder="1" applyAlignment="1" applyProtection="1">
      <alignment horizontal="center" vertical="center"/>
    </xf>
    <xf numFmtId="0" fontId="58" fillId="7" borderId="3" xfId="0" applyFont="1" applyFill="1" applyBorder="1" applyAlignment="1" applyProtection="1">
      <alignment horizontal="center" vertical="center"/>
    </xf>
    <xf numFmtId="0" fontId="58" fillId="7" borderId="4" xfId="0" applyFont="1" applyFill="1" applyBorder="1" applyAlignment="1" applyProtection="1">
      <alignment horizontal="center" vertical="center"/>
    </xf>
    <xf numFmtId="0" fontId="46" fillId="7" borderId="0" xfId="0" applyFont="1" applyFill="1" applyAlignment="1" applyProtection="1">
      <alignment horizontal="center" vertical="center"/>
    </xf>
    <xf numFmtId="0" fontId="49" fillId="7" borderId="0" xfId="0" applyFont="1" applyFill="1" applyBorder="1" applyAlignment="1" applyProtection="1">
      <alignment horizontal="left" vertical="center"/>
    </xf>
    <xf numFmtId="0" fontId="47" fillId="7" borderId="7" xfId="0" applyFont="1" applyFill="1" applyBorder="1" applyAlignment="1" applyProtection="1">
      <alignment horizontal="center" vertical="center" wrapText="1"/>
    </xf>
    <xf numFmtId="0" fontId="47" fillId="7" borderId="12" xfId="0" applyFont="1" applyFill="1" applyBorder="1" applyAlignment="1" applyProtection="1">
      <alignment horizontal="center" vertical="center" wrapText="1"/>
    </xf>
    <xf numFmtId="0" fontId="24" fillId="6" borderId="0" xfId="0" applyFont="1" applyFill="1" applyAlignment="1">
      <alignment horizontal="left" vertical="center"/>
    </xf>
    <xf numFmtId="0" fontId="7" fillId="0" borderId="1" xfId="0" applyFont="1" applyBorder="1" applyAlignment="1">
      <alignment horizontal="left"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222" fillId="28" borderId="2" xfId="0" applyFont="1" applyFill="1" applyBorder="1" applyAlignment="1">
      <alignment horizontal="center" vertical="center" wrapText="1"/>
    </xf>
    <xf numFmtId="0" fontId="222" fillId="28" borderId="3" xfId="0" applyFont="1" applyFill="1" applyBorder="1" applyAlignment="1">
      <alignment horizontal="center" vertical="center" wrapText="1"/>
    </xf>
    <xf numFmtId="0" fontId="222" fillId="28" borderId="4" xfId="0" applyFont="1" applyFill="1" applyBorder="1" applyAlignment="1">
      <alignment horizontal="center" vertical="center" wrapText="1"/>
    </xf>
    <xf numFmtId="0" fontId="226" fillId="0" borderId="2" xfId="0" applyFont="1" applyFill="1" applyBorder="1" applyAlignment="1">
      <alignment horizontal="center" vertical="center" wrapText="1"/>
    </xf>
    <xf numFmtId="0" fontId="226" fillId="0" borderId="3" xfId="0" applyFont="1" applyFill="1" applyBorder="1" applyAlignment="1">
      <alignment horizontal="center" vertical="center" wrapText="1"/>
    </xf>
    <xf numFmtId="0" fontId="226" fillId="0" borderId="4" xfId="0" applyFont="1" applyFill="1" applyBorder="1" applyAlignment="1">
      <alignment horizontal="center" vertical="center" wrapText="1"/>
    </xf>
    <xf numFmtId="0" fontId="227" fillId="25" borderId="2" xfId="0" applyFont="1" applyFill="1" applyBorder="1" applyAlignment="1">
      <alignment horizontal="center" vertical="center" wrapText="1"/>
    </xf>
    <xf numFmtId="0" fontId="227" fillId="25" borderId="3" xfId="0" applyFont="1" applyFill="1" applyBorder="1" applyAlignment="1">
      <alignment horizontal="center" vertical="center" wrapText="1"/>
    </xf>
    <xf numFmtId="0" fontId="227" fillId="25" borderId="4" xfId="0" applyFont="1" applyFill="1" applyBorder="1" applyAlignment="1">
      <alignment horizontal="center" vertical="center" wrapText="1"/>
    </xf>
    <xf numFmtId="0" fontId="22" fillId="12" borderId="96" xfId="0" applyFont="1" applyFill="1" applyBorder="1" applyAlignment="1">
      <alignment horizontal="center" vertical="center" wrapText="1"/>
    </xf>
    <xf numFmtId="0" fontId="226" fillId="12" borderId="15" xfId="0" applyFont="1" applyFill="1" applyBorder="1" applyAlignment="1">
      <alignment horizontal="center" vertical="center" wrapText="1"/>
    </xf>
    <xf numFmtId="0" fontId="226" fillId="12" borderId="16" xfId="0" applyFont="1" applyFill="1" applyBorder="1" applyAlignment="1">
      <alignment horizontal="center" vertical="center" wrapText="1"/>
    </xf>
    <xf numFmtId="0" fontId="227" fillId="12" borderId="1" xfId="0" applyFont="1" applyFill="1" applyBorder="1" applyAlignment="1">
      <alignment horizontal="center" vertical="center" wrapText="1"/>
    </xf>
    <xf numFmtId="0" fontId="227" fillId="12" borderId="2" xfId="0" applyFont="1" applyFill="1" applyBorder="1" applyAlignment="1">
      <alignment horizontal="center" vertical="center" wrapText="1"/>
    </xf>
    <xf numFmtId="0" fontId="227" fillId="12" borderId="3" xfId="0" applyFont="1" applyFill="1" applyBorder="1" applyAlignment="1">
      <alignment horizontal="center" vertical="center" wrapText="1"/>
    </xf>
    <xf numFmtId="0" fontId="227" fillId="12" borderId="4" xfId="0" applyFont="1" applyFill="1" applyBorder="1" applyAlignment="1">
      <alignment horizontal="center" vertical="center" wrapText="1"/>
    </xf>
  </cellXfs>
  <cellStyles count="22">
    <cellStyle name="百分比" xfId="1" builtinId="5"/>
    <cellStyle name="百分比 2" xfId="3"/>
    <cellStyle name="常规" xfId="0" builtinId="0"/>
    <cellStyle name="常规 10" xfId="13"/>
    <cellStyle name="常规 16" xfId="7"/>
    <cellStyle name="常规 2" xfId="14"/>
    <cellStyle name="常规 2 2" xfId="12"/>
    <cellStyle name="常规 2 2 2 2 3" xfId="6"/>
    <cellStyle name="常规 3" xfId="15"/>
    <cellStyle name="常规 3 2" xfId="11"/>
    <cellStyle name="常规 4" xfId="16"/>
    <cellStyle name="常规 5" xfId="17"/>
    <cellStyle name="常规 6" xfId="2"/>
    <cellStyle name="常规 6 2" xfId="4"/>
    <cellStyle name="常规 6 2 2" xfId="8"/>
    <cellStyle name="常规 6 2 3" xfId="5"/>
    <cellStyle name="常规 6 2 4" xfId="10"/>
    <cellStyle name="常规 7" xfId="18"/>
    <cellStyle name="常规 8" xfId="19"/>
    <cellStyle name="常规 8 2" xfId="9"/>
    <cellStyle name="常规 9" xfId="20"/>
    <cellStyle name="常规 9 2" xfId="21"/>
  </cellStyles>
  <dxfs count="23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drawing3.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drawing4.xml.rels><?xml version="1.0" encoding="UTF-8" standalone="yes"?>
<Relationships xmlns="http://schemas.openxmlformats.org/package/2006/relationships"><Relationship Id="rId1" Type="http://schemas.openxmlformats.org/officeDocument/2006/relationships/image" Target="../media/image15.bmp"/></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bmp"/></Relationships>
</file>

<file path=xl/drawings/_rels/drawing6.xml.rels><?xml version="1.0" encoding="UTF-8" standalone="yes"?>
<Relationships xmlns="http://schemas.openxmlformats.org/package/2006/relationships"><Relationship Id="rId3" Type="http://schemas.openxmlformats.org/officeDocument/2006/relationships/image" Target="../media/image20.bmp"/><Relationship Id="rId7" Type="http://schemas.openxmlformats.org/officeDocument/2006/relationships/image" Target="../media/image24.png"/><Relationship Id="rId2" Type="http://schemas.openxmlformats.org/officeDocument/2006/relationships/image" Target="../media/image19.bmp"/><Relationship Id="rId1" Type="http://schemas.openxmlformats.org/officeDocument/2006/relationships/image" Target="../media/image18.bmp"/><Relationship Id="rId6" Type="http://schemas.openxmlformats.org/officeDocument/2006/relationships/image" Target="../media/image23.bmp"/><Relationship Id="rId5" Type="http://schemas.openxmlformats.org/officeDocument/2006/relationships/image" Target="../media/image22.bmp"/><Relationship Id="rId4" Type="http://schemas.openxmlformats.org/officeDocument/2006/relationships/image" Target="../media/image21.bmp"/></Relationships>
</file>

<file path=xl/drawings/_rels/drawing7.xml.rels><?xml version="1.0" encoding="UTF-8" standalone="yes"?>
<Relationships xmlns="http://schemas.openxmlformats.org/package/2006/relationships"><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2</xdr:row>
      <xdr:rowOff>76200</xdr:rowOff>
    </xdr:from>
    <xdr:to>
      <xdr:col>12</xdr:col>
      <xdr:colOff>265652</xdr:colOff>
      <xdr:row>16</xdr:row>
      <xdr:rowOff>94948</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 y="419100"/>
          <a:ext cx="8390477"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104774</xdr:colOff>
      <xdr:row>88</xdr:row>
      <xdr:rowOff>1234</xdr:rowOff>
    </xdr:from>
    <xdr:to>
      <xdr:col>36</xdr:col>
      <xdr:colOff>4445</xdr:colOff>
      <xdr:row>111</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7249140" y="15088235"/>
          <a:ext cx="7444105" cy="4047490"/>
        </a:xfrm>
        <a:prstGeom prst="rect">
          <a:avLst/>
        </a:prstGeom>
      </xdr:spPr>
    </xdr:pic>
    <xdr:clientData/>
  </xdr:twoCellAnchor>
  <xdr:twoCellAnchor editAs="oneCell">
    <xdr:from>
      <xdr:col>25</xdr:col>
      <xdr:colOff>128588</xdr:colOff>
      <xdr:row>111</xdr:row>
      <xdr:rowOff>104776</xdr:rowOff>
    </xdr:from>
    <xdr:to>
      <xdr:col>36</xdr:col>
      <xdr:colOff>570838</xdr:colOff>
      <xdr:row>128</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7273270" y="19135725"/>
          <a:ext cx="7985760" cy="2814320"/>
        </a:xfrm>
        <a:prstGeom prst="rect">
          <a:avLst/>
        </a:prstGeom>
      </xdr:spPr>
    </xdr:pic>
    <xdr:clientData/>
  </xdr:twoCellAnchor>
  <xdr:twoCellAnchor editAs="oneCell">
    <xdr:from>
      <xdr:col>25</xdr:col>
      <xdr:colOff>476250</xdr:colOff>
      <xdr:row>126</xdr:row>
      <xdr:rowOff>14288</xdr:rowOff>
    </xdr:from>
    <xdr:to>
      <xdr:col>37</xdr:col>
      <xdr:colOff>3792</xdr:colOff>
      <xdr:row>148</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7621250" y="21616670"/>
          <a:ext cx="7756525" cy="3909695"/>
        </a:xfrm>
        <a:prstGeom prst="rect">
          <a:avLst/>
        </a:prstGeom>
      </xdr:spPr>
    </xdr:pic>
    <xdr:clientData/>
  </xdr:twoCellAnchor>
  <xdr:twoCellAnchor editAs="oneCell">
    <xdr:from>
      <xdr:col>0</xdr:col>
      <xdr:colOff>9525</xdr:colOff>
      <xdr:row>88</xdr:row>
      <xdr:rowOff>61324</xdr:rowOff>
    </xdr:from>
    <xdr:to>
      <xdr:col>11</xdr:col>
      <xdr:colOff>438150</xdr:colOff>
      <xdr:row>113</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5148560"/>
          <a:ext cx="7972425" cy="4258945"/>
        </a:xfrm>
        <a:prstGeom prst="rect">
          <a:avLst/>
        </a:prstGeom>
      </xdr:spPr>
    </xdr:pic>
    <xdr:clientData/>
  </xdr:twoCellAnchor>
  <xdr:twoCellAnchor editAs="oneCell">
    <xdr:from>
      <xdr:col>0</xdr:col>
      <xdr:colOff>1</xdr:colOff>
      <xdr:row>113</xdr:row>
      <xdr:rowOff>119062</xdr:rowOff>
    </xdr:from>
    <xdr:to>
      <xdr:col>11</xdr:col>
      <xdr:colOff>533400</xdr:colOff>
      <xdr:row>128</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492595"/>
          <a:ext cx="8077200" cy="2519045"/>
        </a:xfrm>
        <a:prstGeom prst="rect">
          <a:avLst/>
        </a:prstGeom>
      </xdr:spPr>
    </xdr:pic>
    <xdr:clientData/>
  </xdr:twoCellAnchor>
  <xdr:twoCellAnchor editAs="oneCell">
    <xdr:from>
      <xdr:col>0</xdr:col>
      <xdr:colOff>0</xdr:colOff>
      <xdr:row>131</xdr:row>
      <xdr:rowOff>-1</xdr:rowOff>
    </xdr:from>
    <xdr:to>
      <xdr:col>10</xdr:col>
      <xdr:colOff>75328</xdr:colOff>
      <xdr:row>153</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459315"/>
          <a:ext cx="6932930" cy="3829050"/>
        </a:xfrm>
        <a:prstGeom prst="rect">
          <a:avLst/>
        </a:prstGeom>
      </xdr:spPr>
    </xdr:pic>
    <xdr:clientData/>
  </xdr:twoCellAnchor>
  <xdr:twoCellAnchor editAs="oneCell">
    <xdr:from>
      <xdr:col>11</xdr:col>
      <xdr:colOff>609600</xdr:colOff>
      <xdr:row>88</xdr:row>
      <xdr:rowOff>38100</xdr:rowOff>
    </xdr:from>
    <xdr:to>
      <xdr:col>24</xdr:col>
      <xdr:colOff>399833</xdr:colOff>
      <xdr:row>113</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8153400" y="15125700"/>
          <a:ext cx="8705215" cy="4356735"/>
        </a:xfrm>
        <a:prstGeom prst="rect">
          <a:avLst/>
        </a:prstGeom>
      </xdr:spPr>
    </xdr:pic>
    <xdr:clientData/>
  </xdr:twoCellAnchor>
  <xdr:twoCellAnchor editAs="oneCell">
    <xdr:from>
      <xdr:col>12</xdr:col>
      <xdr:colOff>90489</xdr:colOff>
      <xdr:row>114</xdr:row>
      <xdr:rowOff>26698</xdr:rowOff>
    </xdr:from>
    <xdr:to>
      <xdr:col>23</xdr:col>
      <xdr:colOff>609600</xdr:colOff>
      <xdr:row>128</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8319770" y="19571970"/>
          <a:ext cx="8063230" cy="2480310"/>
        </a:xfrm>
        <a:prstGeom prst="rect">
          <a:avLst/>
        </a:prstGeom>
      </xdr:spPr>
    </xdr:pic>
    <xdr:clientData/>
  </xdr:twoCellAnchor>
  <xdr:twoCellAnchor editAs="oneCell">
    <xdr:from>
      <xdr:col>14</xdr:col>
      <xdr:colOff>71437</xdr:colOff>
      <xdr:row>135</xdr:row>
      <xdr:rowOff>119062</xdr:rowOff>
    </xdr:from>
    <xdr:to>
      <xdr:col>23</xdr:col>
      <xdr:colOff>46851</xdr:colOff>
      <xdr:row>155</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9672320" y="23264495"/>
          <a:ext cx="6147435" cy="3466465"/>
        </a:xfrm>
        <a:prstGeom prst="rect">
          <a:avLst/>
        </a:prstGeom>
      </xdr:spPr>
    </xdr:pic>
    <xdr:clientData/>
  </xdr:twoCellAnchor>
  <xdr:twoCellAnchor editAs="oneCell">
    <xdr:from>
      <xdr:col>0</xdr:col>
      <xdr:colOff>19050</xdr:colOff>
      <xdr:row>155</xdr:row>
      <xdr:rowOff>95250</xdr:rowOff>
    </xdr:from>
    <xdr:to>
      <xdr:col>9</xdr:col>
      <xdr:colOff>0</xdr:colOff>
      <xdr:row>181</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26670000"/>
          <a:ext cx="6153150" cy="4485640"/>
        </a:xfrm>
        <a:prstGeom prst="rect">
          <a:avLst/>
        </a:prstGeom>
      </xdr:spPr>
    </xdr:pic>
    <xdr:clientData/>
  </xdr:twoCellAnchor>
  <xdr:twoCellAnchor editAs="oneCell">
    <xdr:from>
      <xdr:col>9</xdr:col>
      <xdr:colOff>609600</xdr:colOff>
      <xdr:row>156</xdr:row>
      <xdr:rowOff>85725</xdr:rowOff>
    </xdr:from>
    <xdr:to>
      <xdr:col>21</xdr:col>
      <xdr:colOff>122858</xdr:colOff>
      <xdr:row>183</xdr:row>
      <xdr:rowOff>94671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781800" y="26831925"/>
          <a:ext cx="7742555" cy="4638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104774</xdr:colOff>
      <xdr:row>13</xdr:row>
      <xdr:rowOff>1234</xdr:rowOff>
    </xdr:from>
    <xdr:to>
      <xdr:col>34</xdr:col>
      <xdr:colOff>4445</xdr:colOff>
      <xdr:row>36</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6182340" y="2229485"/>
          <a:ext cx="7444105" cy="4047490"/>
        </a:xfrm>
        <a:prstGeom prst="rect">
          <a:avLst/>
        </a:prstGeom>
      </xdr:spPr>
    </xdr:pic>
    <xdr:clientData/>
  </xdr:twoCellAnchor>
  <xdr:twoCellAnchor editAs="oneCell">
    <xdr:from>
      <xdr:col>23</xdr:col>
      <xdr:colOff>128588</xdr:colOff>
      <xdr:row>36</xdr:row>
      <xdr:rowOff>104776</xdr:rowOff>
    </xdr:from>
    <xdr:to>
      <xdr:col>34</xdr:col>
      <xdr:colOff>570838</xdr:colOff>
      <xdr:row>53</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6206470" y="6276975"/>
          <a:ext cx="7985760" cy="2814320"/>
        </a:xfrm>
        <a:prstGeom prst="rect">
          <a:avLst/>
        </a:prstGeom>
      </xdr:spPr>
    </xdr:pic>
    <xdr:clientData/>
  </xdr:twoCellAnchor>
  <xdr:twoCellAnchor editAs="oneCell">
    <xdr:from>
      <xdr:col>23</xdr:col>
      <xdr:colOff>476250</xdr:colOff>
      <xdr:row>51</xdr:row>
      <xdr:rowOff>14288</xdr:rowOff>
    </xdr:from>
    <xdr:to>
      <xdr:col>35</xdr:col>
      <xdr:colOff>3792</xdr:colOff>
      <xdr:row>73</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6554450" y="8757920"/>
          <a:ext cx="7756525" cy="3909695"/>
        </a:xfrm>
        <a:prstGeom prst="rect">
          <a:avLst/>
        </a:prstGeom>
      </xdr:spPr>
    </xdr:pic>
    <xdr:clientData/>
  </xdr:twoCellAnchor>
  <xdr:twoCellAnchor editAs="oneCell">
    <xdr:from>
      <xdr:col>0</xdr:col>
      <xdr:colOff>9525</xdr:colOff>
      <xdr:row>13</xdr:row>
      <xdr:rowOff>61324</xdr:rowOff>
    </xdr:from>
    <xdr:to>
      <xdr:col>11</xdr:col>
      <xdr:colOff>133350</xdr:colOff>
      <xdr:row>38</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2289810"/>
          <a:ext cx="7972425" cy="4258945"/>
        </a:xfrm>
        <a:prstGeom prst="rect">
          <a:avLst/>
        </a:prstGeom>
      </xdr:spPr>
    </xdr:pic>
    <xdr:clientData/>
  </xdr:twoCellAnchor>
  <xdr:twoCellAnchor editAs="oneCell">
    <xdr:from>
      <xdr:col>0</xdr:col>
      <xdr:colOff>1</xdr:colOff>
      <xdr:row>38</xdr:row>
      <xdr:rowOff>119062</xdr:rowOff>
    </xdr:from>
    <xdr:to>
      <xdr:col>11</xdr:col>
      <xdr:colOff>228600</xdr:colOff>
      <xdr:row>53</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633845"/>
          <a:ext cx="8077200" cy="2519045"/>
        </a:xfrm>
        <a:prstGeom prst="rect">
          <a:avLst/>
        </a:prstGeom>
      </xdr:spPr>
    </xdr:pic>
    <xdr:clientData/>
  </xdr:twoCellAnchor>
  <xdr:twoCellAnchor editAs="oneCell">
    <xdr:from>
      <xdr:col>0</xdr:col>
      <xdr:colOff>0</xdr:colOff>
      <xdr:row>56</xdr:row>
      <xdr:rowOff>-1</xdr:rowOff>
    </xdr:from>
    <xdr:to>
      <xdr:col>9</xdr:col>
      <xdr:colOff>456328</xdr:colOff>
      <xdr:row>78</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600565"/>
          <a:ext cx="6932930" cy="3829050"/>
        </a:xfrm>
        <a:prstGeom prst="rect">
          <a:avLst/>
        </a:prstGeom>
      </xdr:spPr>
    </xdr:pic>
    <xdr:clientData/>
  </xdr:twoCellAnchor>
  <xdr:twoCellAnchor editAs="oneCell">
    <xdr:from>
      <xdr:col>9</xdr:col>
      <xdr:colOff>609600</xdr:colOff>
      <xdr:row>13</xdr:row>
      <xdr:rowOff>38100</xdr:rowOff>
    </xdr:from>
    <xdr:to>
      <xdr:col>22</xdr:col>
      <xdr:colOff>399833</xdr:colOff>
      <xdr:row>38</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7086600" y="2266950"/>
          <a:ext cx="8705215" cy="4356735"/>
        </a:xfrm>
        <a:prstGeom prst="rect">
          <a:avLst/>
        </a:prstGeom>
      </xdr:spPr>
    </xdr:pic>
    <xdr:clientData/>
  </xdr:twoCellAnchor>
  <xdr:twoCellAnchor editAs="oneCell">
    <xdr:from>
      <xdr:col>10</xdr:col>
      <xdr:colOff>90489</xdr:colOff>
      <xdr:row>39</xdr:row>
      <xdr:rowOff>26698</xdr:rowOff>
    </xdr:from>
    <xdr:to>
      <xdr:col>21</xdr:col>
      <xdr:colOff>609600</xdr:colOff>
      <xdr:row>53</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7252970" y="6713220"/>
          <a:ext cx="8063230" cy="2480310"/>
        </a:xfrm>
        <a:prstGeom prst="rect">
          <a:avLst/>
        </a:prstGeom>
      </xdr:spPr>
    </xdr:pic>
    <xdr:clientData/>
  </xdr:twoCellAnchor>
  <xdr:twoCellAnchor editAs="oneCell">
    <xdr:from>
      <xdr:col>12</xdr:col>
      <xdr:colOff>71437</xdr:colOff>
      <xdr:row>60</xdr:row>
      <xdr:rowOff>119062</xdr:rowOff>
    </xdr:from>
    <xdr:to>
      <xdr:col>21</xdr:col>
      <xdr:colOff>46851</xdr:colOff>
      <xdr:row>80</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8605520" y="10405745"/>
          <a:ext cx="6147435" cy="3466465"/>
        </a:xfrm>
        <a:prstGeom prst="rect">
          <a:avLst/>
        </a:prstGeom>
      </xdr:spPr>
    </xdr:pic>
    <xdr:clientData/>
  </xdr:twoCellAnchor>
  <xdr:twoCellAnchor editAs="oneCell">
    <xdr:from>
      <xdr:col>0</xdr:col>
      <xdr:colOff>19050</xdr:colOff>
      <xdr:row>80</xdr:row>
      <xdr:rowOff>95250</xdr:rowOff>
    </xdr:from>
    <xdr:to>
      <xdr:col>8</xdr:col>
      <xdr:colOff>313565</xdr:colOff>
      <xdr:row>106</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13811250"/>
          <a:ext cx="6085205" cy="4485640"/>
        </a:xfrm>
        <a:prstGeom prst="rect">
          <a:avLst/>
        </a:prstGeom>
      </xdr:spPr>
    </xdr:pic>
    <xdr:clientData/>
  </xdr:twoCellAnchor>
  <xdr:twoCellAnchor editAs="oneCell">
    <xdr:from>
      <xdr:col>9</xdr:col>
      <xdr:colOff>142875</xdr:colOff>
      <xdr:row>81</xdr:row>
      <xdr:rowOff>19050</xdr:rowOff>
    </xdr:from>
    <xdr:to>
      <xdr:col>20</xdr:col>
      <xdr:colOff>341933</xdr:colOff>
      <xdr:row>108</xdr:row>
      <xdr:rowOff>27996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619875" y="13906500"/>
          <a:ext cx="7742555" cy="4638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6</xdr:col>
      <xdr:colOff>456368</xdr:colOff>
      <xdr:row>34</xdr:row>
      <xdr:rowOff>94681</xdr:rowOff>
    </xdr:to>
    <xdr:pic>
      <xdr:nvPicPr>
        <xdr:cNvPr id="6" name="图片 5"/>
        <xdr:cNvPicPr>
          <a:picLocks noChangeAspect="1"/>
        </xdr:cNvPicPr>
      </xdr:nvPicPr>
      <xdr:blipFill>
        <a:blip xmlns:r="http://schemas.openxmlformats.org/officeDocument/2006/relationships" r:embed="rId1"/>
        <a:stretch>
          <a:fillRect/>
        </a:stretch>
      </xdr:blipFill>
      <xdr:spPr>
        <a:xfrm>
          <a:off x="0" y="2857500"/>
          <a:ext cx="6656705" cy="45523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190501</xdr:colOff>
      <xdr:row>9</xdr:row>
      <xdr:rowOff>79374</xdr:rowOff>
    </xdr:from>
    <xdr:to>
      <xdr:col>18</xdr:col>
      <xdr:colOff>104825</xdr:colOff>
      <xdr:row>39</xdr:row>
      <xdr:rowOff>78828</xdr:rowOff>
    </xdr:to>
    <xdr:pic>
      <xdr:nvPicPr>
        <xdr:cNvPr id="3" name="图片 2"/>
        <xdr:cNvPicPr>
          <a:picLocks noChangeAspect="1"/>
        </xdr:cNvPicPr>
      </xdr:nvPicPr>
      <xdr:blipFill>
        <a:blip xmlns:r="http://schemas.openxmlformats.org/officeDocument/2006/relationships" r:embed="rId1"/>
        <a:stretch>
          <a:fillRect/>
        </a:stretch>
      </xdr:blipFill>
      <xdr:spPr>
        <a:xfrm>
          <a:off x="190501" y="3524249"/>
          <a:ext cx="12304762" cy="4373017"/>
        </a:xfrm>
        <a:prstGeom prst="rect">
          <a:avLst/>
        </a:prstGeom>
      </xdr:spPr>
    </xdr:pic>
    <xdr:clientData/>
  </xdr:twoCellAnchor>
  <xdr:twoCellAnchor editAs="oneCell">
    <xdr:from>
      <xdr:col>1</xdr:col>
      <xdr:colOff>0</xdr:colOff>
      <xdr:row>42</xdr:row>
      <xdr:rowOff>0</xdr:rowOff>
    </xdr:from>
    <xdr:to>
      <xdr:col>12</xdr:col>
      <xdr:colOff>408685</xdr:colOff>
      <xdr:row>69</xdr:row>
      <xdr:rowOff>9042</xdr:rowOff>
    </xdr:to>
    <xdr:pic>
      <xdr:nvPicPr>
        <xdr:cNvPr id="4" name="图片 3"/>
        <xdr:cNvPicPr>
          <a:picLocks noChangeAspect="1"/>
        </xdr:cNvPicPr>
      </xdr:nvPicPr>
      <xdr:blipFill>
        <a:blip xmlns:r="http://schemas.openxmlformats.org/officeDocument/2006/relationships" r:embed="rId2"/>
        <a:stretch>
          <a:fillRect/>
        </a:stretch>
      </xdr:blipFill>
      <xdr:spPr>
        <a:xfrm>
          <a:off x="317500" y="9088438"/>
          <a:ext cx="7123810" cy="38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18</xdr:col>
      <xdr:colOff>27104</xdr:colOff>
      <xdr:row>62</xdr:row>
      <xdr:rowOff>104248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7753350"/>
          <a:ext cx="11770995" cy="4218940"/>
        </a:xfrm>
        <a:prstGeom prst="rect">
          <a:avLst/>
        </a:prstGeom>
      </xdr:spPr>
    </xdr:pic>
    <xdr:clientData/>
  </xdr:twoCellAnchor>
  <xdr:twoCellAnchor editAs="oneCell">
    <xdr:from>
      <xdr:col>13</xdr:col>
      <xdr:colOff>333375</xdr:colOff>
      <xdr:row>38</xdr:row>
      <xdr:rowOff>152400</xdr:rowOff>
    </xdr:from>
    <xdr:to>
      <xdr:col>23</xdr:col>
      <xdr:colOff>237334</xdr:colOff>
      <xdr:row>60</xdr:row>
      <xdr:rowOff>94786</xdr:rowOff>
    </xdr:to>
    <xdr:pic>
      <xdr:nvPicPr>
        <xdr:cNvPr id="8" name="图片 7"/>
        <xdr:cNvPicPr>
          <a:picLocks noChangeAspect="1"/>
        </xdr:cNvPicPr>
      </xdr:nvPicPr>
      <xdr:blipFill>
        <a:blip xmlns:r="http://schemas.openxmlformats.org/officeDocument/2006/relationships" r:embed="rId2"/>
        <a:stretch>
          <a:fillRect/>
        </a:stretch>
      </xdr:blipFill>
      <xdr:spPr>
        <a:xfrm>
          <a:off x="9077325" y="7905750"/>
          <a:ext cx="6332855" cy="3714115"/>
        </a:xfrm>
        <a:prstGeom prst="rect">
          <a:avLst/>
        </a:prstGeom>
      </xdr:spPr>
    </xdr:pic>
    <xdr:clientData/>
  </xdr:twoCellAnchor>
  <xdr:twoCellAnchor editAs="oneCell">
    <xdr:from>
      <xdr:col>0</xdr:col>
      <xdr:colOff>0</xdr:colOff>
      <xdr:row>63</xdr:row>
      <xdr:rowOff>0</xdr:rowOff>
    </xdr:from>
    <xdr:to>
      <xdr:col>17</xdr:col>
      <xdr:colOff>550988</xdr:colOff>
      <xdr:row>87</xdr:row>
      <xdr:rowOff>9010</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2039600"/>
          <a:ext cx="11704320" cy="4123690"/>
        </a:xfrm>
        <a:prstGeom prst="rect">
          <a:avLst/>
        </a:prstGeom>
      </xdr:spPr>
    </xdr:pic>
    <xdr:clientData/>
  </xdr:twoCellAnchor>
  <xdr:twoCellAnchor editAs="oneCell">
    <xdr:from>
      <xdr:col>13</xdr:col>
      <xdr:colOff>152400</xdr:colOff>
      <xdr:row>63</xdr:row>
      <xdr:rowOff>152400</xdr:rowOff>
    </xdr:from>
    <xdr:to>
      <xdr:col>23</xdr:col>
      <xdr:colOff>256359</xdr:colOff>
      <xdr:row>85</xdr:row>
      <xdr:rowOff>104310</xdr:rowOff>
    </xdr:to>
    <xdr:pic>
      <xdr:nvPicPr>
        <xdr:cNvPr id="10" name="图片 9"/>
        <xdr:cNvPicPr>
          <a:picLocks noChangeAspect="1"/>
        </xdr:cNvPicPr>
      </xdr:nvPicPr>
      <xdr:blipFill>
        <a:blip xmlns:r="http://schemas.openxmlformats.org/officeDocument/2006/relationships" r:embed="rId4"/>
        <a:stretch>
          <a:fillRect/>
        </a:stretch>
      </xdr:blipFill>
      <xdr:spPr>
        <a:xfrm>
          <a:off x="8896350" y="12192000"/>
          <a:ext cx="6532880" cy="3723640"/>
        </a:xfrm>
        <a:prstGeom prst="rect">
          <a:avLst/>
        </a:prstGeom>
      </xdr:spPr>
    </xdr:pic>
    <xdr:clientData/>
  </xdr:twoCellAnchor>
  <xdr:twoCellAnchor editAs="oneCell">
    <xdr:from>
      <xdr:col>0</xdr:col>
      <xdr:colOff>0</xdr:colOff>
      <xdr:row>89</xdr:row>
      <xdr:rowOff>0</xdr:rowOff>
    </xdr:from>
    <xdr:to>
      <xdr:col>17</xdr:col>
      <xdr:colOff>465273</xdr:colOff>
      <xdr:row>113</xdr:row>
      <xdr:rowOff>37581</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16497300"/>
          <a:ext cx="11618595" cy="4152265"/>
        </a:xfrm>
        <a:prstGeom prst="rect">
          <a:avLst/>
        </a:prstGeom>
      </xdr:spPr>
    </xdr:pic>
    <xdr:clientData/>
  </xdr:twoCellAnchor>
  <xdr:twoCellAnchor editAs="oneCell">
    <xdr:from>
      <xdr:col>13</xdr:col>
      <xdr:colOff>228600</xdr:colOff>
      <xdr:row>89</xdr:row>
      <xdr:rowOff>114300</xdr:rowOff>
    </xdr:from>
    <xdr:to>
      <xdr:col>23</xdr:col>
      <xdr:colOff>151606</xdr:colOff>
      <xdr:row>110</xdr:row>
      <xdr:rowOff>66231</xdr:rowOff>
    </xdr:to>
    <xdr:pic>
      <xdr:nvPicPr>
        <xdr:cNvPr id="15" name="图片 14"/>
        <xdr:cNvPicPr>
          <a:picLocks noChangeAspect="1"/>
        </xdr:cNvPicPr>
      </xdr:nvPicPr>
      <xdr:blipFill>
        <a:blip xmlns:r="http://schemas.openxmlformats.org/officeDocument/2006/relationships" r:embed="rId6"/>
        <a:stretch>
          <a:fillRect/>
        </a:stretch>
      </xdr:blipFill>
      <xdr:spPr>
        <a:xfrm>
          <a:off x="8972550" y="16611600"/>
          <a:ext cx="6351905" cy="3552190"/>
        </a:xfrm>
        <a:prstGeom prst="rect">
          <a:avLst/>
        </a:prstGeom>
      </xdr:spPr>
    </xdr:pic>
    <xdr:clientData/>
  </xdr:twoCellAnchor>
  <xdr:twoCellAnchor editAs="oneCell">
    <xdr:from>
      <xdr:col>0</xdr:col>
      <xdr:colOff>0</xdr:colOff>
      <xdr:row>7</xdr:row>
      <xdr:rowOff>95250</xdr:rowOff>
    </xdr:from>
    <xdr:to>
      <xdr:col>9</xdr:col>
      <xdr:colOff>313531</xdr:colOff>
      <xdr:row>32</xdr:row>
      <xdr:rowOff>113762</xdr:rowOff>
    </xdr:to>
    <xdr:pic>
      <xdr:nvPicPr>
        <xdr:cNvPr id="2" name="图片 1"/>
        <xdr:cNvPicPr>
          <a:picLocks noChangeAspect="1"/>
        </xdr:cNvPicPr>
      </xdr:nvPicPr>
      <xdr:blipFill>
        <a:blip xmlns:r="http://schemas.openxmlformats.org/officeDocument/2006/relationships" r:embed="rId7"/>
        <a:stretch>
          <a:fillRect/>
        </a:stretch>
      </xdr:blipFill>
      <xdr:spPr>
        <a:xfrm>
          <a:off x="0" y="2533650"/>
          <a:ext cx="6352381" cy="43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1</xdr:rowOff>
    </xdr:from>
    <xdr:to>
      <xdr:col>6</xdr:col>
      <xdr:colOff>628430</xdr:colOff>
      <xdr:row>31</xdr:row>
      <xdr:rowOff>19051</xdr:rowOff>
    </xdr:to>
    <xdr:pic>
      <xdr:nvPicPr>
        <xdr:cNvPr id="2" name="图片 1"/>
        <xdr:cNvPicPr>
          <a:picLocks noChangeAspect="1"/>
        </xdr:cNvPicPr>
      </xdr:nvPicPr>
      <xdr:blipFill>
        <a:blip xmlns:r="http://schemas.openxmlformats.org/officeDocument/2006/relationships" r:embed="rId1"/>
        <a:stretch>
          <a:fillRect/>
        </a:stretch>
      </xdr:blipFill>
      <xdr:spPr>
        <a:xfrm>
          <a:off x="876300" y="2476500"/>
          <a:ext cx="6181090" cy="3829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52" customWidth="1"/>
    <col min="2" max="2" width="81" style="3153" customWidth="1"/>
    <col min="3" max="16384" width="9" style="3154"/>
  </cols>
  <sheetData>
    <row r="1" spans="1:2" s="3149" customFormat="1" ht="15.75">
      <c r="A1" s="3155" t="s">
        <v>0</v>
      </c>
      <c r="B1" s="3156" t="s">
        <v>1</v>
      </c>
    </row>
    <row r="2" spans="1:2" s="3150" customFormat="1">
      <c r="A2" s="3157" t="s">
        <v>2</v>
      </c>
      <c r="B2" s="3158" t="str">
        <f>'预评函-封皮'!B37:I37</f>
        <v>北京市房地产市场价值预评估</v>
      </c>
    </row>
    <row r="3" spans="1:2" s="3151" customFormat="1">
      <c r="A3" s="3159" t="s">
        <v>3</v>
      </c>
      <c r="B3" s="3160">
        <f>'预评函-封皮'!B40</f>
        <v>0</v>
      </c>
    </row>
    <row r="4" spans="1:2" s="3151" customFormat="1">
      <c r="A4" s="3159" t="s">
        <v>4</v>
      </c>
      <c r="B4" s="3160" t="str">
        <f ca="1">'预评函-封皮'!B46</f>
        <v>叶凌（注册号：1119970111)、陈颖（注册号：1120060040)</v>
      </c>
    </row>
    <row r="5" spans="1:2" s="3149" customFormat="1">
      <c r="A5" s="3161" t="s">
        <v>5</v>
      </c>
      <c r="B5" s="3162" t="str">
        <f>'预评函-封皮'!B49</f>
        <v>康正预评字号</v>
      </c>
    </row>
    <row r="6" spans="1:2" s="3150" customFormat="1">
      <c r="A6" s="3157" t="s">
        <v>6</v>
      </c>
      <c r="B6" s="3158" t="str">
        <f>'预评函-1'!A4</f>
        <v>受贵公司委托，我公司对北京市房地产市场价值进行了预评估。</v>
      </c>
    </row>
    <row r="7" spans="1:2" s="3151" customFormat="1">
      <c r="A7" s="3159" t="s">
        <v>7</v>
      </c>
      <c r="B7" s="3160" t="str">
        <f>'预评函-1'!A7</f>
        <v>估价对象为北京市房地产，为所有。根据《国有土地使用证》[]，估价对象（分摊）出让国有建设用地使用权面积为0.39平方米，建筑面积为1平方米。</v>
      </c>
    </row>
    <row r="8" spans="1:2" s="3151" customFormat="1">
      <c r="A8" s="3159" t="s">
        <v>8</v>
      </c>
      <c r="B8" s="3160" t="str">
        <f>'预评函-1'!A8</f>
        <v>估价对象简述。项目推广名，项目类型（用途），估价对象分布，各用途面积明细情况：XX用途建筑面积XX平方米，XX用途建筑面积XX平方米，……。复杂面积清单需设‘附表’列示：抵押物清单详见附表</v>
      </c>
    </row>
    <row r="9" spans="1:2" s="3151" customFormat="1">
      <c r="A9" s="3159" t="s">
        <v>9</v>
      </c>
      <c r="B9" s="3160" t="str">
        <f>'预评函-1'!A10</f>
        <v>估价对象为北京市房地产,为开发建设的居住项目，该项目尚在开发建设中。根据《国有土地使用证》[]，估价对象（分摊）出让国有建设用地使用权面积为0.39平方米，规划建筑面积为1平方米。</v>
      </c>
    </row>
    <row r="10" spans="1:2" s="3151" customFormat="1">
      <c r="A10" s="3159" t="s">
        <v>10</v>
      </c>
      <c r="B10" s="31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51" customFormat="1">
      <c r="A11" s="3159" t="s">
        <v>11</v>
      </c>
      <c r="B11" s="3160" t="str">
        <f>'预评函-1'!A13</f>
        <v>为估价委托人了解估价对象房地产市场价值提供参考依据。</v>
      </c>
    </row>
    <row r="12" spans="1:2" s="3151" customFormat="1">
      <c r="A12" s="3159" t="s">
        <v>12</v>
      </c>
      <c r="B12" s="3160" t="str">
        <f>'预评函-1'!A15</f>
        <v>2021年5月31日（评估专业人员实地查勘之日）</v>
      </c>
    </row>
    <row r="13" spans="1:2" s="3151" customFormat="1">
      <c r="A13" s="3159" t="s">
        <v>13</v>
      </c>
      <c r="B13" s="3160" t="str">
        <f>'预评函-1'!A18</f>
        <v>本次估价的“房地产价值”是指在正常市场情况下，在价值时点2021年5月31日，估价对象规划用途为，土地取得方式为划拨，假定未设立法定优先受偿款下的房地产市场价值。</v>
      </c>
    </row>
    <row r="14" spans="1:2" s="3151" customFormat="1">
      <c r="A14" s="3159" t="s">
        <v>14</v>
      </c>
      <c r="B14" s="316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51" customFormat="1">
      <c r="A15" s="3159" t="s">
        <v>15</v>
      </c>
      <c r="B15" s="3160" t="str">
        <f>'预评函-1'!A20</f>
        <v>——</v>
      </c>
    </row>
    <row r="16" spans="1:2" s="3151" customFormat="1">
      <c r="A16" s="3159" t="s">
        <v>16</v>
      </c>
      <c r="B16" s="3160" t="str">
        <f>'预评函-1'!A21</f>
        <v>——</v>
      </c>
    </row>
    <row r="17" spans="1:2" s="3151" customFormat="1">
      <c r="A17" s="3159" t="s">
        <v>17</v>
      </c>
      <c r="B17" s="3160" t="str">
        <f>'预评函-1'!A22</f>
        <v>——</v>
      </c>
    </row>
    <row r="18" spans="1:2" s="3149" customFormat="1">
      <c r="A18" s="3161" t="s">
        <v>18</v>
      </c>
      <c r="B18" s="3162" t="str">
        <f>'预评函-1'!A24</f>
        <v>本次评估采用的主估价方法为成本法和比较法。</v>
      </c>
    </row>
    <row r="19" spans="1:2" s="3150" customFormat="1">
      <c r="A19" s="3157" t="s">
        <v>19</v>
      </c>
      <c r="B19" s="31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51" customFormat="1">
      <c r="A20" s="3159" t="s">
        <v>20</v>
      </c>
      <c r="B20" s="3160">
        <f ca="1">'预评函-2'!D5</f>
        <v>3</v>
      </c>
    </row>
    <row r="21" spans="1:2" s="3151" customFormat="1">
      <c r="A21" s="3159" t="s">
        <v>21</v>
      </c>
      <c r="B21" s="3160">
        <f ca="1">'预评函-2'!D7</f>
        <v>27066</v>
      </c>
    </row>
    <row r="22" spans="1:2" s="3151" customFormat="1">
      <c r="A22" s="3159" t="s">
        <v>22</v>
      </c>
      <c r="B22" s="3160" t="str">
        <f ca="1">'预评函-2'!D6</f>
        <v>叁万元整</v>
      </c>
    </row>
    <row r="23" spans="1:2" s="3151" customFormat="1">
      <c r="A23" s="3159" t="s">
        <v>23</v>
      </c>
      <c r="B23" s="3160" t="str">
        <f>'预评函-2'!B8</f>
        <v>2.估价师知悉的法定优先受偿款</v>
      </c>
    </row>
    <row r="24" spans="1:2" s="3151" customFormat="1">
      <c r="A24" s="3159" t="s">
        <v>24</v>
      </c>
      <c r="B24" s="3160">
        <f>'预评函-2'!D8</f>
        <v>0</v>
      </c>
    </row>
    <row r="25" spans="1:2" s="3151" customFormat="1">
      <c r="A25" s="3159" t="s">
        <v>25</v>
      </c>
      <c r="B25" s="3160" t="str">
        <f>'预评函-2'!D9</f>
        <v>零元整</v>
      </c>
    </row>
    <row r="26" spans="1:2" s="3151" customFormat="1">
      <c r="A26" s="3159" t="s">
        <v>26</v>
      </c>
      <c r="B26" s="3160">
        <f>'预评函-2'!D10</f>
        <v>0</v>
      </c>
    </row>
    <row r="27" spans="1:2" s="3151" customFormat="1">
      <c r="A27" s="3159" t="s">
        <v>27</v>
      </c>
      <c r="B27" s="3160">
        <f>'预评函-2'!D11</f>
        <v>0</v>
      </c>
    </row>
    <row r="28" spans="1:2" s="3151" customFormat="1">
      <c r="A28" s="3159" t="s">
        <v>28</v>
      </c>
      <c r="B28" s="3160">
        <f>'预评函-2'!D12</f>
        <v>0</v>
      </c>
    </row>
    <row r="29" spans="1:2" s="3151" customFormat="1">
      <c r="A29" s="3159" t="s">
        <v>29</v>
      </c>
      <c r="B29" s="3160" t="str">
        <f>'预评函-2'!B13</f>
        <v>——</v>
      </c>
    </row>
    <row r="30" spans="1:2" s="3151" customFormat="1">
      <c r="A30" s="3159" t="s">
        <v>30</v>
      </c>
      <c r="B30" s="3160" t="str">
        <f>'预评函-2'!D13</f>
        <v>——</v>
      </c>
    </row>
    <row r="31" spans="1:2" s="3151" customFormat="1">
      <c r="A31" s="3159" t="s">
        <v>31</v>
      </c>
      <c r="B31" s="3160" t="e">
        <f>'预评函-2'!D15</f>
        <v>#VALUE!</v>
      </c>
    </row>
    <row r="32" spans="1:2" s="3151" customFormat="1">
      <c r="A32" s="3159" t="s">
        <v>32</v>
      </c>
      <c r="B32" s="3160" t="e">
        <f>'预评函-2'!D14</f>
        <v>#VALUE!</v>
      </c>
    </row>
    <row r="33" spans="1:2" s="3151" customFormat="1">
      <c r="A33" s="3159" t="s">
        <v>33</v>
      </c>
      <c r="B33" s="3160" t="str">
        <f>'预评函-2'!B16</f>
        <v>3.抵押担保权已注销时的房地产抵押价值</v>
      </c>
    </row>
    <row r="34" spans="1:2" s="3151" customFormat="1">
      <c r="A34" s="3159" t="s">
        <v>34</v>
      </c>
      <c r="B34" s="3160">
        <f ca="1">'预评函-2'!D16</f>
        <v>3</v>
      </c>
    </row>
    <row r="35" spans="1:2" s="3151" customFormat="1">
      <c r="A35" s="3159" t="s">
        <v>35</v>
      </c>
      <c r="B35" s="3160">
        <f ca="1">'预评函-2'!D18</f>
        <v>30000</v>
      </c>
    </row>
    <row r="36" spans="1:2" s="3151" customFormat="1">
      <c r="A36" s="3159" t="s">
        <v>36</v>
      </c>
      <c r="B36" s="3160" t="str">
        <f ca="1">'预评函-2'!D17</f>
        <v>叁万元整</v>
      </c>
    </row>
    <row r="37" spans="1:2" s="3151" customFormat="1">
      <c r="A37" s="3159" t="s">
        <v>37</v>
      </c>
      <c r="B37" s="3160" t="str">
        <f>'预评函-2'!B19</f>
        <v>——</v>
      </c>
    </row>
    <row r="38" spans="1:2" s="3151" customFormat="1">
      <c r="A38" s="3159" t="s">
        <v>38</v>
      </c>
      <c r="B38" s="3160" t="str">
        <f>'预评函-2'!D19</f>
        <v>——</v>
      </c>
    </row>
    <row r="39" spans="1:2" s="3151" customFormat="1">
      <c r="A39" s="3159" t="s">
        <v>39</v>
      </c>
      <c r="B39" s="3160" t="str">
        <f>'预评函-2'!D21</f>
        <v>——</v>
      </c>
    </row>
    <row r="40" spans="1:2" s="3151" customFormat="1">
      <c r="A40" s="3159" t="s">
        <v>40</v>
      </c>
      <c r="B40" s="3160" t="e">
        <f>'预评函-2'!D20</f>
        <v>#VALUE!</v>
      </c>
    </row>
    <row r="41" spans="1:2" s="3151" customFormat="1">
      <c r="A41" s="3159" t="s">
        <v>41</v>
      </c>
      <c r="B41" s="3160" t="str">
        <f>'预评函-3'!A4</f>
        <v>北京市房地产</v>
      </c>
    </row>
    <row r="42" spans="1:2" s="3151" customFormat="1">
      <c r="A42" s="3159" t="s">
        <v>42</v>
      </c>
      <c r="B42" s="3160" t="str">
        <f>'预评函-3'!B2</f>
        <v>建筑面积</v>
      </c>
    </row>
    <row r="43" spans="1:2" s="3151" customFormat="1">
      <c r="A43" s="3159" t="s">
        <v>43</v>
      </c>
      <c r="B43" s="3160">
        <f>'预评函-3'!B4</f>
        <v>1</v>
      </c>
    </row>
    <row r="44" spans="1:2" s="3151" customFormat="1">
      <c r="A44" s="3159" t="s">
        <v>44</v>
      </c>
      <c r="B44" s="3160" t="str">
        <f>'预评函-3'!C2</f>
        <v>(分摊)土地面积</v>
      </c>
    </row>
    <row r="45" spans="1:2" s="3151" customFormat="1">
      <c r="A45" s="3159" t="s">
        <v>45</v>
      </c>
      <c r="B45" s="3160">
        <f>'预评函-3'!C4</f>
        <v>0.39</v>
      </c>
    </row>
    <row r="46" spans="1:2" s="3151" customFormat="1">
      <c r="A46" s="3159" t="s">
        <v>46</v>
      </c>
      <c r="B46" s="3160" t="str">
        <f>'预评函-3'!D2</f>
        <v>出让国有建设用地使用权价值</v>
      </c>
    </row>
    <row r="47" spans="1:2" s="3151" customFormat="1">
      <c r="A47" s="3159" t="s">
        <v>47</v>
      </c>
      <c r="B47" s="3160">
        <f>'预评函-3'!D4</f>
        <v>0</v>
      </c>
    </row>
    <row r="48" spans="1:2" s="3151" customFormat="1">
      <c r="A48" s="3159" t="s">
        <v>48</v>
      </c>
      <c r="B48" s="3160">
        <f>'预评函-3'!E4</f>
        <v>0</v>
      </c>
    </row>
    <row r="49" spans="1:2" s="3151" customFormat="1">
      <c r="A49" s="3159" t="s">
        <v>49</v>
      </c>
      <c r="B49" s="3160" t="str">
        <f>'预评函-3'!D5</f>
        <v>零元整</v>
      </c>
    </row>
    <row r="50" spans="1:2" s="3151" customFormat="1">
      <c r="A50" s="3159" t="s">
        <v>50</v>
      </c>
      <c r="B50" s="3160" t="str">
        <f>'预评函-3'!F2</f>
        <v>在建建筑物价值</v>
      </c>
    </row>
    <row r="51" spans="1:2" s="3151" customFormat="1">
      <c r="A51" s="3159" t="s">
        <v>51</v>
      </c>
      <c r="B51" s="3160">
        <f>'预评函-3'!F4</f>
        <v>0</v>
      </c>
    </row>
    <row r="52" spans="1:2" s="3151" customFormat="1">
      <c r="A52" s="3159" t="s">
        <v>52</v>
      </c>
      <c r="B52" s="3160">
        <f>'预评函-3'!G4</f>
        <v>0</v>
      </c>
    </row>
    <row r="53" spans="1:2" s="3151" customFormat="1">
      <c r="A53" s="3159" t="s">
        <v>53</v>
      </c>
      <c r="B53" s="3160" t="str">
        <f>'预评函-3'!F5</f>
        <v>零元整</v>
      </c>
    </row>
    <row r="54" spans="1:2" s="3151" customFormat="1">
      <c r="A54" s="3159" t="s">
        <v>54</v>
      </c>
      <c r="B54" s="3160" t="str">
        <f>'预评函-3'!A8</f>
        <v/>
      </c>
    </row>
    <row r="55" spans="1:2" s="3151" customFormat="1">
      <c r="A55" s="3159" t="s">
        <v>55</v>
      </c>
      <c r="B55" s="3160" t="str">
        <f>'预评函-3'!A10</f>
        <v/>
      </c>
    </row>
    <row r="56" spans="1:2" s="3151" customFormat="1">
      <c r="A56" s="3159" t="s">
        <v>56</v>
      </c>
      <c r="B56" s="3160" t="str">
        <f>'预评函-3'!A12</f>
        <v/>
      </c>
    </row>
    <row r="57" spans="1:2" s="3149" customFormat="1">
      <c r="A57" s="3161" t="s">
        <v>57</v>
      </c>
      <c r="B57" s="3162" t="str">
        <f>'预评函-3'!A6</f>
        <v/>
      </c>
    </row>
    <row r="58" spans="1:2" s="3150" customFormat="1">
      <c r="A58" s="3157" t="s">
        <v>58</v>
      </c>
      <c r="B58" s="3158" t="str">
        <f>'预评函-4'!A12</f>
        <v>2.本次评估设定估价对象房地产权属无争议，未被查封或者以其他形式限制其房地产权利，未设定抵押权等他项权利，不涉及第三方权利义务。</v>
      </c>
    </row>
    <row r="59" spans="1:2" s="3151" customFormat="1">
      <c r="A59" s="3159" t="s">
        <v>59</v>
      </c>
      <c r="B59" s="3160" t="str">
        <f>'预评函-4'!A13</f>
        <v>——</v>
      </c>
    </row>
    <row r="60" spans="1:2" s="3151" customFormat="1">
      <c r="A60" s="3159" t="s">
        <v>60</v>
      </c>
      <c r="B60" s="3160" t="str">
        <f>'预评函-4'!A14</f>
        <v>——</v>
      </c>
    </row>
    <row r="61" spans="1:2" s="3151" customFormat="1">
      <c r="A61" s="3159" t="s">
        <v>61</v>
      </c>
      <c r="B61" s="3160" t="str">
        <f>'预评函-4'!A15</f>
        <v>——</v>
      </c>
    </row>
    <row r="62" spans="1:2" s="3151" customFormat="1">
      <c r="A62" s="3159" t="s">
        <v>62</v>
      </c>
      <c r="B62" s="3160" t="str">
        <f>'预评函-4'!A16</f>
        <v>（2）根据《工程款支付情况说明》，截至价值时点，估价对象不存在应付未付工程款项。（只要没有施工方盖章的，均“设定”进行表述）</v>
      </c>
    </row>
    <row r="63" spans="1:2" s="3151" customFormat="1">
      <c r="A63" s="3159" t="s">
        <v>63</v>
      </c>
      <c r="B63" s="31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51" customFormat="1">
      <c r="A64" s="3159" t="s">
        <v>64</v>
      </c>
      <c r="B64" s="3160" t="str">
        <f>'预评函-4'!A18</f>
        <v>——</v>
      </c>
    </row>
    <row r="65" spans="1:2" s="3151" customFormat="1">
      <c r="A65" s="3159" t="s">
        <v>65</v>
      </c>
      <c r="B65" s="31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51" customFormat="1">
      <c r="A66" s="3159" t="s">
        <v>66</v>
      </c>
      <c r="B66" s="3160" t="str">
        <f>'预评函-4'!A20</f>
        <v>——</v>
      </c>
    </row>
    <row r="67" spans="1:2" s="3151" customFormat="1">
      <c r="A67" s="3159" t="s">
        <v>67</v>
      </c>
      <c r="B67" s="3160" t="str">
        <f>'预评函-4'!A21</f>
        <v>——</v>
      </c>
    </row>
    <row r="68" spans="1:2" s="3151" customFormat="1">
      <c r="A68" s="3159" t="s">
        <v>68</v>
      </c>
      <c r="B68" s="3160" t="str">
        <f>'预评函-4'!A22</f>
        <v>8.其他需特殊说明事项：无（注意调整序号）</v>
      </c>
    </row>
    <row r="69" spans="1:2" s="3149" customFormat="1">
      <c r="A69" s="3161" t="s">
        <v>69</v>
      </c>
      <c r="B69" s="3163">
        <f>'预评函-4'!C31</f>
        <v>42551</v>
      </c>
    </row>
    <row r="70" spans="1:2">
      <c r="A70" s="3164" t="s">
        <v>70</v>
      </c>
      <c r="B70" s="3165" t="str">
        <f>'预评函-4'!A4</f>
        <v>叶凌</v>
      </c>
    </row>
    <row r="71" spans="1:2">
      <c r="A71" s="3159" t="s">
        <v>71</v>
      </c>
      <c r="B71" s="3160">
        <f ca="1">'预评函-4'!B4</f>
        <v>1119970111</v>
      </c>
    </row>
    <row r="72" spans="1:2">
      <c r="A72" s="3159" t="s">
        <v>72</v>
      </c>
      <c r="B72" s="3166" t="str">
        <f>'预评函-4'!A5</f>
        <v>陈颖</v>
      </c>
    </row>
    <row r="73" spans="1:2" s="3149" customFormat="1">
      <c r="A73" s="3161" t="s">
        <v>73</v>
      </c>
      <c r="B73" s="3162">
        <f ca="1">'预评函-4'!B5</f>
        <v>1120060040</v>
      </c>
    </row>
    <row r="74" spans="1:2">
      <c r="A74" s="3152" t="s">
        <v>74</v>
      </c>
      <c r="B74" s="3153"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F19" sqref="F19"/>
    </sheetView>
  </sheetViews>
  <sheetFormatPr defaultColWidth="9" defaultRowHeight="13.5"/>
  <cols>
    <col min="1" max="1" width="13.5" style="3026" customWidth="1"/>
    <col min="2" max="2" width="23.25" style="3027" customWidth="1"/>
    <col min="3" max="3" width="13" style="3028" customWidth="1"/>
    <col min="4" max="4" width="5.75" style="3029" customWidth="1"/>
    <col min="5" max="5" width="7.125" style="3029" customWidth="1"/>
    <col min="6" max="6" width="10.625" style="3029" customWidth="1"/>
    <col min="7" max="7" width="7.5" style="3029" customWidth="1"/>
    <col min="8" max="8" width="9" style="3028" customWidth="1"/>
    <col min="9" max="9" width="11.625" style="3028" customWidth="1"/>
    <col min="10" max="10" width="9" style="3028" customWidth="1"/>
    <col min="11" max="19" width="9" style="3029" customWidth="1"/>
    <col min="20" max="23" width="9" style="3028" customWidth="1"/>
    <col min="24" max="24" width="21.125" style="3027" customWidth="1"/>
    <col min="25" max="16384" width="9" style="3027"/>
  </cols>
  <sheetData>
    <row r="1" spans="1:23" s="3025" customFormat="1" ht="27">
      <c r="A1" s="3030" t="s">
        <v>208</v>
      </c>
      <c r="B1" s="3031" t="s">
        <v>209</v>
      </c>
      <c r="C1" s="3032" t="s">
        <v>210</v>
      </c>
      <c r="D1" s="3033" t="s">
        <v>211</v>
      </c>
      <c r="E1" s="3033" t="s">
        <v>212</v>
      </c>
      <c r="F1" s="3033" t="s">
        <v>213</v>
      </c>
      <c r="G1" s="3033" t="s">
        <v>214</v>
      </c>
      <c r="H1" s="3033" t="s">
        <v>215</v>
      </c>
      <c r="I1" s="3033" t="s">
        <v>216</v>
      </c>
      <c r="J1" s="3033" t="s">
        <v>217</v>
      </c>
      <c r="K1" s="3033" t="s">
        <v>218</v>
      </c>
      <c r="L1" s="3033" t="s">
        <v>219</v>
      </c>
      <c r="M1" s="3033" t="s">
        <v>220</v>
      </c>
      <c r="N1" s="3033" t="s">
        <v>221</v>
      </c>
      <c r="O1" s="3033" t="s">
        <v>222</v>
      </c>
      <c r="P1" s="3042" t="s">
        <v>223</v>
      </c>
      <c r="Q1" s="3042" t="s">
        <v>224</v>
      </c>
      <c r="R1" s="3033" t="s">
        <v>225</v>
      </c>
      <c r="S1" s="3033" t="s">
        <v>226</v>
      </c>
      <c r="T1" s="3043" t="s">
        <v>227</v>
      </c>
      <c r="U1" s="3033" t="s">
        <v>228</v>
      </c>
      <c r="V1" s="3033" t="s">
        <v>229</v>
      </c>
      <c r="W1" s="3033" t="s">
        <v>230</v>
      </c>
    </row>
    <row r="2" spans="1:23">
      <c r="A2" s="3034" t="s">
        <v>124</v>
      </c>
      <c r="B2" s="3034" t="s">
        <v>231</v>
      </c>
      <c r="C2" s="3035" t="s">
        <v>232</v>
      </c>
      <c r="D2" s="3029" t="s">
        <v>233</v>
      </c>
      <c r="E2" s="3029" t="s">
        <v>234</v>
      </c>
      <c r="F2" s="3029" t="s">
        <v>159</v>
      </c>
      <c r="G2" s="3029">
        <v>40</v>
      </c>
      <c r="H2" s="3029" t="s">
        <v>159</v>
      </c>
      <c r="I2" s="3029" t="s">
        <v>235</v>
      </c>
      <c r="J2" s="3029" t="s">
        <v>236</v>
      </c>
      <c r="K2" s="3029" t="s">
        <v>237</v>
      </c>
      <c r="L2" s="3029" t="s">
        <v>237</v>
      </c>
      <c r="M2" s="3029" t="s">
        <v>237</v>
      </c>
      <c r="N2" s="3029" t="s">
        <v>237</v>
      </c>
      <c r="O2" s="3029" t="s">
        <v>237</v>
      </c>
      <c r="P2" s="3029" t="s">
        <v>237</v>
      </c>
      <c r="Q2" s="3029" t="s">
        <v>237</v>
      </c>
      <c r="R2" s="3029" t="s">
        <v>238</v>
      </c>
      <c r="S2" s="3029" t="s">
        <v>237</v>
      </c>
      <c r="T2" s="3029" t="s">
        <v>239</v>
      </c>
      <c r="U2" s="3029" t="s">
        <v>237</v>
      </c>
      <c r="V2" s="3029" t="s">
        <v>240</v>
      </c>
      <c r="W2" s="3029" t="s">
        <v>237</v>
      </c>
    </row>
    <row r="3" spans="1:23">
      <c r="A3" s="3034" t="s">
        <v>241</v>
      </c>
      <c r="B3" s="3036" t="s">
        <v>242</v>
      </c>
      <c r="C3" s="3037" t="s">
        <v>243</v>
      </c>
      <c r="D3" s="3029" t="s">
        <v>244</v>
      </c>
      <c r="E3" s="3029" t="s">
        <v>124</v>
      </c>
      <c r="F3" s="3029" t="s">
        <v>160</v>
      </c>
      <c r="G3" s="3029">
        <v>50</v>
      </c>
      <c r="H3" s="3029" t="s">
        <v>160</v>
      </c>
      <c r="I3" s="3029" t="s">
        <v>245</v>
      </c>
      <c r="J3" s="3029" t="s">
        <v>246</v>
      </c>
      <c r="K3" s="3029" t="s">
        <v>247</v>
      </c>
      <c r="L3" s="3029" t="s">
        <v>247</v>
      </c>
      <c r="M3" s="3029" t="s">
        <v>247</v>
      </c>
      <c r="N3" s="3029" t="s">
        <v>247</v>
      </c>
      <c r="O3" s="3029" t="s">
        <v>247</v>
      </c>
      <c r="P3" s="3029" t="s">
        <v>247</v>
      </c>
      <c r="Q3" s="3029" t="s">
        <v>247</v>
      </c>
      <c r="R3" s="3029" t="s">
        <v>248</v>
      </c>
      <c r="S3" s="3029" t="s">
        <v>247</v>
      </c>
      <c r="T3" s="3029" t="s">
        <v>249</v>
      </c>
      <c r="U3" s="3029" t="s">
        <v>247</v>
      </c>
      <c r="V3" s="3029" t="s">
        <v>250</v>
      </c>
      <c r="W3" s="3029" t="s">
        <v>247</v>
      </c>
    </row>
    <row r="4" spans="1:23">
      <c r="A4" s="3034" t="s">
        <v>251</v>
      </c>
      <c r="B4" s="3034" t="s">
        <v>252</v>
      </c>
      <c r="C4" s="3035" t="s">
        <v>253</v>
      </c>
      <c r="D4" s="3029" t="s">
        <v>124</v>
      </c>
      <c r="E4" s="3029" t="s">
        <v>254</v>
      </c>
      <c r="F4" s="3029" t="s">
        <v>161</v>
      </c>
      <c r="G4" s="3029">
        <v>70</v>
      </c>
      <c r="H4" s="3029" t="s">
        <v>161</v>
      </c>
      <c r="I4" s="3029" t="s">
        <v>255</v>
      </c>
      <c r="K4" s="3029" t="s">
        <v>256</v>
      </c>
      <c r="L4" s="3029" t="s">
        <v>256</v>
      </c>
      <c r="M4" s="3029" t="s">
        <v>256</v>
      </c>
      <c r="N4" s="3029" t="s">
        <v>256</v>
      </c>
      <c r="O4" s="3029" t="s">
        <v>256</v>
      </c>
      <c r="P4" s="3029" t="s">
        <v>256</v>
      </c>
      <c r="Q4" s="3029" t="s">
        <v>256</v>
      </c>
      <c r="R4" s="3029" t="s">
        <v>257</v>
      </c>
      <c r="S4" s="3029" t="s">
        <v>256</v>
      </c>
      <c r="T4" s="3029" t="s">
        <v>258</v>
      </c>
      <c r="U4" s="3029" t="s">
        <v>256</v>
      </c>
      <c r="W4" s="3029" t="s">
        <v>256</v>
      </c>
    </row>
    <row r="5" spans="1:23">
      <c r="A5" s="3034" t="s">
        <v>259</v>
      </c>
      <c r="B5" s="3034" t="s">
        <v>260</v>
      </c>
      <c r="C5" s="3035" t="s">
        <v>261</v>
      </c>
      <c r="F5" s="3029" t="s">
        <v>162</v>
      </c>
      <c r="H5" s="3029" t="s">
        <v>262</v>
      </c>
      <c r="I5" s="3029" t="s">
        <v>263</v>
      </c>
      <c r="K5" s="3029" t="s">
        <v>264</v>
      </c>
      <c r="L5" s="3029" t="s">
        <v>264</v>
      </c>
      <c r="M5" s="3029" t="s">
        <v>264</v>
      </c>
      <c r="N5" s="3029" t="s">
        <v>264</v>
      </c>
      <c r="O5" s="3029" t="s">
        <v>264</v>
      </c>
      <c r="P5" s="3029" t="s">
        <v>264</v>
      </c>
      <c r="Q5" s="3029" t="s">
        <v>264</v>
      </c>
      <c r="R5" s="3029" t="s">
        <v>265</v>
      </c>
      <c r="S5" s="3029" t="s">
        <v>264</v>
      </c>
      <c r="T5" s="3029" t="s">
        <v>266</v>
      </c>
      <c r="U5" s="3029" t="s">
        <v>264</v>
      </c>
      <c r="W5" s="3029" t="s">
        <v>264</v>
      </c>
    </row>
    <row r="6" spans="1:23">
      <c r="A6" s="3034" t="s">
        <v>267</v>
      </c>
      <c r="B6" s="3036" t="s">
        <v>268</v>
      </c>
      <c r="C6" s="3038" t="s">
        <v>269</v>
      </c>
      <c r="F6" s="3029" t="s">
        <v>262</v>
      </c>
      <c r="H6" s="3029" t="s">
        <v>164</v>
      </c>
      <c r="I6" s="3029" t="s">
        <v>270</v>
      </c>
      <c r="K6" s="3029" t="s">
        <v>271</v>
      </c>
      <c r="L6" s="3029" t="s">
        <v>271</v>
      </c>
      <c r="M6" s="3029" t="s">
        <v>271</v>
      </c>
      <c r="N6" s="3029" t="s">
        <v>271</v>
      </c>
      <c r="O6" s="3029" t="s">
        <v>271</v>
      </c>
      <c r="P6" s="3029" t="s">
        <v>271</v>
      </c>
      <c r="Q6" s="3029" t="s">
        <v>271</v>
      </c>
      <c r="R6" s="3029" t="s">
        <v>272</v>
      </c>
      <c r="S6" s="3029" t="s">
        <v>271</v>
      </c>
      <c r="T6" s="3029"/>
      <c r="U6" s="3029" t="s">
        <v>271</v>
      </c>
      <c r="W6" s="3029" t="s">
        <v>271</v>
      </c>
    </row>
    <row r="7" spans="1:23">
      <c r="A7" s="3034" t="s">
        <v>273</v>
      </c>
      <c r="B7" s="3036" t="s">
        <v>274</v>
      </c>
      <c r="C7" s="3035" t="s">
        <v>275</v>
      </c>
      <c r="F7" s="3029" t="s">
        <v>276</v>
      </c>
      <c r="H7" s="3029" t="s">
        <v>162</v>
      </c>
      <c r="I7" s="3029" t="s">
        <v>277</v>
      </c>
    </row>
    <row r="8" spans="1:23">
      <c r="A8" s="3034" t="s">
        <v>278</v>
      </c>
      <c r="B8" s="3034" t="s">
        <v>279</v>
      </c>
      <c r="C8" s="3035" t="s">
        <v>280</v>
      </c>
      <c r="F8" s="3029" t="s">
        <v>281</v>
      </c>
      <c r="H8" s="3029"/>
      <c r="I8" s="3029" t="s">
        <v>282</v>
      </c>
    </row>
    <row r="9" spans="1:23">
      <c r="A9" s="3034" t="s">
        <v>283</v>
      </c>
      <c r="B9" s="3034" t="s">
        <v>284</v>
      </c>
      <c r="C9" s="3035" t="s">
        <v>285</v>
      </c>
      <c r="F9" s="3029" t="s">
        <v>164</v>
      </c>
      <c r="H9" s="3029"/>
    </row>
    <row r="10" spans="1:23">
      <c r="A10" s="3034" t="s">
        <v>286</v>
      </c>
      <c r="B10" s="3034" t="s">
        <v>287</v>
      </c>
      <c r="C10" s="3035" t="s">
        <v>288</v>
      </c>
      <c r="F10" s="3029" t="s">
        <v>124</v>
      </c>
    </row>
    <row r="11" spans="1:23">
      <c r="A11" s="3034" t="s">
        <v>289</v>
      </c>
      <c r="B11" s="3034" t="s">
        <v>290</v>
      </c>
      <c r="C11" s="3035" t="s">
        <v>291</v>
      </c>
    </row>
    <row r="12" spans="1:23">
      <c r="A12" s="3034" t="s">
        <v>292</v>
      </c>
      <c r="B12" s="3034" t="s">
        <v>293</v>
      </c>
      <c r="C12" s="3035" t="s">
        <v>294</v>
      </c>
    </row>
    <row r="13" spans="1:23">
      <c r="A13" s="3034" t="s">
        <v>295</v>
      </c>
      <c r="B13" s="3034" t="s">
        <v>296</v>
      </c>
      <c r="C13" s="3035" t="s">
        <v>297</v>
      </c>
    </row>
    <row r="14" spans="1:23">
      <c r="A14" s="3034" t="s">
        <v>298</v>
      </c>
      <c r="B14" s="3034" t="s">
        <v>299</v>
      </c>
      <c r="C14" s="3029" t="s">
        <v>124</v>
      </c>
    </row>
    <row r="15" spans="1:23">
      <c r="A15" s="3034" t="s">
        <v>300</v>
      </c>
      <c r="B15" s="3034" t="s">
        <v>301</v>
      </c>
      <c r="C15" s="3035"/>
    </row>
    <row r="16" spans="1:23">
      <c r="A16" s="3034" t="s">
        <v>302</v>
      </c>
      <c r="B16" s="3034" t="s">
        <v>303</v>
      </c>
      <c r="C16" s="3035"/>
    </row>
    <row r="17" spans="1:3">
      <c r="A17" s="3034" t="s">
        <v>304</v>
      </c>
      <c r="B17" s="3034" t="s">
        <v>305</v>
      </c>
      <c r="C17" s="3035"/>
    </row>
    <row r="18" spans="1:3">
      <c r="A18" s="3034" t="s">
        <v>306</v>
      </c>
      <c r="B18" s="3171" t="s">
        <v>3130</v>
      </c>
      <c r="C18" s="3035"/>
    </row>
    <row r="19" spans="1:3">
      <c r="A19" s="3034" t="s">
        <v>308</v>
      </c>
      <c r="B19" s="3171" t="s">
        <v>3132</v>
      </c>
      <c r="C19" s="3035"/>
    </row>
    <row r="20" spans="1:3">
      <c r="A20" s="3034" t="s">
        <v>309</v>
      </c>
      <c r="B20" s="3034" t="s">
        <v>307</v>
      </c>
      <c r="C20" s="3035"/>
    </row>
    <row r="21" spans="1:3">
      <c r="A21" s="3034" t="s">
        <v>262</v>
      </c>
      <c r="B21" s="3034" t="s">
        <v>307</v>
      </c>
      <c r="C21" s="3035"/>
    </row>
    <row r="22" spans="1:3">
      <c r="A22" s="3034" t="s">
        <v>310</v>
      </c>
      <c r="B22" s="3034" t="s">
        <v>307</v>
      </c>
      <c r="C22" s="3035"/>
    </row>
    <row r="23" spans="1:3">
      <c r="A23" s="3034" t="s">
        <v>311</v>
      </c>
      <c r="B23" s="3034" t="s">
        <v>307</v>
      </c>
      <c r="C23" s="3035"/>
    </row>
    <row r="24" spans="1:3">
      <c r="A24" s="3034" t="s">
        <v>312</v>
      </c>
      <c r="B24" s="3034" t="s">
        <v>307</v>
      </c>
      <c r="C24" s="3035"/>
    </row>
    <row r="25" spans="1:3">
      <c r="A25" s="3034" t="s">
        <v>313</v>
      </c>
      <c r="B25" s="3034" t="s">
        <v>307</v>
      </c>
      <c r="C25" s="3035"/>
    </row>
    <row r="26" spans="1:3">
      <c r="A26" s="3034" t="s">
        <v>314</v>
      </c>
      <c r="B26" s="3034" t="s">
        <v>307</v>
      </c>
      <c r="C26" s="3035"/>
    </row>
    <row r="27" spans="1:3">
      <c r="A27" s="3034" t="s">
        <v>307</v>
      </c>
      <c r="B27" s="3034" t="s">
        <v>307</v>
      </c>
      <c r="C27" s="3035"/>
    </row>
    <row r="28" spans="1:3">
      <c r="A28" s="3034" t="s">
        <v>307</v>
      </c>
      <c r="B28" s="3034" t="s">
        <v>307</v>
      </c>
      <c r="C28" s="3035"/>
    </row>
    <row r="29" spans="1:3">
      <c r="A29" s="3034" t="s">
        <v>307</v>
      </c>
      <c r="B29" s="3034" t="s">
        <v>307</v>
      </c>
      <c r="C29" s="3035"/>
    </row>
    <row r="30" spans="1:3">
      <c r="A30" s="3034" t="s">
        <v>307</v>
      </c>
      <c r="B30" s="3034" t="s">
        <v>307</v>
      </c>
      <c r="C30" s="3035"/>
    </row>
    <row r="31" spans="1:3">
      <c r="A31" s="3034" t="s">
        <v>307</v>
      </c>
      <c r="B31" s="3034" t="s">
        <v>307</v>
      </c>
      <c r="C31" s="3035"/>
    </row>
    <row r="32" spans="1:3">
      <c r="A32" s="3034" t="s">
        <v>307</v>
      </c>
      <c r="B32" s="3034" t="s">
        <v>307</v>
      </c>
      <c r="C32" s="3035"/>
    </row>
    <row r="33" spans="1:3">
      <c r="A33" s="3034" t="s">
        <v>307</v>
      </c>
      <c r="B33" s="3034" t="s">
        <v>307</v>
      </c>
      <c r="C33" s="3035"/>
    </row>
    <row r="34" spans="1:3">
      <c r="A34" s="3034" t="s">
        <v>307</v>
      </c>
      <c r="B34" s="3034" t="s">
        <v>307</v>
      </c>
      <c r="C34" s="3035"/>
    </row>
    <row r="35" spans="1:3">
      <c r="A35" s="3034" t="s">
        <v>307</v>
      </c>
      <c r="B35" s="3034" t="s">
        <v>307</v>
      </c>
      <c r="C35" s="3035"/>
    </row>
    <row r="36" spans="1:3">
      <c r="A36" s="3034" t="s">
        <v>307</v>
      </c>
      <c r="B36" s="3034" t="s">
        <v>307</v>
      </c>
      <c r="C36" s="3035"/>
    </row>
    <row r="37" spans="1:3">
      <c r="A37" s="3034" t="s">
        <v>307</v>
      </c>
      <c r="B37" s="3034" t="s">
        <v>307</v>
      </c>
      <c r="C37" s="3035"/>
    </row>
    <row r="38" spans="1:3">
      <c r="A38" s="3034" t="s">
        <v>307</v>
      </c>
      <c r="B38" s="3034" t="s">
        <v>307</v>
      </c>
      <c r="C38" s="3035"/>
    </row>
    <row r="39" spans="1:3">
      <c r="A39" s="3034" t="s">
        <v>307</v>
      </c>
      <c r="B39" s="3034" t="s">
        <v>307</v>
      </c>
      <c r="C39" s="3035"/>
    </row>
    <row r="40" spans="1:3">
      <c r="A40" s="3034" t="s">
        <v>307</v>
      </c>
      <c r="B40" s="3034" t="s">
        <v>307</v>
      </c>
      <c r="C40" s="3035"/>
    </row>
    <row r="41" spans="1:3">
      <c r="A41" s="3034" t="s">
        <v>307</v>
      </c>
      <c r="B41" s="3034" t="s">
        <v>307</v>
      </c>
      <c r="C41" s="3035"/>
    </row>
    <row r="42" spans="1:3">
      <c r="A42" s="3034" t="s">
        <v>307</v>
      </c>
      <c r="B42" s="3034" t="s">
        <v>307</v>
      </c>
      <c r="C42" s="3035"/>
    </row>
    <row r="43" spans="1:3">
      <c r="A43" s="3034" t="s">
        <v>307</v>
      </c>
      <c r="B43" s="3034" t="s">
        <v>307</v>
      </c>
      <c r="C43" s="3035"/>
    </row>
    <row r="44" spans="1:3">
      <c r="A44" s="3034" t="s">
        <v>307</v>
      </c>
      <c r="B44" s="3034" t="s">
        <v>307</v>
      </c>
      <c r="C44" s="3035"/>
    </row>
    <row r="45" spans="1:3">
      <c r="A45" s="3034" t="s">
        <v>307</v>
      </c>
      <c r="B45" s="3034" t="s">
        <v>307</v>
      </c>
      <c r="C45" s="3035"/>
    </row>
    <row r="46" spans="1:3">
      <c r="A46" s="3034" t="s">
        <v>307</v>
      </c>
      <c r="B46" s="3034" t="s">
        <v>307</v>
      </c>
      <c r="C46" s="3035"/>
    </row>
    <row r="47" spans="1:3">
      <c r="A47" s="3034" t="s">
        <v>307</v>
      </c>
      <c r="B47" s="3034" t="s">
        <v>307</v>
      </c>
      <c r="C47" s="3035"/>
    </row>
    <row r="48" spans="1:3">
      <c r="A48" s="3034" t="s">
        <v>307</v>
      </c>
      <c r="B48" s="3034" t="s">
        <v>307</v>
      </c>
      <c r="C48" s="3035"/>
    </row>
    <row r="49" spans="1:4">
      <c r="A49" s="3034" t="s">
        <v>307</v>
      </c>
      <c r="B49" s="3034" t="s">
        <v>307</v>
      </c>
      <c r="C49" s="3035"/>
    </row>
    <row r="50" spans="1:4">
      <c r="A50" s="3034" t="s">
        <v>307</v>
      </c>
      <c r="B50" s="3034" t="s">
        <v>307</v>
      </c>
      <c r="C50" s="3035"/>
    </row>
    <row r="51" spans="1:4">
      <c r="A51" s="3039" t="s">
        <v>315</v>
      </c>
      <c r="B51" s="30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0" t="s">
        <v>316</v>
      </c>
    </row>
    <row r="52" spans="1:4">
      <c r="A52" s="3039" t="s">
        <v>317</v>
      </c>
      <c r="B52" s="3039" t="s">
        <v>318</v>
      </c>
      <c r="C52" s="3028" t="s">
        <v>319</v>
      </c>
      <c r="D52" s="3028" t="s">
        <v>320</v>
      </c>
    </row>
    <row r="53" spans="1:4">
      <c r="A53" s="3265" t="s">
        <v>321</v>
      </c>
      <c r="B53" s="3040" t="s">
        <v>322</v>
      </c>
      <c r="C53" s="30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3040" t="s">
        <v>323</v>
      </c>
      <c r="C54" s="3028" t="s">
        <v>324</v>
      </c>
    </row>
    <row r="55" spans="1:4">
      <c r="A55" s="3265"/>
      <c r="B55" s="3040" t="s">
        <v>325</v>
      </c>
      <c r="C55" s="3028" t="s">
        <v>326</v>
      </c>
    </row>
    <row r="56" spans="1:4">
      <c r="A56" s="3265"/>
      <c r="B56" s="3040" t="s">
        <v>327</v>
      </c>
      <c r="C56" s="3028" t="s">
        <v>328</v>
      </c>
    </row>
    <row r="57" spans="1:4">
      <c r="A57" s="3265"/>
      <c r="B57" s="3040" t="s">
        <v>329</v>
      </c>
      <c r="C57" s="3028" t="s">
        <v>330</v>
      </c>
    </row>
    <row r="58" spans="1:4">
      <c r="A58" s="3041"/>
      <c r="B58" s="3028"/>
    </row>
    <row r="59" spans="1:4">
      <c r="A59" s="3041"/>
      <c r="B59" s="3028"/>
    </row>
    <row r="60" spans="1:4">
      <c r="A60" s="3041"/>
      <c r="B60" s="3028"/>
    </row>
    <row r="61" spans="1:4">
      <c r="A61" s="3041"/>
      <c r="B61" s="3028"/>
    </row>
    <row r="62" spans="1:4">
      <c r="A62" s="3041"/>
      <c r="B62" s="3028"/>
    </row>
    <row r="63" spans="1:4">
      <c r="A63" s="3041"/>
      <c r="B63" s="3028"/>
    </row>
    <row r="64" spans="1:4">
      <c r="A64" s="3041"/>
      <c r="B64" s="3028"/>
    </row>
    <row r="65" spans="1:2">
      <c r="A65" s="3041"/>
      <c r="B65" s="3028"/>
    </row>
    <row r="66" spans="1:2">
      <c r="A66" s="3041"/>
      <c r="B66" s="3028"/>
    </row>
    <row r="67" spans="1:2">
      <c r="A67" s="3041"/>
      <c r="B67" s="3028"/>
    </row>
    <row r="68" spans="1:2">
      <c r="A68" s="3041"/>
      <c r="B68" s="3028"/>
    </row>
    <row r="69" spans="1:2">
      <c r="A69" s="3041"/>
      <c r="B69" s="3028"/>
    </row>
    <row r="70" spans="1:2">
      <c r="A70" s="3041"/>
      <c r="B70" s="3028"/>
    </row>
    <row r="71" spans="1:2">
      <c r="A71" s="3041"/>
      <c r="B71" s="3028"/>
    </row>
    <row r="72" spans="1:2">
      <c r="A72" s="3041"/>
      <c r="B72" s="3028"/>
    </row>
    <row r="73" spans="1:2">
      <c r="A73" s="3041"/>
      <c r="B73" s="3028"/>
    </row>
    <row r="74" spans="1:2">
      <c r="A74" s="3041"/>
      <c r="B74" s="3028"/>
    </row>
    <row r="75" spans="1:2">
      <c r="A75" s="3041"/>
      <c r="B75" s="3028"/>
    </row>
    <row r="76" spans="1:2">
      <c r="A76" s="3041"/>
      <c r="B76" s="3028"/>
    </row>
    <row r="77" spans="1:2">
      <c r="A77" s="3041"/>
      <c r="B77" s="3028"/>
    </row>
    <row r="78" spans="1:2">
      <c r="A78" s="3041"/>
      <c r="B78" s="3028"/>
    </row>
    <row r="79" spans="1:2">
      <c r="A79" s="3041"/>
      <c r="B79" s="3028"/>
    </row>
    <row r="80" spans="1:2">
      <c r="A80" s="3041"/>
      <c r="B80" s="3028"/>
    </row>
    <row r="81" spans="1:2">
      <c r="A81" s="3041"/>
      <c r="B81" s="3028"/>
    </row>
    <row r="82" spans="1:2">
      <c r="A82" s="3041"/>
      <c r="B82" s="3028"/>
    </row>
    <row r="83" spans="1:2">
      <c r="A83" s="3041"/>
      <c r="B83" s="3028"/>
    </row>
    <row r="84" spans="1:2">
      <c r="A84" s="3041"/>
      <c r="B84" s="3028"/>
    </row>
    <row r="85" spans="1:2">
      <c r="A85" s="3041"/>
      <c r="B85" s="3028"/>
    </row>
    <row r="86" spans="1:2">
      <c r="A86" s="3041"/>
      <c r="B86" s="3028"/>
    </row>
    <row r="87" spans="1:2">
      <c r="A87" s="3041"/>
      <c r="B87" s="3028"/>
    </row>
    <row r="88" spans="1:2">
      <c r="A88" s="3041"/>
      <c r="B88" s="3028"/>
    </row>
    <row r="89" spans="1:2">
      <c r="A89" s="3041"/>
      <c r="B89" s="3028"/>
    </row>
    <row r="90" spans="1:2">
      <c r="A90" s="3041"/>
      <c r="B90" s="3028"/>
    </row>
    <row r="91" spans="1:2">
      <c r="A91" s="3041"/>
      <c r="B91" s="3028"/>
    </row>
    <row r="92" spans="1:2">
      <c r="A92" s="3041"/>
      <c r="B92" s="3028"/>
    </row>
    <row r="93" spans="1:2">
      <c r="A93" s="3041"/>
      <c r="B93" s="3028"/>
    </row>
    <row r="94" spans="1:2">
      <c r="A94" s="3041"/>
      <c r="B94" s="3028"/>
    </row>
    <row r="95" spans="1:2">
      <c r="A95" s="3041"/>
      <c r="B95" s="3028"/>
    </row>
    <row r="96" spans="1:2">
      <c r="A96" s="3041"/>
      <c r="B96" s="3028"/>
    </row>
    <row r="97" spans="1:2">
      <c r="A97" s="3041"/>
      <c r="B97" s="3028"/>
    </row>
    <row r="98" spans="1:2">
      <c r="A98" s="3041"/>
      <c r="B98" s="3028"/>
    </row>
    <row r="99" spans="1:2">
      <c r="A99" s="3041"/>
      <c r="B99" s="3028"/>
    </row>
    <row r="100" spans="1:2">
      <c r="A100" s="3041"/>
      <c r="B100" s="3028"/>
    </row>
    <row r="101" spans="1:2">
      <c r="A101" s="3041"/>
      <c r="B101" s="3028"/>
    </row>
    <row r="102" spans="1:2">
      <c r="A102" s="3041"/>
      <c r="B102" s="3028"/>
    </row>
    <row r="103" spans="1:2">
      <c r="A103" s="3041"/>
      <c r="B103" s="3028"/>
    </row>
    <row r="104" spans="1:2">
      <c r="A104" s="3041"/>
      <c r="B104" s="3028"/>
    </row>
    <row r="105" spans="1:2">
      <c r="A105" s="3041"/>
      <c r="B105" s="3028"/>
    </row>
    <row r="106" spans="1:2">
      <c r="A106" s="3041"/>
      <c r="B106" s="3028"/>
    </row>
    <row r="107" spans="1:2">
      <c r="A107" s="3041"/>
      <c r="B107" s="3028"/>
    </row>
    <row r="108" spans="1:2">
      <c r="A108" s="3041"/>
      <c r="B108" s="3028"/>
    </row>
    <row r="109" spans="1:2">
      <c r="A109" s="3041"/>
      <c r="B109" s="3028"/>
    </row>
    <row r="110" spans="1:2">
      <c r="A110" s="3041"/>
      <c r="B110" s="3028"/>
    </row>
    <row r="111" spans="1:2">
      <c r="A111" s="3041"/>
      <c r="B111" s="3028"/>
    </row>
    <row r="112" spans="1:2">
      <c r="A112" s="3041"/>
      <c r="B112" s="3028"/>
    </row>
    <row r="113" spans="1:2">
      <c r="A113" s="3041"/>
      <c r="B113" s="3028"/>
    </row>
    <row r="114" spans="1:2">
      <c r="A114" s="3041"/>
      <c r="B114" s="3028"/>
    </row>
    <row r="115" spans="1:2">
      <c r="A115" s="3041"/>
      <c r="B115" s="3028"/>
    </row>
    <row r="116" spans="1:2">
      <c r="A116" s="3041"/>
      <c r="B116" s="3028"/>
    </row>
    <row r="117" spans="1:2">
      <c r="A117" s="3041"/>
      <c r="B117" s="3028"/>
    </row>
    <row r="118" spans="1:2">
      <c r="A118" s="3041"/>
      <c r="B118" s="3028"/>
    </row>
    <row r="119" spans="1:2">
      <c r="A119" s="3041"/>
      <c r="B119" s="3028"/>
    </row>
    <row r="120" spans="1:2">
      <c r="A120" s="3041"/>
      <c r="B120" s="3028"/>
    </row>
    <row r="121" spans="1:2">
      <c r="A121" s="3041"/>
      <c r="B121" s="3028"/>
    </row>
    <row r="122" spans="1:2">
      <c r="A122" s="3041"/>
      <c r="B122" s="3028"/>
    </row>
    <row r="123" spans="1:2">
      <c r="A123" s="3041"/>
      <c r="B123" s="3028"/>
    </row>
    <row r="124" spans="1:2">
      <c r="A124" s="3041"/>
      <c r="B124" s="3028"/>
    </row>
    <row r="125" spans="1:2">
      <c r="A125" s="3041"/>
      <c r="B125" s="3028"/>
    </row>
    <row r="126" spans="1:2">
      <c r="A126" s="3041"/>
      <c r="B126" s="3028"/>
    </row>
    <row r="127" spans="1:2">
      <c r="A127" s="3041"/>
      <c r="B127" s="302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22" zoomScale="115" zoomScaleNormal="100" zoomScaleSheetLayoutView="115" workbookViewId="0">
      <selection activeCell="B16" sqref="B16:D16"/>
    </sheetView>
  </sheetViews>
  <sheetFormatPr defaultColWidth="10" defaultRowHeight="12.75"/>
  <cols>
    <col min="1" max="1" width="16.875" style="2510" customWidth="1"/>
    <col min="2" max="2" width="10" style="2510" customWidth="1"/>
    <col min="3" max="3" width="11.5" style="2510" customWidth="1"/>
    <col min="4" max="4" width="10" style="2510" customWidth="1"/>
    <col min="5" max="5" width="12.625" style="2510" customWidth="1"/>
    <col min="6" max="6" width="10" style="2510" customWidth="1"/>
    <col min="7" max="7" width="10.75" style="2510" customWidth="1"/>
    <col min="8" max="8" width="10" style="2510" customWidth="1"/>
    <col min="9" max="9" width="11.125" style="2798" customWidth="1"/>
    <col min="10" max="10" width="10" style="2707" customWidth="1"/>
    <col min="11" max="11" width="10" style="2896" customWidth="1"/>
    <col min="12" max="13" width="10" style="2897" customWidth="1"/>
    <col min="14" max="14" width="10" style="2707" customWidth="1"/>
    <col min="15" max="15" width="10" style="322" customWidth="1"/>
    <col min="16" max="17" width="10" style="2707"/>
    <col min="18" max="18" width="10" style="2707" customWidth="1"/>
    <col min="19" max="30" width="10" style="2707"/>
    <col min="31" max="16384" width="10" style="2510"/>
  </cols>
  <sheetData>
    <row r="1" spans="1:28">
      <c r="A1" s="2898" t="s">
        <v>331</v>
      </c>
      <c r="B1" s="3270" t="str">
        <f>IF(B10="北京市","北京市",C10)&amp;F10&amp;IF(结果表!G1="在建","出让国有建设用地使用权及在建建筑物",IF(结果表!G1="土地","出让国有建设用地使用权",))&amp;B9&amp;"预评估"</f>
        <v>北京市房地产市场价值预评估</v>
      </c>
      <c r="C1" s="3271"/>
      <c r="D1" s="3271"/>
      <c r="E1" s="3271"/>
      <c r="F1" s="3271"/>
      <c r="G1" s="3271"/>
      <c r="H1" s="3271"/>
      <c r="I1" s="3272"/>
      <c r="J1" s="2460"/>
      <c r="K1" s="2997"/>
      <c r="L1" s="2998"/>
      <c r="M1" s="2998"/>
      <c r="N1" s="2940"/>
      <c r="O1" s="2806"/>
      <c r="P1" s="2940"/>
      <c r="Q1" s="2940"/>
      <c r="R1" s="2940"/>
      <c r="S1" s="2511" t="str">
        <f>IF(B10="北京市","北京市",C10)&amp;F10&amp;IF(结果表!G1="在建","出让国有建设用地使用权及在建建筑物房地产抵押价值",IF(结果表!G1="土地","出让国有建设用地使用权抵押价值",B9))</f>
        <v>北京市房地产市场价值</v>
      </c>
      <c r="T1" s="2510"/>
      <c r="U1" s="2510"/>
      <c r="V1" s="2510"/>
      <c r="W1" s="2510"/>
      <c r="X1" s="2510"/>
      <c r="Y1" s="2510"/>
      <c r="Z1" s="2510"/>
      <c r="AA1" s="2510"/>
      <c r="AB1" s="2510"/>
    </row>
    <row r="2" spans="1:28">
      <c r="A2" s="2899" t="s">
        <v>332</v>
      </c>
      <c r="B2" s="2900"/>
      <c r="C2" s="2901"/>
      <c r="D2" s="2902"/>
      <c r="E2" s="2903"/>
      <c r="F2" s="2903"/>
      <c r="G2" s="2904"/>
      <c r="H2" s="2904"/>
      <c r="I2" s="2904"/>
      <c r="J2" s="2460"/>
      <c r="K2" s="2997"/>
      <c r="L2" s="2998"/>
      <c r="M2" s="2998"/>
      <c r="N2" s="2940"/>
      <c r="O2" s="2806"/>
      <c r="P2" s="2940"/>
      <c r="Q2" s="2940"/>
      <c r="R2" s="2940"/>
      <c r="S2" s="2511" t="str">
        <f>IF(B10="北京市","北京市",C10)&amp;F10&amp;IF(结果表!G1="在建","出让国有建设用地使用权及在建建筑物房地产",IF(结果表!G1="土地","出让国有建设用地使用权","房地产"))</f>
        <v>北京市房地产</v>
      </c>
      <c r="T2" s="2510"/>
      <c r="U2" s="2510"/>
      <c r="V2" s="2510"/>
      <c r="W2" s="2510"/>
      <c r="X2" s="2510"/>
      <c r="Y2" s="2510"/>
      <c r="Z2" s="2510"/>
      <c r="AA2" s="2510"/>
      <c r="AB2" s="2510"/>
    </row>
    <row r="3" spans="1:28">
      <c r="A3" s="1671" t="s">
        <v>333</v>
      </c>
      <c r="B3" s="2905">
        <v>44347</v>
      </c>
      <c r="C3" s="2906" t="s">
        <v>334</v>
      </c>
      <c r="D3" s="2905">
        <f>B3</f>
        <v>44347</v>
      </c>
      <c r="E3" s="2904"/>
      <c r="F3" s="2904"/>
      <c r="G3" s="2904"/>
      <c r="H3" s="2904"/>
      <c r="I3" s="2904"/>
      <c r="J3" s="2460"/>
      <c r="K3" s="2997"/>
      <c r="L3" s="2998"/>
      <c r="M3" s="2998"/>
      <c r="N3" s="2940"/>
      <c r="O3" s="2806"/>
      <c r="P3" s="2940"/>
      <c r="Q3" s="2940"/>
      <c r="R3" s="2940"/>
      <c r="S3" s="2511"/>
      <c r="T3" s="2510"/>
      <c r="U3" s="2510"/>
      <c r="V3" s="2510"/>
      <c r="W3" s="2510"/>
      <c r="X3" s="2510"/>
      <c r="Y3" s="2510"/>
      <c r="Z3" s="2510"/>
      <c r="AA3" s="2510"/>
      <c r="AB3" s="2510"/>
    </row>
    <row r="4" spans="1:28">
      <c r="A4" s="1693" t="s">
        <v>335</v>
      </c>
      <c r="B4" s="2907" t="s">
        <v>185</v>
      </c>
      <c r="C4" s="2908">
        <f ca="1">SUMIF(注册房地产估价师,B4,估价师及机构信息!B3:B24)</f>
        <v>1119970111</v>
      </c>
      <c r="D4" s="2907" t="s">
        <v>189</v>
      </c>
      <c r="E4" s="2909">
        <f ca="1">SUMIF(注册房地产估价师,D4,估价师及机构信息!B3:B24)</f>
        <v>1120060040</v>
      </c>
      <c r="F4" s="2907"/>
      <c r="G4" s="2909">
        <f>SUMIF(注册房地产估价师,F4,估价师及机构信息!B3:B24)</f>
        <v>0</v>
      </c>
      <c r="H4" s="2907"/>
      <c r="I4" s="2909">
        <f>SUMIF(注册房地产估价师,H4,估价师及机构信息!B3:B24)</f>
        <v>0</v>
      </c>
      <c r="J4" s="2494"/>
      <c r="K4" s="2999" t="str">
        <f ca="1">CONCATENATE(B4,"（注册号：",C4,")、",D4,"（注册号：",E4,")")</f>
        <v>叶凌（注册号：1119970111)、陈颖（注册号：1120060040)</v>
      </c>
      <c r="L4" s="2998"/>
      <c r="M4" s="2998"/>
      <c r="N4" s="2940"/>
      <c r="O4" s="2806"/>
      <c r="P4" s="2940"/>
      <c r="Q4" s="2940"/>
      <c r="R4" s="2940"/>
      <c r="S4" s="2511"/>
      <c r="T4" s="2510"/>
      <c r="U4" s="2510"/>
      <c r="V4" s="2510"/>
      <c r="W4" s="2510"/>
      <c r="X4" s="2510"/>
      <c r="Y4" s="2510"/>
      <c r="Z4" s="2510"/>
      <c r="AA4" s="2510"/>
      <c r="AB4" s="2510"/>
    </row>
    <row r="5" spans="1:28">
      <c r="A5" s="2910" t="s">
        <v>336</v>
      </c>
      <c r="B5" s="2911"/>
      <c r="C5" s="2912"/>
      <c r="D5" s="2913"/>
      <c r="E5" s="2616"/>
      <c r="F5" s="2616"/>
      <c r="G5" s="2616"/>
      <c r="H5" s="2616"/>
      <c r="I5" s="2616"/>
      <c r="J5" s="2494"/>
      <c r="K5" s="2999" t="str">
        <f>IF(F4="——","",IF(H4="——",F4&amp;"（注册号："&amp;G4&amp;")",CONCATENATE(F4,"（注册号：",G4,")、",H4,"（注册号：",I4,")")))</f>
        <v>（注册号：0)、（注册号：0)</v>
      </c>
      <c r="L5" s="2998"/>
      <c r="M5" s="2998"/>
      <c r="N5" s="2940"/>
      <c r="O5" s="2806"/>
      <c r="P5" s="2940"/>
      <c r="Q5" s="2940"/>
      <c r="R5" s="2940"/>
      <c r="S5" s="2510"/>
      <c r="T5" s="2510"/>
      <c r="U5" s="2510"/>
      <c r="V5" s="2510"/>
      <c r="W5" s="2510"/>
      <c r="X5" s="2510"/>
      <c r="Y5" s="2510"/>
      <c r="Z5" s="2510"/>
      <c r="AA5" s="2510"/>
      <c r="AB5" s="2510"/>
    </row>
    <row r="6" spans="1:28">
      <c r="A6" s="2914" t="s">
        <v>337</v>
      </c>
      <c r="B6" s="2915"/>
      <c r="C6" s="2916"/>
      <c r="D6" s="2917"/>
      <c r="E6" s="2903"/>
      <c r="F6" s="2616"/>
      <c r="G6" s="2616"/>
      <c r="H6" s="2616"/>
      <c r="I6" s="2616"/>
      <c r="J6" s="2494"/>
      <c r="K6" s="3000" t="str">
        <f>IF(COUNTIF(B6,"*上海银行*"),"上海银行","")</f>
        <v/>
      </c>
      <c r="L6" s="3001"/>
      <c r="M6" s="3001"/>
      <c r="N6" s="2494"/>
      <c r="O6" s="3002"/>
      <c r="P6" s="2494"/>
      <c r="Q6" s="2494"/>
      <c r="R6" s="2494"/>
    </row>
    <row r="7" spans="1:28">
      <c r="A7" s="2914" t="s">
        <v>338</v>
      </c>
      <c r="B7" s="2918"/>
      <c r="C7" s="2916"/>
      <c r="D7" s="2917"/>
      <c r="E7" s="2903"/>
      <c r="F7" s="2616"/>
      <c r="G7" s="2616"/>
      <c r="H7" s="2616"/>
      <c r="I7" s="2616"/>
      <c r="J7" s="2494"/>
      <c r="K7" s="3003"/>
      <c r="L7" s="3001"/>
      <c r="M7" s="3001"/>
      <c r="N7" s="2494"/>
      <c r="O7" s="3002"/>
      <c r="P7" s="2494"/>
      <c r="Q7" s="2494"/>
      <c r="R7" s="2494"/>
    </row>
    <row r="8" spans="1:28">
      <c r="A8" s="2919" t="s">
        <v>339</v>
      </c>
      <c r="B8" s="2920" t="s">
        <v>340</v>
      </c>
      <c r="C8" s="2921"/>
      <c r="D8" s="3285" t="s">
        <v>341</v>
      </c>
      <c r="E8" s="2922" t="s">
        <v>325</v>
      </c>
      <c r="F8" s="2923"/>
      <c r="G8" s="2904"/>
      <c r="H8" s="2904"/>
      <c r="I8" s="2904"/>
      <c r="J8" s="2494"/>
      <c r="K8" s="3004"/>
      <c r="L8" s="3001"/>
      <c r="M8" s="3001"/>
      <c r="N8" s="2494"/>
      <c r="O8" s="3002"/>
      <c r="P8" s="2494"/>
      <c r="Q8" s="2494"/>
      <c r="R8" s="2494"/>
    </row>
    <row r="9" spans="1:28">
      <c r="A9" s="2924" t="s">
        <v>342</v>
      </c>
      <c r="B9" s="2925" t="s">
        <v>343</v>
      </c>
      <c r="C9" s="2926"/>
      <c r="D9" s="3286"/>
      <c r="E9" s="2925"/>
      <c r="F9" s="2927"/>
      <c r="G9" s="2928"/>
      <c r="H9" s="2928"/>
      <c r="I9" s="2928"/>
      <c r="J9" s="2494"/>
      <c r="K9" s="3003"/>
      <c r="L9" s="3001"/>
      <c r="M9" s="3001"/>
      <c r="N9" s="2494"/>
      <c r="O9" s="3002"/>
      <c r="P9" s="2494"/>
      <c r="Q9" s="2494"/>
      <c r="R9" s="2494"/>
    </row>
    <row r="10" spans="1:28">
      <c r="A10" s="2929" t="s">
        <v>344</v>
      </c>
      <c r="B10" s="2930" t="s">
        <v>345</v>
      </c>
      <c r="C10" s="2931"/>
      <c r="D10" s="2913"/>
      <c r="E10" s="2932" t="s">
        <v>346</v>
      </c>
      <c r="F10" s="2933"/>
      <c r="G10" s="2934"/>
      <c r="H10" s="2935"/>
      <c r="I10" s="3005"/>
      <c r="J10" s="2494"/>
      <c r="K10" s="3003"/>
      <c r="L10" s="3001"/>
      <c r="M10" s="3001"/>
      <c r="N10" s="2494"/>
      <c r="O10" s="3002"/>
      <c r="P10" s="2494"/>
      <c r="Q10" s="2494"/>
      <c r="R10" s="2494"/>
    </row>
    <row r="11" spans="1:28">
      <c r="A11" s="2936" t="s">
        <v>347</v>
      </c>
      <c r="B11" s="2937" t="s">
        <v>348</v>
      </c>
      <c r="C11" s="2938"/>
      <c r="D11" s="2939"/>
      <c r="E11" s="2940"/>
      <c r="F11" s="2940"/>
      <c r="G11" s="2940"/>
      <c r="H11" s="2940"/>
      <c r="I11" s="2940"/>
      <c r="J11" s="2494"/>
      <c r="K11" s="3003"/>
      <c r="L11" s="3001"/>
      <c r="M11" s="3001"/>
      <c r="N11" s="2494"/>
      <c r="O11" s="3002"/>
      <c r="P11" s="2494"/>
      <c r="Q11" s="2494"/>
      <c r="R11" s="2494"/>
    </row>
    <row r="12" spans="1:28">
      <c r="A12" s="2941" t="s">
        <v>349</v>
      </c>
      <c r="B12" s="2937" t="s">
        <v>350</v>
      </c>
      <c r="C12" s="1712" t="s">
        <v>351</v>
      </c>
      <c r="D12" s="2942" t="s">
        <v>352</v>
      </c>
      <c r="E12" s="2942" t="s">
        <v>353</v>
      </c>
      <c r="F12" s="2942" t="s">
        <v>354</v>
      </c>
      <c r="G12" s="2942" t="s">
        <v>355</v>
      </c>
      <c r="H12" s="2942" t="s">
        <v>356</v>
      </c>
      <c r="I12" s="2942" t="s">
        <v>357</v>
      </c>
      <c r="J12" s="2494"/>
      <c r="K12" s="3003"/>
      <c r="L12" s="3001"/>
      <c r="M12" s="3001"/>
      <c r="N12" s="2494"/>
      <c r="O12" s="3002"/>
      <c r="P12" s="2494"/>
      <c r="Q12" s="2494"/>
      <c r="R12" s="2494"/>
    </row>
    <row r="13" spans="1:28">
      <c r="A13" s="1698"/>
      <c r="B13" s="2943"/>
      <c r="C13" s="2944" t="s">
        <v>358</v>
      </c>
      <c r="D13" s="2945"/>
      <c r="E13" s="2945"/>
      <c r="F13" s="2945"/>
      <c r="G13" s="2945"/>
      <c r="H13" s="2945"/>
      <c r="I13" s="2945"/>
      <c r="J13" s="2494"/>
      <c r="K13" s="3003"/>
      <c r="L13" s="3001"/>
      <c r="M13" s="3001"/>
      <c r="N13" s="2494"/>
      <c r="O13" s="3002"/>
      <c r="P13" s="2494"/>
      <c r="Q13" s="2494"/>
      <c r="R13" s="2494"/>
    </row>
    <row r="14" spans="1:28">
      <c r="A14" s="1698"/>
      <c r="B14" s="2943"/>
      <c r="C14" s="2944" t="s">
        <v>359</v>
      </c>
      <c r="D14" s="2946">
        <v>70</v>
      </c>
      <c r="E14" s="2946"/>
      <c r="F14" s="2946"/>
      <c r="G14" s="2946"/>
      <c r="H14" s="2946"/>
      <c r="I14" s="2946"/>
      <c r="J14" s="2494"/>
      <c r="K14" s="3006"/>
      <c r="L14" s="3001"/>
      <c r="M14" s="3001"/>
      <c r="N14" s="2494"/>
      <c r="O14" s="3002"/>
      <c r="P14" s="2494"/>
      <c r="Q14" s="2494"/>
      <c r="R14" s="2494"/>
    </row>
    <row r="15" spans="1:28">
      <c r="A15" s="1705"/>
      <c r="B15" s="2947"/>
      <c r="C15" s="2948" t="s">
        <v>360</v>
      </c>
      <c r="D15" s="2949">
        <f>IF(B12="出让",IF(D13="","",ROUNDDOWN(MIN((D13-$D$3)/365,D14),2)),D14)</f>
        <v>70</v>
      </c>
      <c r="E15" s="2949">
        <f>IF(B12="出让",IF(E13="","",ROUNDDOWN(MIN((E13-$D$3)/365,E14),2)),E14)</f>
        <v>0</v>
      </c>
      <c r="F15" s="2949">
        <f>IF(B12="出让",IF(F13="","",ROUNDDOWN(MIN((F13-$D$3)/365,F14),2)),F14)</f>
        <v>0</v>
      </c>
      <c r="G15" s="2949">
        <f>IF(B12="出让",IF(G13="","",ROUNDDOWN(MIN((G13-$D$3)/365,G14),2)),G14)</f>
        <v>0</v>
      </c>
      <c r="H15" s="2949">
        <f>IF(B12="出让",IF(H13="","",ROUNDDOWN(MIN((H13-$D$3)/365,H14),2)),H14)</f>
        <v>0</v>
      </c>
      <c r="I15" s="2949">
        <f>IF(B12="出让",IF(I13="","",ROUNDDOWN(MIN((I13-$D$3)/365,I14),2)),I14)</f>
        <v>0</v>
      </c>
      <c r="J15" s="2494"/>
      <c r="K15" s="3007"/>
      <c r="L15" s="3008"/>
      <c r="M15" s="3008"/>
      <c r="N15" s="2495"/>
      <c r="O15" s="3008"/>
      <c r="P15" s="2495"/>
      <c r="Q15" s="2494"/>
      <c r="R15" s="2494"/>
    </row>
    <row r="16" spans="1:28">
      <c r="A16" s="2932" t="s">
        <v>361</v>
      </c>
      <c r="B16" s="3273"/>
      <c r="C16" s="3274"/>
      <c r="D16" s="3275"/>
      <c r="E16" s="2950" t="s">
        <v>362</v>
      </c>
      <c r="F16" s="3276"/>
      <c r="G16" s="3277"/>
      <c r="H16" s="3277"/>
      <c r="I16" s="3278"/>
      <c r="J16" s="2494"/>
      <c r="K16" s="3007"/>
      <c r="L16" s="3008"/>
      <c r="M16" s="3008"/>
      <c r="N16" s="2495"/>
      <c r="O16" s="3008"/>
      <c r="P16" s="2495"/>
      <c r="Q16" s="2494"/>
      <c r="R16" s="2494"/>
    </row>
    <row r="17" spans="1:28">
      <c r="A17" s="1682" t="s">
        <v>363</v>
      </c>
      <c r="B17" s="1671" t="s">
        <v>364</v>
      </c>
      <c r="C17" s="384">
        <f>'数据-汇总表'!E3</f>
        <v>1</v>
      </c>
      <c r="D17" s="1725" t="s">
        <v>365</v>
      </c>
      <c r="E17" s="3279" t="s">
        <v>366</v>
      </c>
      <c r="F17" s="3280"/>
      <c r="G17" s="3280"/>
      <c r="H17" s="3280"/>
      <c r="I17" s="3281"/>
      <c r="J17" s="2494"/>
      <c r="K17" s="3009"/>
      <c r="L17" s="3008"/>
      <c r="M17" s="3008"/>
      <c r="N17" s="2495"/>
      <c r="O17" s="3008"/>
      <c r="P17" s="2495"/>
      <c r="Q17" s="2494"/>
      <c r="R17" s="2494"/>
      <c r="S17" s="2494"/>
      <c r="T17" s="2494"/>
      <c r="U17" s="2494"/>
      <c r="V17" s="2494"/>
    </row>
    <row r="18" spans="1:28" ht="24">
      <c r="A18" s="2951" t="s">
        <v>367</v>
      </c>
      <c r="B18" s="1693" t="s">
        <v>368</v>
      </c>
      <c r="C18" s="2952">
        <f>'数据-汇总表'!D3</f>
        <v>0.39</v>
      </c>
      <c r="D18" s="1718" t="s">
        <v>365</v>
      </c>
      <c r="E18" s="3282" t="s">
        <v>369</v>
      </c>
      <c r="F18" s="3283"/>
      <c r="G18" s="3283"/>
      <c r="H18" s="3283"/>
      <c r="I18" s="3284"/>
      <c r="J18" s="2494"/>
      <c r="K18" s="3009"/>
      <c r="L18" s="3008"/>
      <c r="M18" s="3008"/>
      <c r="N18" s="2495"/>
      <c r="O18" s="3008"/>
      <c r="P18" s="2495"/>
      <c r="Q18" s="2494"/>
      <c r="R18" s="2494"/>
      <c r="S18" s="2494"/>
      <c r="T18" s="2494"/>
      <c r="U18" s="2494"/>
      <c r="V18" s="2494"/>
    </row>
    <row r="19" spans="1:28" ht="36">
      <c r="A19" s="1735" t="s">
        <v>370</v>
      </c>
      <c r="B19" s="1675" t="s">
        <v>371</v>
      </c>
      <c r="C19" s="2953" t="s">
        <v>124</v>
      </c>
      <c r="D19" s="2954" t="s">
        <v>372</v>
      </c>
      <c r="E19" s="2955"/>
      <c r="F19" s="2956" t="str">
        <f>IF(AND(C19="是",E19="否"),"是否提供他项权证或相关说明","")</f>
        <v/>
      </c>
      <c r="G19" s="2957"/>
      <c r="H19" s="2616"/>
      <c r="I19" s="2616"/>
      <c r="J19" s="2494"/>
      <c r="K19" s="3003"/>
      <c r="L19" s="3001"/>
      <c r="M19" s="3001"/>
      <c r="N19" s="2495"/>
      <c r="O19" s="3008"/>
      <c r="P19" s="2495"/>
      <c r="Q19" s="2494"/>
      <c r="R19" s="2494"/>
      <c r="S19" s="2494"/>
      <c r="T19" s="2494"/>
      <c r="U19" s="2494"/>
      <c r="V19" s="2494"/>
    </row>
    <row r="20" spans="1:28">
      <c r="A20" s="2958" t="s">
        <v>373</v>
      </c>
      <c r="B20" s="3289" t="s">
        <v>374</v>
      </c>
      <c r="C20" s="3290"/>
      <c r="D20" s="3291" t="s">
        <v>375</v>
      </c>
      <c r="E20" s="3292"/>
      <c r="F20" s="2959" t="s">
        <v>376</v>
      </c>
      <c r="G20" s="2616"/>
      <c r="H20" s="2616"/>
      <c r="I20" s="2616"/>
      <c r="J20" s="2494"/>
      <c r="K20" s="3287" t="s">
        <v>377</v>
      </c>
      <c r="L20" s="18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8"/>
      <c r="N20" s="3010"/>
      <c r="O20" s="3011"/>
      <c r="P20" s="3010"/>
      <c r="Q20" s="2940"/>
      <c r="R20" s="2940"/>
      <c r="S20" s="2940"/>
      <c r="T20" s="2940"/>
      <c r="U20" s="2940"/>
      <c r="V20" s="2940"/>
      <c r="W20" s="2510"/>
      <c r="X20" s="2510"/>
      <c r="Y20" s="2510"/>
      <c r="Z20" s="2510"/>
      <c r="AA20" s="2510"/>
      <c r="AB20" s="2510"/>
    </row>
    <row r="21" spans="1:28" ht="24">
      <c r="A21" s="2958"/>
      <c r="B21" s="2960" t="s">
        <v>378</v>
      </c>
      <c r="C21" s="2961" t="s">
        <v>379</v>
      </c>
      <c r="D21" s="2962" t="s">
        <v>380</v>
      </c>
      <c r="E21" s="2963" t="s">
        <v>379</v>
      </c>
      <c r="F21" s="2964"/>
      <c r="G21" s="2616"/>
      <c r="H21" s="2616"/>
      <c r="I21" s="2616"/>
      <c r="J21" s="2494"/>
      <c r="K21" s="3287"/>
      <c r="L21" s="18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8"/>
      <c r="N21" s="3010"/>
      <c r="O21" s="3011"/>
      <c r="P21" s="3010"/>
      <c r="Q21" s="2940"/>
      <c r="R21" s="2940"/>
      <c r="S21" s="2940"/>
      <c r="T21" s="2940"/>
      <c r="U21" s="2940"/>
      <c r="V21" s="2940"/>
      <c r="W21" s="2510"/>
      <c r="X21" s="2510"/>
      <c r="Y21" s="2510"/>
      <c r="Z21" s="2510"/>
      <c r="AA21" s="2510"/>
      <c r="AB21" s="2510"/>
    </row>
    <row r="22" spans="1:28" ht="24">
      <c r="A22" s="2958"/>
      <c r="B22" s="2965" t="s">
        <v>381</v>
      </c>
      <c r="C22" s="2961" t="s">
        <v>382</v>
      </c>
      <c r="D22" s="2904"/>
      <c r="E22" s="2904"/>
      <c r="F22" s="2904"/>
      <c r="G22" s="2616"/>
      <c r="H22" s="2616"/>
      <c r="I22" s="2616"/>
      <c r="J22" s="2494"/>
      <c r="K22" s="3287"/>
      <c r="L22" s="18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8"/>
      <c r="N22" s="3010"/>
      <c r="O22" s="3011"/>
      <c r="P22" s="3010"/>
      <c r="Q22" s="2940"/>
      <c r="R22" s="2940"/>
      <c r="S22" s="2940"/>
      <c r="T22" s="2940"/>
      <c r="U22" s="2940"/>
      <c r="V22" s="2940"/>
      <c r="W22" s="2510"/>
      <c r="X22" s="2510"/>
      <c r="Y22" s="2510"/>
      <c r="Z22" s="2510"/>
      <c r="AA22" s="2510"/>
      <c r="AB22" s="2510"/>
    </row>
    <row r="23" spans="1:28">
      <c r="A23" s="2966" t="s">
        <v>383</v>
      </c>
      <c r="B23" s="2485" t="s">
        <v>384</v>
      </c>
      <c r="C23" s="2967"/>
      <c r="D23" s="2968" t="s">
        <v>384</v>
      </c>
      <c r="E23" s="2969"/>
      <c r="F23" s="2904"/>
      <c r="G23" s="2616"/>
      <c r="H23" s="2616"/>
      <c r="I23" s="2616"/>
      <c r="J23" s="2494"/>
      <c r="K23" s="3012"/>
      <c r="L23" s="1833"/>
      <c r="M23" s="3001"/>
      <c r="N23" s="2495"/>
      <c r="O23" s="3008"/>
      <c r="P23" s="2495"/>
      <c r="Q23" s="2494"/>
      <c r="R23" s="2494"/>
      <c r="S23" s="2494"/>
      <c r="T23" s="2494"/>
      <c r="U23" s="2494"/>
      <c r="V23" s="2494"/>
    </row>
    <row r="24" spans="1:28">
      <c r="A24" s="2966"/>
      <c r="B24" s="2485" t="s">
        <v>385</v>
      </c>
      <c r="C24" s="2970"/>
      <c r="D24" s="2966" t="s">
        <v>385</v>
      </c>
      <c r="E24" s="2971"/>
      <c r="F24" s="2904"/>
      <c r="G24" s="2616"/>
      <c r="H24" s="2616"/>
      <c r="I24" s="2616"/>
      <c r="J24" s="2494"/>
      <c r="K24" s="3012"/>
      <c r="L24" s="1833"/>
      <c r="M24" s="3001"/>
      <c r="N24" s="2495"/>
      <c r="O24" s="3008"/>
      <c r="P24" s="2495"/>
      <c r="Q24" s="2494"/>
      <c r="R24" s="2494"/>
      <c r="S24" s="2494"/>
      <c r="T24" s="2494"/>
      <c r="U24" s="2494"/>
      <c r="V24" s="2494"/>
    </row>
    <row r="25" spans="1:28">
      <c r="A25" s="2966"/>
      <c r="B25" s="2485" t="s">
        <v>386</v>
      </c>
      <c r="C25" s="2970"/>
      <c r="D25" s="2966" t="s">
        <v>386</v>
      </c>
      <c r="E25" s="2971"/>
      <c r="F25" s="2904"/>
      <c r="G25" s="2616"/>
      <c r="H25" s="2616"/>
      <c r="I25" s="2616"/>
      <c r="J25" s="2494"/>
      <c r="K25" s="3003"/>
      <c r="L25" s="3001"/>
      <c r="M25" s="3001"/>
      <c r="N25" s="2495"/>
      <c r="O25" s="3008"/>
      <c r="P25" s="2495"/>
      <c r="Q25" s="2494"/>
      <c r="R25" s="2494"/>
      <c r="S25" s="2494"/>
      <c r="T25" s="2494"/>
      <c r="U25" s="2494"/>
      <c r="V25" s="2494"/>
    </row>
    <row r="26" spans="1:28">
      <c r="A26" s="2972"/>
      <c r="B26" s="2973" t="s">
        <v>387</v>
      </c>
      <c r="C26" s="2974"/>
      <c r="D26" s="2972" t="s">
        <v>387</v>
      </c>
      <c r="E26" s="2975"/>
      <c r="F26" s="2928"/>
      <c r="G26" s="2928"/>
      <c r="H26" s="2928"/>
      <c r="I26" s="2928"/>
      <c r="J26" s="2494"/>
      <c r="K26" s="3003"/>
      <c r="L26" s="3001"/>
      <c r="M26" s="3001"/>
      <c r="N26" s="2495"/>
      <c r="O26" s="3008"/>
      <c r="P26" s="2495"/>
      <c r="Q26" s="2494"/>
      <c r="R26" s="2494"/>
      <c r="S26" s="2494"/>
      <c r="T26" s="2494"/>
      <c r="U26" s="2494"/>
      <c r="V26" s="2494"/>
    </row>
    <row r="27" spans="1:28">
      <c r="A27" s="3266" t="s">
        <v>388</v>
      </c>
      <c r="B27" s="1705" t="s">
        <v>389</v>
      </c>
      <c r="C27" s="2976" t="s">
        <v>390</v>
      </c>
      <c r="D27" s="2977"/>
      <c r="E27" s="2616"/>
      <c r="F27" s="2616"/>
      <c r="G27" s="2616"/>
      <c r="H27" s="2616"/>
      <c r="I27" s="2616"/>
      <c r="J27" s="2494"/>
      <c r="K27" s="3007"/>
      <c r="L27" s="3008"/>
      <c r="M27" s="3008"/>
      <c r="N27" s="2495"/>
      <c r="O27" s="3008"/>
      <c r="P27" s="2495"/>
      <c r="Q27" s="2494"/>
      <c r="R27" s="2494"/>
      <c r="S27" s="2494"/>
      <c r="T27" s="2494"/>
      <c r="U27" s="2494"/>
      <c r="V27" s="2494"/>
    </row>
    <row r="28" spans="1:28">
      <c r="A28" s="3266"/>
      <c r="B28" s="1671" t="s">
        <v>391</v>
      </c>
      <c r="C28" s="2978"/>
      <c r="D28" s="2979"/>
      <c r="E28" s="2616"/>
      <c r="F28" s="2616"/>
      <c r="G28" s="2616"/>
      <c r="H28" s="2616"/>
      <c r="I28" s="2616"/>
      <c r="J28" s="2494"/>
      <c r="K28" s="3003"/>
      <c r="L28" s="3001"/>
      <c r="M28" s="3001"/>
      <c r="N28" s="2494"/>
      <c r="O28" s="3002"/>
      <c r="P28" s="2494"/>
      <c r="Q28" s="2494"/>
      <c r="R28" s="2494"/>
      <c r="S28" s="2494"/>
      <c r="T28" s="2494"/>
      <c r="U28" s="2494"/>
      <c r="V28" s="2494"/>
    </row>
    <row r="29" spans="1:28">
      <c r="A29" s="3266"/>
      <c r="B29" s="1671" t="s">
        <v>392</v>
      </c>
      <c r="C29" s="2980"/>
      <c r="D29" s="2981"/>
      <c r="E29" s="2616"/>
      <c r="F29" s="2616"/>
      <c r="G29" s="2616"/>
      <c r="H29" s="2616"/>
      <c r="I29" s="2616"/>
      <c r="J29" s="2494"/>
      <c r="K29" s="3003"/>
      <c r="L29" s="3001"/>
      <c r="M29" s="3001"/>
      <c r="N29" s="2494"/>
      <c r="O29" s="3002"/>
      <c r="P29" s="2494"/>
      <c r="Q29" s="2494"/>
      <c r="R29" s="2494"/>
      <c r="S29" s="2494"/>
      <c r="T29" s="2494"/>
      <c r="U29" s="2494"/>
      <c r="V29" s="2494"/>
    </row>
    <row r="30" spans="1:28">
      <c r="A30" s="3267"/>
      <c r="B30" s="1671" t="s">
        <v>393</v>
      </c>
      <c r="C30" s="3293"/>
      <c r="D30" s="3294"/>
      <c r="E30" s="2616"/>
      <c r="F30" s="2616"/>
      <c r="G30" s="2616"/>
      <c r="H30" s="2616"/>
      <c r="I30" s="2616"/>
      <c r="J30" s="2494"/>
      <c r="K30" s="3003"/>
      <c r="L30" s="3001"/>
      <c r="M30" s="3001"/>
      <c r="N30" s="2494"/>
      <c r="O30" s="3002"/>
      <c r="P30" s="2494"/>
      <c r="Q30" s="2494"/>
      <c r="R30" s="2494"/>
      <c r="S30" s="2494"/>
      <c r="T30" s="2494"/>
      <c r="U30" s="2494"/>
      <c r="V30" s="2494"/>
    </row>
    <row r="31" spans="1:28">
      <c r="A31" s="3268" t="s">
        <v>394</v>
      </c>
      <c r="B31" s="2982" t="s">
        <v>395</v>
      </c>
      <c r="C31" s="1824" t="str">
        <f>IF(B31="现房","成新及维护状况正常否",IF(B31="在建","工程状态是否正常",IF(B31="土地","是否闲置","-")))</f>
        <v>成新及维护状况正常否</v>
      </c>
      <c r="D31" s="1922"/>
      <c r="E31" s="2983"/>
      <c r="F31" s="2616"/>
      <c r="G31" s="2616"/>
      <c r="H31" s="2616"/>
      <c r="I31" s="2616"/>
      <c r="J31" s="2494"/>
      <c r="K31" s="3000"/>
      <c r="L31" s="3001"/>
      <c r="M31" s="3001"/>
      <c r="N31" s="2494"/>
      <c r="O31" s="3002"/>
      <c r="P31" s="2494"/>
      <c r="Q31" s="2494"/>
      <c r="R31" s="2494"/>
      <c r="S31" s="2494"/>
      <c r="T31" s="2494"/>
      <c r="U31" s="2494"/>
      <c r="V31" s="2494"/>
    </row>
    <row r="32" spans="1:28">
      <c r="A32" s="3269"/>
      <c r="B32" s="2982"/>
      <c r="C32" s="1824" t="str">
        <f>IF(B32="现房","成新及维护状况是否正常",IF(B32="在建","工程状态是否正常",IF(B32="土地","是否闲置","-")))</f>
        <v>-</v>
      </c>
      <c r="D32" s="1922"/>
      <c r="E32" s="2983"/>
      <c r="F32" s="2616"/>
      <c r="G32" s="2616"/>
      <c r="H32" s="2616"/>
      <c r="I32" s="2616"/>
      <c r="J32" s="2494"/>
      <c r="K32" s="3003"/>
      <c r="L32" s="3001"/>
      <c r="M32" s="3001"/>
      <c r="N32" s="2494"/>
      <c r="O32" s="3002"/>
      <c r="P32" s="2494"/>
      <c r="Q32" s="2494"/>
      <c r="R32" s="2494"/>
      <c r="S32" s="2494"/>
      <c r="T32" s="2494"/>
      <c r="U32" s="2494"/>
      <c r="V32" s="2494"/>
    </row>
    <row r="33" spans="1:30">
      <c r="A33" s="3269"/>
      <c r="B33" s="2984"/>
      <c r="C33" s="2245" t="str">
        <f>IF(B33="现房","成新及维护状况是否正常",IF(B33="在建","工程状态是否正常",IF(B33="土地","是否闲置","-")))</f>
        <v>-</v>
      </c>
      <c r="D33" s="1680"/>
      <c r="E33" s="2985"/>
      <c r="F33" s="2616"/>
      <c r="G33" s="2616"/>
      <c r="H33" s="2616"/>
      <c r="I33" s="2616"/>
      <c r="J33" s="2494"/>
      <c r="K33" s="3003"/>
      <c r="L33" s="3001"/>
      <c r="M33" s="3001"/>
      <c r="N33" s="2494"/>
      <c r="O33" s="3002"/>
      <c r="P33" s="2494"/>
      <c r="Q33" s="2494"/>
      <c r="R33" s="2494"/>
      <c r="S33" s="2494"/>
      <c r="T33" s="2494"/>
      <c r="U33" s="2494"/>
      <c r="V33" s="2494"/>
    </row>
    <row r="34" spans="1:30">
      <c r="A34" s="1671" t="s">
        <v>396</v>
      </c>
      <c r="B34" s="685"/>
      <c r="C34" s="685"/>
      <c r="D34" s="685"/>
      <c r="E34" s="685"/>
      <c r="F34" s="685"/>
      <c r="G34" s="685"/>
      <c r="H34" s="685"/>
      <c r="I34" s="2616"/>
      <c r="J34" s="2494"/>
      <c r="K34" s="384">
        <f>COUNTIF(B34:H34,"——")</f>
        <v>0</v>
      </c>
      <c r="L34" s="1712" t="s">
        <v>397</v>
      </c>
      <c r="M34" s="1712" t="s">
        <v>398</v>
      </c>
      <c r="N34" s="1712" t="s">
        <v>399</v>
      </c>
      <c r="O34" s="1712" t="s">
        <v>400</v>
      </c>
      <c r="P34" s="1712" t="s">
        <v>401</v>
      </c>
      <c r="Q34" s="1712" t="s">
        <v>402</v>
      </c>
      <c r="R34" s="1712" t="s">
        <v>403</v>
      </c>
      <c r="S34" s="3288" t="s">
        <v>404</v>
      </c>
      <c r="T34" s="3022" t="str">
        <f>NUMBERSTRING(7-K34,1)&amp;"通"</f>
        <v>七通</v>
      </c>
      <c r="U34" s="2494"/>
      <c r="V34" s="2494"/>
    </row>
    <row r="35" spans="1:30">
      <c r="A35" s="2986"/>
      <c r="B35" s="3295" t="s">
        <v>405</v>
      </c>
      <c r="C35" s="3295"/>
      <c r="D35" s="3295"/>
      <c r="E35" s="3295"/>
      <c r="F35" s="442">
        <f>C10</f>
        <v>0</v>
      </c>
      <c r="G35" s="2616"/>
      <c r="H35" s="2616"/>
      <c r="I35" s="2616"/>
      <c r="J35" s="2494"/>
      <c r="K35" s="1712"/>
      <c r="L35" s="1712">
        <f>B34</f>
        <v>0</v>
      </c>
      <c r="M35" s="1714" t="str">
        <f>B34&amp;"、"&amp;C34</f>
        <v>、</v>
      </c>
      <c r="N35" s="1714" t="str">
        <f>B34&amp;"、"&amp;C34&amp;"、"&amp;D34</f>
        <v>、、</v>
      </c>
      <c r="O35" s="1714" t="str">
        <f>B34&amp;"、"&amp;C34&amp;"、"&amp;D34&amp;"、"&amp;E34</f>
        <v>、、、</v>
      </c>
      <c r="P35" s="1714" t="str">
        <f>B34&amp;"、"&amp;C34&amp;"、"&amp;D34&amp;"、"&amp;E34&amp;"、"&amp;F34</f>
        <v>、、、、</v>
      </c>
      <c r="Q35" s="1714" t="str">
        <f>B34&amp;"、"&amp;C34&amp;"、"&amp;D34&amp;"、"&amp;E34&amp;"、"&amp;F34&amp;"、"&amp;G34</f>
        <v>、、、、、</v>
      </c>
      <c r="R35" s="1714" t="str">
        <f>B34&amp;"、"&amp;C34&amp;"、"&amp;D34&amp;"、"&amp;E34&amp;"、"&amp;F34&amp;"、"&amp;G34&amp;"、"&amp;H34</f>
        <v>、、、、、、</v>
      </c>
      <c r="S35" s="3288"/>
      <c r="T35" s="1714" t="str">
        <f>IF(T34="一通",L35,IF(T34="二通",M35,IF(T34="三通",N35,IF(T34="四通",O35,IF(T34="五通",P35,IF(T34="六通",Q35,R35))))))</f>
        <v>、、、、、、</v>
      </c>
      <c r="U35" s="2494"/>
      <c r="V35" s="2494"/>
    </row>
    <row r="36" spans="1:30">
      <c r="A36" s="2987"/>
      <c r="B36" s="442" t="s">
        <v>353</v>
      </c>
      <c r="C36" s="442" t="s">
        <v>354</v>
      </c>
      <c r="D36" s="442" t="s">
        <v>352</v>
      </c>
      <c r="E36" s="442" t="s">
        <v>357</v>
      </c>
      <c r="F36" s="2988"/>
      <c r="G36" s="2616"/>
      <c r="H36" s="2616"/>
      <c r="I36" s="2616"/>
      <c r="J36" s="2494"/>
      <c r="K36" s="3003"/>
      <c r="L36" s="3001"/>
      <c r="M36" s="3001"/>
      <c r="N36" s="2494"/>
      <c r="O36" s="3002"/>
      <c r="P36" s="2494"/>
      <c r="Q36" s="2494"/>
      <c r="R36" s="2494"/>
      <c r="S36" s="2494"/>
      <c r="T36" s="2494"/>
      <c r="U36" s="2494"/>
      <c r="V36" s="2494"/>
    </row>
    <row r="37" spans="1:30">
      <c r="A37" s="2989" t="s">
        <v>406</v>
      </c>
      <c r="B37" s="2990"/>
      <c r="C37" s="2990"/>
      <c r="D37" s="2990" t="s">
        <v>280</v>
      </c>
      <c r="E37" s="2990"/>
      <c r="F37" s="2988"/>
      <c r="G37" s="2616"/>
      <c r="H37" s="2616"/>
      <c r="I37" s="2616"/>
      <c r="J37" s="2494"/>
      <c r="K37" s="3003"/>
      <c r="L37" s="3001"/>
      <c r="M37" s="3001"/>
      <c r="N37" s="2494"/>
      <c r="O37" s="3002"/>
      <c r="P37" s="2494"/>
      <c r="Q37" s="2494"/>
      <c r="R37" s="2494"/>
      <c r="S37" s="2494"/>
      <c r="T37" s="2494"/>
      <c r="U37" s="2494"/>
      <c r="V37" s="2494"/>
    </row>
    <row r="38" spans="1:30">
      <c r="A38" s="2991" t="s">
        <v>407</v>
      </c>
      <c r="B38" s="2992"/>
      <c r="C38" s="2992"/>
      <c r="D38" s="2992" t="s">
        <v>408</v>
      </c>
      <c r="E38" s="2992"/>
      <c r="F38" s="2993"/>
      <c r="G38" s="2928"/>
      <c r="H38" s="2928"/>
      <c r="I38" s="2928"/>
      <c r="J38" s="2494"/>
      <c r="K38" s="3003"/>
      <c r="L38" s="3001"/>
      <c r="M38" s="3001"/>
      <c r="N38" s="2494"/>
      <c r="O38" s="3002"/>
      <c r="P38" s="2494"/>
      <c r="Q38" s="2494"/>
      <c r="R38" s="2494"/>
      <c r="S38" s="2494"/>
      <c r="T38" s="2494"/>
      <c r="U38" s="2494"/>
      <c r="V38" s="2494"/>
    </row>
    <row r="39" spans="1:30" s="2895" customFormat="1">
      <c r="A39" s="2994" t="s">
        <v>409</v>
      </c>
      <c r="B39" s="2995"/>
      <c r="C39" s="2995"/>
      <c r="D39" s="2995"/>
      <c r="E39" s="2995"/>
      <c r="F39" s="2995"/>
      <c r="G39" s="2995"/>
      <c r="H39" s="2995"/>
      <c r="I39" s="2995"/>
      <c r="J39" s="3013"/>
      <c r="K39" s="3014"/>
      <c r="L39" s="3013"/>
      <c r="M39" s="3013"/>
      <c r="N39" s="3013"/>
      <c r="O39" s="3015"/>
      <c r="P39" s="3013"/>
      <c r="Q39" s="3013"/>
      <c r="R39" s="3013"/>
      <c r="S39" s="3013"/>
      <c r="T39" s="3013"/>
      <c r="U39" s="3013"/>
      <c r="V39" s="3013"/>
      <c r="W39" s="3023"/>
      <c r="X39" s="3023"/>
      <c r="Y39" s="3023"/>
      <c r="Z39" s="3023"/>
      <c r="AA39" s="3023"/>
      <c r="AB39" s="3023"/>
      <c r="AC39" s="3023"/>
      <c r="AD39" s="3023"/>
    </row>
    <row r="40" spans="1:30">
      <c r="A40" s="2940"/>
      <c r="B40" s="2940"/>
      <c r="C40" s="2940"/>
      <c r="D40" s="2940"/>
      <c r="E40" s="2940"/>
      <c r="F40" s="2940"/>
      <c r="G40" s="2940"/>
      <c r="H40" s="2940"/>
      <c r="I40" s="2265"/>
      <c r="J40" s="2495"/>
      <c r="K40" s="3000"/>
      <c r="L40" s="3008"/>
      <c r="M40" s="3008"/>
      <c r="N40" s="2495"/>
      <c r="O40" s="3008"/>
      <c r="P40" s="2494"/>
      <c r="Q40" s="2494"/>
      <c r="R40" s="2494"/>
      <c r="S40" s="2494"/>
      <c r="T40" s="2494"/>
      <c r="U40" s="2494"/>
      <c r="V40" s="2494"/>
    </row>
    <row r="41" spans="1:30">
      <c r="A41" s="2996" t="s">
        <v>410</v>
      </c>
      <c r="B41" s="2148"/>
      <c r="C41" s="1922"/>
      <c r="D41" s="2940"/>
      <c r="E41" s="2940"/>
      <c r="F41" s="2940"/>
      <c r="G41" s="2940"/>
      <c r="H41" s="2940"/>
      <c r="I41" s="2806"/>
      <c r="J41" s="2494"/>
      <c r="K41" s="3003"/>
      <c r="L41" s="3001"/>
      <c r="M41" s="3001"/>
      <c r="N41" s="2494"/>
      <c r="O41" s="3002"/>
      <c r="P41" s="2494"/>
      <c r="Q41" s="2494"/>
      <c r="R41" s="2494"/>
      <c r="S41" s="2494"/>
      <c r="T41" s="2494"/>
      <c r="U41" s="2494"/>
      <c r="V41" s="2494"/>
    </row>
    <row r="42" spans="1:30" ht="25.5">
      <c r="A42" s="1712" t="s">
        <v>411</v>
      </c>
      <c r="B42" s="384" t="s">
        <v>412</v>
      </c>
      <c r="C42" s="384" t="s">
        <v>413</v>
      </c>
      <c r="D42" s="384" t="s">
        <v>414</v>
      </c>
      <c r="E42" s="384" t="s">
        <v>415</v>
      </c>
      <c r="F42" s="384" t="s">
        <v>416</v>
      </c>
      <c r="G42" s="384" t="s">
        <v>417</v>
      </c>
      <c r="H42" s="384" t="s">
        <v>418</v>
      </c>
      <c r="I42" s="384" t="s">
        <v>419</v>
      </c>
      <c r="J42" s="3016" t="s">
        <v>420</v>
      </c>
      <c r="K42" s="3017" t="s">
        <v>421</v>
      </c>
      <c r="L42" s="3017" t="s">
        <v>422</v>
      </c>
      <c r="M42" s="3017" t="s">
        <v>423</v>
      </c>
      <c r="N42" s="3018" t="s">
        <v>424</v>
      </c>
      <c r="O42" s="3018" t="s">
        <v>425</v>
      </c>
      <c r="P42" s="3018" t="s">
        <v>426</v>
      </c>
      <c r="Q42" s="3024" t="s">
        <v>427</v>
      </c>
      <c r="R42" s="3024" t="s">
        <v>428</v>
      </c>
      <c r="S42" s="2494"/>
      <c r="T42" s="2494"/>
      <c r="U42" s="2494"/>
      <c r="V42" s="2494"/>
    </row>
    <row r="43" spans="1:30" s="2707" customFormat="1">
      <c r="A43" s="2832"/>
      <c r="B43" s="2827"/>
      <c r="C43" s="2827"/>
      <c r="D43" s="2827"/>
      <c r="E43" s="2827"/>
      <c r="F43" s="2827"/>
      <c r="G43" s="2827"/>
      <c r="H43" s="2827"/>
      <c r="I43" s="2827"/>
      <c r="J43" s="3019"/>
      <c r="K43" s="3020"/>
      <c r="L43" s="3020"/>
      <c r="M43" s="2827"/>
      <c r="N43" s="2827"/>
      <c r="O43" s="2827"/>
      <c r="P43" s="2827"/>
      <c r="Q43" s="2827"/>
      <c r="R43" s="2827"/>
      <c r="S43" s="2494"/>
      <c r="T43" s="2494"/>
      <c r="U43" s="2494"/>
      <c r="V43" s="2494"/>
    </row>
    <row r="44" spans="1:30" s="2707" customFormat="1">
      <c r="A44" s="2832"/>
      <c r="B44" s="2832"/>
      <c r="C44" s="2827"/>
      <c r="D44" s="2827"/>
      <c r="E44" s="2827"/>
      <c r="F44" s="2827"/>
      <c r="G44" s="2827"/>
      <c r="H44" s="2827"/>
      <c r="I44" s="2827"/>
      <c r="J44" s="3019"/>
      <c r="K44" s="3020"/>
      <c r="L44" s="3020"/>
      <c r="M44" s="2827"/>
      <c r="N44" s="2827"/>
      <c r="O44" s="2827"/>
      <c r="P44" s="2827"/>
      <c r="Q44" s="2827"/>
      <c r="R44" s="2827"/>
      <c r="S44" s="2494"/>
      <c r="T44" s="2494"/>
      <c r="U44" s="2494"/>
      <c r="V44" s="2494"/>
    </row>
    <row r="45" spans="1:30" s="2707" customFormat="1">
      <c r="A45" s="2832"/>
      <c r="B45" s="2832"/>
      <c r="C45" s="2827"/>
      <c r="D45" s="2827"/>
      <c r="E45" s="2827"/>
      <c r="F45" s="2827"/>
      <c r="G45" s="2827"/>
      <c r="H45" s="2827"/>
      <c r="I45" s="2827"/>
      <c r="J45" s="3019"/>
      <c r="K45" s="3020"/>
      <c r="L45" s="3020"/>
      <c r="M45" s="2827"/>
      <c r="N45" s="2827"/>
      <c r="O45" s="2827"/>
      <c r="P45" s="2827"/>
      <c r="Q45" s="2827"/>
      <c r="R45" s="2827"/>
      <c r="S45" s="2494"/>
      <c r="T45" s="2494"/>
      <c r="U45" s="2494"/>
      <c r="V45" s="2494"/>
    </row>
    <row r="46" spans="1:30" s="2707" customFormat="1">
      <c r="A46" s="2832"/>
      <c r="B46" s="2832"/>
      <c r="C46" s="2827"/>
      <c r="D46" s="2827"/>
      <c r="E46" s="2827"/>
      <c r="F46" s="2827"/>
      <c r="G46" s="2827"/>
      <c r="H46" s="2827"/>
      <c r="I46" s="2827"/>
      <c r="J46" s="3019"/>
      <c r="K46" s="3020"/>
      <c r="L46" s="3020"/>
      <c r="M46" s="2827"/>
      <c r="N46" s="2827"/>
      <c r="O46" s="2827"/>
      <c r="P46" s="2827"/>
      <c r="Q46" s="2827"/>
      <c r="R46" s="2827"/>
      <c r="S46" s="2494"/>
      <c r="T46" s="2494"/>
      <c r="U46" s="2494"/>
      <c r="V46" s="2494"/>
    </row>
    <row r="47" spans="1:30" s="2707" customFormat="1">
      <c r="A47" s="2832"/>
      <c r="B47" s="2832"/>
      <c r="C47" s="2827"/>
      <c r="D47" s="2827"/>
      <c r="E47" s="2827"/>
      <c r="F47" s="2827"/>
      <c r="G47" s="2827"/>
      <c r="H47" s="2827"/>
      <c r="I47" s="2827"/>
      <c r="J47" s="3019"/>
      <c r="K47" s="3020"/>
      <c r="L47" s="3020"/>
      <c r="M47" s="2827"/>
      <c r="N47" s="2827"/>
      <c r="O47" s="2827"/>
      <c r="P47" s="2827"/>
      <c r="Q47" s="2827"/>
      <c r="R47" s="2827"/>
      <c r="S47" s="2494"/>
      <c r="T47" s="2494"/>
      <c r="U47" s="2494"/>
      <c r="V47" s="2494"/>
    </row>
    <row r="48" spans="1:30" s="2707" customFormat="1">
      <c r="A48" s="2832"/>
      <c r="B48" s="2832"/>
      <c r="C48" s="2827"/>
      <c r="D48" s="2827"/>
      <c r="E48" s="2827"/>
      <c r="F48" s="2827"/>
      <c r="G48" s="2827"/>
      <c r="H48" s="2827"/>
      <c r="I48" s="2827"/>
      <c r="J48" s="3019"/>
      <c r="K48" s="3020"/>
      <c r="L48" s="3020"/>
      <c r="M48" s="2827"/>
      <c r="N48" s="2827"/>
      <c r="O48" s="2827"/>
      <c r="P48" s="2827"/>
      <c r="Q48" s="2827"/>
      <c r="R48" s="2827"/>
      <c r="S48" s="2494"/>
      <c r="T48" s="2494"/>
      <c r="U48" s="2494"/>
      <c r="V48" s="2494"/>
    </row>
    <row r="49" spans="1:22" s="2707" customFormat="1">
      <c r="A49" s="2832"/>
      <c r="B49" s="2832"/>
      <c r="C49" s="2827"/>
      <c r="D49" s="2827"/>
      <c r="E49" s="2827"/>
      <c r="F49" s="2827"/>
      <c r="G49" s="2827"/>
      <c r="H49" s="2827"/>
      <c r="I49" s="2827"/>
      <c r="J49" s="3019"/>
      <c r="K49" s="3020"/>
      <c r="L49" s="3020"/>
      <c r="M49" s="2827"/>
      <c r="N49" s="2827"/>
      <c r="O49" s="2827"/>
      <c r="P49" s="2827"/>
      <c r="Q49" s="2827"/>
      <c r="R49" s="2827"/>
      <c r="S49" s="2494"/>
      <c r="T49" s="2494"/>
      <c r="U49" s="2494"/>
      <c r="V49" s="2494"/>
    </row>
    <row r="50" spans="1:22" s="2707" customFormat="1">
      <c r="A50" s="2832"/>
      <c r="B50" s="2832"/>
      <c r="C50" s="2827"/>
      <c r="D50" s="2827"/>
      <c r="E50" s="2827"/>
      <c r="F50" s="2827"/>
      <c r="G50" s="2827"/>
      <c r="H50" s="2827"/>
      <c r="I50" s="2827"/>
      <c r="J50" s="3019"/>
      <c r="K50" s="3020"/>
      <c r="L50" s="3020"/>
      <c r="M50" s="2827"/>
      <c r="N50" s="2827"/>
      <c r="O50" s="2827"/>
      <c r="P50" s="2827"/>
      <c r="Q50" s="2827"/>
      <c r="R50" s="2827"/>
      <c r="S50" s="2494"/>
      <c r="T50" s="2494"/>
      <c r="U50" s="2494"/>
      <c r="V50" s="2494"/>
    </row>
    <row r="51" spans="1:22" s="2707" customFormat="1">
      <c r="A51" s="2832"/>
      <c r="B51" s="2832"/>
      <c r="C51" s="2827"/>
      <c r="D51" s="2827"/>
      <c r="E51" s="2827"/>
      <c r="F51" s="2827"/>
      <c r="G51" s="2827"/>
      <c r="H51" s="2827"/>
      <c r="I51" s="2827"/>
      <c r="J51" s="3019"/>
      <c r="K51" s="3020"/>
      <c r="L51" s="3020"/>
      <c r="M51" s="2827"/>
      <c r="N51" s="2827"/>
      <c r="O51" s="2827"/>
      <c r="P51" s="2827"/>
      <c r="Q51" s="2827"/>
      <c r="R51" s="2827"/>
    </row>
    <row r="52" spans="1:22" s="2707" customFormat="1">
      <c r="A52" s="2832"/>
      <c r="B52" s="2832"/>
      <c r="C52" s="2832"/>
      <c r="D52" s="2832"/>
      <c r="E52" s="2832"/>
      <c r="F52" s="2827"/>
      <c r="G52" s="2832"/>
      <c r="H52" s="2832"/>
      <c r="I52" s="2832"/>
      <c r="J52" s="3021"/>
      <c r="K52" s="3020"/>
      <c r="L52" s="3020"/>
      <c r="M52" s="3020"/>
      <c r="N52" s="2832"/>
      <c r="O52" s="2832"/>
      <c r="P52" s="2832"/>
      <c r="Q52" s="2832"/>
      <c r="R52" s="2832"/>
    </row>
    <row r="53" spans="1:22" s="2707" customFormat="1">
      <c r="A53" s="2832"/>
      <c r="B53" s="2832"/>
      <c r="C53" s="2832"/>
      <c r="D53" s="2832"/>
      <c r="E53" s="2832"/>
      <c r="F53" s="2827"/>
      <c r="G53" s="2832"/>
      <c r="H53" s="2832"/>
      <c r="I53" s="2832"/>
      <c r="J53" s="3021"/>
      <c r="K53" s="3020"/>
      <c r="L53" s="3020"/>
      <c r="M53" s="3020"/>
      <c r="N53" s="2832"/>
      <c r="O53" s="2832"/>
      <c r="P53" s="2832"/>
      <c r="Q53" s="2832"/>
      <c r="R53" s="2832"/>
    </row>
    <row r="54" spans="1:22" s="2707" customFormat="1">
      <c r="A54" s="2832"/>
      <c r="B54" s="2832"/>
      <c r="C54" s="2832"/>
      <c r="D54" s="2832"/>
      <c r="E54" s="2832"/>
      <c r="F54" s="2827"/>
      <c r="G54" s="2832"/>
      <c r="H54" s="2832"/>
      <c r="I54" s="2832"/>
      <c r="J54" s="3021"/>
      <c r="K54" s="3020"/>
      <c r="L54" s="3020"/>
      <c r="M54" s="3020"/>
      <c r="N54" s="2832"/>
      <c r="O54" s="2832"/>
      <c r="P54" s="2832"/>
      <c r="Q54" s="2832"/>
      <c r="R54" s="2832"/>
    </row>
    <row r="55" spans="1:22" s="2707" customFormat="1">
      <c r="A55" s="2832"/>
      <c r="B55" s="2832"/>
      <c r="C55" s="2832"/>
      <c r="D55" s="2832"/>
      <c r="E55" s="2832"/>
      <c r="F55" s="2827"/>
      <c r="G55" s="2832"/>
      <c r="H55" s="2832"/>
      <c r="I55" s="2832"/>
      <c r="J55" s="3021"/>
      <c r="K55" s="3020"/>
      <c r="L55" s="3020"/>
      <c r="M55" s="3020"/>
      <c r="N55" s="2832"/>
      <c r="O55" s="2832"/>
      <c r="P55" s="2832"/>
      <c r="Q55" s="2832"/>
      <c r="R55" s="2832"/>
    </row>
    <row r="56" spans="1:22" s="2707" customFormat="1">
      <c r="A56" s="2832"/>
      <c r="B56" s="2832"/>
      <c r="C56" s="2832"/>
      <c r="D56" s="2832"/>
      <c r="E56" s="2832"/>
      <c r="F56" s="2827"/>
      <c r="G56" s="2832"/>
      <c r="H56" s="2832"/>
      <c r="I56" s="2832"/>
      <c r="J56" s="3021"/>
      <c r="K56" s="3020"/>
      <c r="L56" s="3020"/>
      <c r="M56" s="3020"/>
      <c r="N56" s="2832"/>
      <c r="O56" s="2832"/>
      <c r="P56" s="2832"/>
      <c r="Q56" s="2832"/>
      <c r="R56" s="28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E24" sqref="E24"/>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6" width="10" style="2801" customWidth="1"/>
    <col min="7"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customWidth="1"/>
    <col min="20" max="21" width="10.75" style="2803" customWidth="1"/>
    <col min="22" max="22" width="10.875" style="2803" customWidth="1"/>
    <col min="23" max="27" width="10.75" style="2803" customWidth="1"/>
    <col min="28" max="28" width="10.875" style="2803" customWidth="1"/>
    <col min="29" max="29" width="11" style="2803" customWidth="1"/>
    <col min="30" max="30" width="10" style="2803" customWidth="1"/>
    <col min="31" max="31" width="9.75" style="2803" customWidth="1"/>
    <col min="32"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804" t="s">
        <v>429</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5"/>
      <c r="AJ1" s="2805"/>
      <c r="AK1" s="2805"/>
      <c r="AL1" s="2805"/>
      <c r="AM1" s="2805"/>
      <c r="AN1" s="2805"/>
      <c r="AO1" s="2805"/>
      <c r="AP1" s="2805"/>
      <c r="AQ1" s="2805"/>
      <c r="AR1" s="2805"/>
      <c r="AS1" s="2805"/>
      <c r="AT1" s="2805"/>
      <c r="AU1" s="2805"/>
      <c r="AV1" s="2858" t="s">
        <v>430</v>
      </c>
      <c r="AW1" s="2805"/>
      <c r="AX1" s="2805"/>
      <c r="AY1" s="2805"/>
      <c r="AZ1" s="2805"/>
      <c r="BA1" s="2805"/>
      <c r="BB1" s="2805"/>
      <c r="BC1" s="2805"/>
      <c r="BD1" s="2805"/>
      <c r="BE1" s="2805"/>
      <c r="BF1" s="2805"/>
      <c r="BG1" s="2805"/>
      <c r="BH1" s="2805"/>
      <c r="BI1" s="2805"/>
      <c r="BJ1" s="2805"/>
      <c r="BK1" s="2805"/>
      <c r="BL1" s="2805"/>
      <c r="BM1" s="2805"/>
      <c r="BN1" s="2805"/>
      <c r="BO1" s="2805"/>
      <c r="BP1" s="2805"/>
      <c r="BQ1" s="2805"/>
      <c r="BR1" s="2805"/>
      <c r="BS1" s="2805"/>
      <c r="BT1" s="2805"/>
    </row>
    <row r="2" spans="1:72" s="2798" customFormat="1" ht="24">
      <c r="A2" s="384" t="s">
        <v>368</v>
      </c>
      <c r="B2" s="384" t="s">
        <v>364</v>
      </c>
      <c r="C2" s="384" t="s">
        <v>431</v>
      </c>
      <c r="D2" s="2806"/>
      <c r="E2" s="2225"/>
      <c r="F2" s="2265"/>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2806"/>
      <c r="AO2" s="2806"/>
      <c r="AP2" s="2806"/>
      <c r="AQ2" s="2806"/>
      <c r="AR2" s="2806"/>
      <c r="AS2" s="2806"/>
      <c r="AT2" s="2806"/>
      <c r="AU2" s="2806"/>
      <c r="AV2" s="2806"/>
      <c r="AW2" s="2806"/>
      <c r="AX2" s="2806"/>
      <c r="AY2" s="2868" t="s">
        <v>432</v>
      </c>
      <c r="AZ2" s="2869" t="s">
        <v>433</v>
      </c>
      <c r="BA2" s="384" t="s">
        <v>434</v>
      </c>
      <c r="BB2" s="2806"/>
      <c r="BC2" s="2806"/>
      <c r="BD2" s="2806"/>
      <c r="BE2" s="2806"/>
      <c r="BF2" s="2806"/>
      <c r="BG2" s="2806"/>
      <c r="BH2" s="2806"/>
      <c r="BI2" s="2806"/>
      <c r="BJ2" s="2806"/>
      <c r="BK2" s="2806"/>
      <c r="BL2" s="2806"/>
      <c r="BM2" s="2806"/>
      <c r="BN2" s="2806"/>
      <c r="BO2" s="2806"/>
      <c r="BP2" s="2806"/>
      <c r="BQ2" s="2806"/>
      <c r="BR2" s="2806"/>
      <c r="BS2" s="2806"/>
      <c r="BT2" s="2806"/>
    </row>
    <row r="3" spans="1:72" s="2798" customFormat="1" ht="12.75">
      <c r="A3" s="2807">
        <f>I13/2.56</f>
        <v>0.390625</v>
      </c>
      <c r="B3" s="2808">
        <f>IF(C3="否",G5-AT5,G5)</f>
        <v>1</v>
      </c>
      <c r="C3" s="2809" t="s">
        <v>435</v>
      </c>
      <c r="D3" s="2806"/>
      <c r="E3" s="2806"/>
      <c r="F3" s="2806"/>
      <c r="G3" s="2806"/>
      <c r="H3" s="2806"/>
      <c r="I3" s="2806"/>
      <c r="J3" s="2806"/>
      <c r="K3" s="2806"/>
      <c r="L3" s="2806"/>
      <c r="M3" s="2806"/>
      <c r="N3" s="2806"/>
      <c r="O3" s="2806"/>
      <c r="P3" s="2806"/>
      <c r="Q3" s="2806"/>
      <c r="R3" s="2806"/>
      <c r="S3" s="2806"/>
      <c r="T3" s="2806"/>
      <c r="U3" s="2806"/>
      <c r="V3" s="2806"/>
      <c r="W3" s="2806"/>
      <c r="X3" s="2806"/>
      <c r="Y3" s="2806"/>
      <c r="Z3" s="2806"/>
      <c r="AA3" s="2806"/>
      <c r="AB3" s="2806"/>
      <c r="AC3" s="2806"/>
      <c r="AD3" s="2806"/>
      <c r="AE3" s="2806"/>
      <c r="AF3" s="2806"/>
      <c r="AG3" s="2806"/>
      <c r="AH3" s="2806"/>
      <c r="AI3" s="2806"/>
      <c r="AJ3" s="2806"/>
      <c r="AK3" s="2806"/>
      <c r="AL3" s="2806"/>
      <c r="AM3" s="2806"/>
      <c r="AN3" s="2806"/>
      <c r="AO3" s="2806"/>
      <c r="AP3" s="2806"/>
      <c r="AQ3" s="2806"/>
      <c r="AR3" s="2806"/>
      <c r="AS3" s="2806"/>
      <c r="AT3" s="2806"/>
      <c r="AU3" s="2806"/>
      <c r="AV3" s="2806"/>
      <c r="AW3" s="2806"/>
      <c r="AX3" s="2806"/>
      <c r="AY3" s="2870"/>
      <c r="AZ3" s="2827"/>
      <c r="BA3" s="2871"/>
      <c r="BB3" s="2806"/>
      <c r="BC3" s="2806"/>
      <c r="BD3" s="2806"/>
      <c r="BE3" s="2806"/>
      <c r="BF3" s="2806"/>
      <c r="BG3" s="2806"/>
      <c r="BH3" s="2806"/>
      <c r="BI3" s="2806"/>
      <c r="BJ3" s="2806"/>
      <c r="BK3" s="2806"/>
      <c r="BL3" s="2806"/>
      <c r="BM3" s="2806"/>
      <c r="BN3" s="2806"/>
      <c r="BO3" s="2806"/>
      <c r="BP3" s="2806"/>
      <c r="BQ3" s="2806"/>
      <c r="BR3" s="2806"/>
      <c r="BS3" s="2806"/>
      <c r="BT3" s="2806"/>
    </row>
    <row r="4" spans="1:72" s="2799" customFormat="1" ht="12.75">
      <c r="A4" s="2810"/>
      <c r="B4" s="2811"/>
      <c r="C4" s="2812"/>
      <c r="D4" s="2806"/>
      <c r="E4" s="2806"/>
      <c r="F4" s="2806"/>
      <c r="G4" s="2806"/>
      <c r="H4" s="2806"/>
      <c r="I4" s="2806"/>
      <c r="J4" s="2806"/>
      <c r="K4" s="2806"/>
      <c r="L4" s="2806"/>
      <c r="M4" s="2806"/>
      <c r="N4" s="2806"/>
      <c r="O4" s="2806"/>
      <c r="P4" s="2806"/>
      <c r="Q4" s="2806"/>
      <c r="R4" s="2806"/>
      <c r="S4" s="2806"/>
      <c r="T4" s="2806"/>
      <c r="U4" s="2806"/>
      <c r="V4" s="2806"/>
      <c r="W4" s="2806"/>
      <c r="X4" s="2806"/>
      <c r="Y4" s="2806"/>
      <c r="Z4" s="2806"/>
      <c r="AA4" s="2806"/>
      <c r="AB4" s="2806"/>
      <c r="AC4" s="2806"/>
      <c r="AD4" s="2806"/>
      <c r="AE4" s="2806"/>
      <c r="AF4" s="2806"/>
      <c r="AG4" s="2806"/>
      <c r="AH4" s="2806"/>
      <c r="AI4" s="2806"/>
      <c r="AJ4" s="2806"/>
      <c r="AK4" s="2806"/>
      <c r="AL4" s="2806"/>
      <c r="AM4" s="2806"/>
      <c r="AN4" s="2806"/>
      <c r="AO4" s="2806"/>
      <c r="AP4" s="2806"/>
      <c r="AQ4" s="2806"/>
      <c r="AR4" s="2806"/>
      <c r="AS4" s="2806"/>
      <c r="AT4" s="2806"/>
      <c r="AU4" s="2806"/>
      <c r="AV4" s="2806"/>
      <c r="AW4" s="2806"/>
      <c r="AX4" s="2806"/>
      <c r="AY4" s="2806"/>
      <c r="AZ4" s="2806"/>
      <c r="BA4" s="2872"/>
      <c r="BB4" s="2806"/>
      <c r="BC4" s="2806"/>
      <c r="BD4" s="2806"/>
      <c r="BE4" s="2806"/>
      <c r="BF4" s="2806"/>
      <c r="BG4" s="2806"/>
      <c r="BH4" s="2806"/>
      <c r="BI4" s="2806"/>
      <c r="BJ4" s="2806"/>
      <c r="BK4" s="2806"/>
      <c r="BL4" s="2806"/>
      <c r="BM4" s="2806"/>
      <c r="BN4" s="2806"/>
      <c r="BO4" s="2806"/>
      <c r="BP4" s="2806"/>
      <c r="BQ4" s="2806"/>
      <c r="BR4" s="2806"/>
      <c r="BS4" s="2806"/>
      <c r="BT4" s="2806"/>
    </row>
    <row r="5" spans="1:72" s="2798" customFormat="1" ht="12.75">
      <c r="A5" s="1824" t="s">
        <v>436</v>
      </c>
      <c r="B5" s="2145"/>
      <c r="C5" s="2145"/>
      <c r="D5" s="2277"/>
      <c r="E5" s="2813" t="s">
        <v>124</v>
      </c>
      <c r="F5" s="2813">
        <f>SUM(F13:F587)</f>
        <v>0</v>
      </c>
      <c r="G5" s="2813">
        <f>SUM(G13:G587)</f>
        <v>1</v>
      </c>
      <c r="H5" s="2813">
        <f t="shared" ref="H5:AT5" si="0">SUM(H13:H656)</f>
        <v>1</v>
      </c>
      <c r="I5" s="2813">
        <f t="shared" si="0"/>
        <v>1</v>
      </c>
      <c r="J5" s="2813">
        <f t="shared" si="0"/>
        <v>0</v>
      </c>
      <c r="K5" s="2813">
        <f t="shared" si="0"/>
        <v>0</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144"/>
      <c r="AV5" s="1824" t="s">
        <v>436</v>
      </c>
      <c r="AW5" s="2145"/>
      <c r="AX5" s="2145"/>
      <c r="AY5" s="2873" t="s">
        <v>124</v>
      </c>
      <c r="AZ5" s="2874">
        <f t="shared" ref="AZ5:BT5" si="1">SUM(AZ13:AZ656)</f>
        <v>1</v>
      </c>
      <c r="BA5" s="2874">
        <f t="shared" si="1"/>
        <v>1</v>
      </c>
      <c r="BB5" s="2874">
        <f t="shared" si="1"/>
        <v>1</v>
      </c>
      <c r="BC5" s="2874">
        <f t="shared" si="1"/>
        <v>0</v>
      </c>
      <c r="BD5" s="2874">
        <f t="shared" si="1"/>
        <v>0</v>
      </c>
      <c r="BE5" s="2874">
        <f t="shared" si="1"/>
        <v>0</v>
      </c>
      <c r="BF5" s="2874">
        <f t="shared" si="1"/>
        <v>0</v>
      </c>
      <c r="BG5" s="2874">
        <f t="shared" si="1"/>
        <v>0</v>
      </c>
      <c r="BH5" s="2874">
        <f t="shared" si="1"/>
        <v>0</v>
      </c>
      <c r="BI5" s="2874">
        <f t="shared" si="1"/>
        <v>0</v>
      </c>
      <c r="BJ5" s="2874">
        <f t="shared" si="1"/>
        <v>0</v>
      </c>
      <c r="BK5" s="2874">
        <f t="shared" si="1"/>
        <v>0</v>
      </c>
      <c r="BL5" s="2874">
        <f t="shared" si="1"/>
        <v>0</v>
      </c>
      <c r="BM5" s="2874">
        <f t="shared" si="1"/>
        <v>0</v>
      </c>
      <c r="BN5" s="2874">
        <f t="shared" si="1"/>
        <v>0</v>
      </c>
      <c r="BO5" s="2874">
        <f t="shared" si="1"/>
        <v>0</v>
      </c>
      <c r="BP5" s="2874">
        <f t="shared" si="1"/>
        <v>0</v>
      </c>
      <c r="BQ5" s="2874">
        <f t="shared" si="1"/>
        <v>0</v>
      </c>
      <c r="BR5" s="2874">
        <f t="shared" si="1"/>
        <v>0</v>
      </c>
      <c r="BS5" s="2874">
        <f t="shared" si="1"/>
        <v>0</v>
      </c>
      <c r="BT5" s="2883">
        <f t="shared" si="1"/>
        <v>0</v>
      </c>
    </row>
    <row r="6" spans="1:72" s="2800" customFormat="1" ht="12.75">
      <c r="A6" s="1824" t="s">
        <v>437</v>
      </c>
      <c r="B6" s="2814"/>
      <c r="C6" s="2814"/>
      <c r="D6" s="2815"/>
      <c r="E6" s="2813">
        <f>H6+AC6+AT6</f>
        <v>0.39</v>
      </c>
      <c r="F6" s="2813" t="s">
        <v>124</v>
      </c>
      <c r="G6" s="2813" t="s">
        <v>124</v>
      </c>
      <c r="H6" s="2816">
        <f>SUMIF(I$12:AB$12,"总值",I6:AB6)</f>
        <v>0.39</v>
      </c>
      <c r="I6" s="2813">
        <f t="shared" ref="I6:AB6" si="2">ROUND($A$3*I5/$B$3,2)</f>
        <v>0.39</v>
      </c>
      <c r="J6" s="2813">
        <f t="shared" si="2"/>
        <v>0</v>
      </c>
      <c r="K6" s="2813">
        <f t="shared" si="2"/>
        <v>0</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9"/>
      <c r="AV6" s="1824" t="s">
        <v>437</v>
      </c>
      <c r="AW6" s="2814"/>
      <c r="AX6" s="2814"/>
      <c r="AY6" s="2875">
        <f>IF(AY3&gt;0,AY3,ROUND($A$3*AZ5/$B$3,2))</f>
        <v>0.39</v>
      </c>
      <c r="AZ6" s="2813" t="s">
        <v>124</v>
      </c>
      <c r="BA6" s="2813">
        <f>ROUND($AY$6*BA5/$AZ$5,2)</f>
        <v>0.39</v>
      </c>
      <c r="BB6" s="2813">
        <f>ROUND($AY$6*BB5/$AZ$5,2)</f>
        <v>0.39</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84">
        <f t="shared" si="5"/>
        <v>0</v>
      </c>
    </row>
    <row r="7" spans="1:72" s="2798" customFormat="1" ht="24.75">
      <c r="A7" s="2817" t="s">
        <v>438</v>
      </c>
      <c r="B7" s="2817" t="s">
        <v>439</v>
      </c>
      <c r="C7" s="2817" t="s">
        <v>412</v>
      </c>
      <c r="D7" s="2817" t="s">
        <v>440</v>
      </c>
      <c r="E7" s="2817" t="s">
        <v>437</v>
      </c>
      <c r="F7" s="2817" t="s">
        <v>441</v>
      </c>
      <c r="G7" s="2245" t="s">
        <v>442</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277"/>
      <c r="AU7" s="2818" t="s">
        <v>443</v>
      </c>
      <c r="AV7" s="2860" t="s">
        <v>438</v>
      </c>
      <c r="AW7" s="2265" t="s">
        <v>439</v>
      </c>
      <c r="AX7" s="2860" t="s">
        <v>412</v>
      </c>
      <c r="AY7" s="2145" t="s">
        <v>444</v>
      </c>
      <c r="AZ7" s="2851"/>
      <c r="BA7" s="2818"/>
      <c r="BB7" s="2818"/>
      <c r="BC7" s="2818"/>
      <c r="BD7" s="2818"/>
      <c r="BE7" s="2818"/>
      <c r="BF7" s="2818"/>
      <c r="BG7" s="2818"/>
      <c r="BH7" s="2818"/>
      <c r="BI7" s="2818"/>
      <c r="BJ7" s="2818"/>
      <c r="BK7" s="2818"/>
      <c r="BL7" s="2818"/>
      <c r="BM7" s="2818"/>
      <c r="BN7" s="2818"/>
      <c r="BO7" s="2818"/>
      <c r="BP7" s="2818"/>
      <c r="BQ7" s="2818"/>
      <c r="BR7" s="2818"/>
      <c r="BS7" s="2818"/>
      <c r="BT7" s="2885"/>
    </row>
    <row r="8" spans="1:72" s="2513" customFormat="1" ht="24">
      <c r="A8" s="2819"/>
      <c r="B8" s="2819"/>
      <c r="C8" s="2819"/>
      <c r="D8" s="2819"/>
      <c r="E8" s="2819"/>
      <c r="F8" s="2819"/>
      <c r="G8" s="2820" t="s">
        <v>445</v>
      </c>
      <c r="H8" s="2821" t="s">
        <v>446</v>
      </c>
      <c r="I8" s="2840"/>
      <c r="J8" s="383"/>
      <c r="K8" s="383"/>
      <c r="L8" s="383"/>
      <c r="M8" s="383"/>
      <c r="N8" s="383"/>
      <c r="O8" s="383"/>
      <c r="P8" s="383"/>
      <c r="Q8" s="383"/>
      <c r="R8" s="383"/>
      <c r="S8" s="383"/>
      <c r="T8" s="383"/>
      <c r="U8" s="383"/>
      <c r="V8" s="2847"/>
      <c r="W8" s="383"/>
      <c r="X8" s="383"/>
      <c r="Y8" s="383"/>
      <c r="Z8" s="383"/>
      <c r="AA8" s="2847"/>
      <c r="AB8" s="2849"/>
      <c r="AC8" s="1972" t="s">
        <v>447</v>
      </c>
      <c r="AD8" s="2850"/>
      <c r="AE8" s="2851"/>
      <c r="AF8" s="383"/>
      <c r="AG8" s="383"/>
      <c r="AH8" s="383"/>
      <c r="AI8" s="383"/>
      <c r="AJ8" s="383"/>
      <c r="AK8" s="383"/>
      <c r="AL8" s="383"/>
      <c r="AM8" s="383"/>
      <c r="AN8" s="383"/>
      <c r="AO8" s="383"/>
      <c r="AP8" s="383"/>
      <c r="AQ8" s="383"/>
      <c r="AR8" s="383"/>
      <c r="AS8" s="383"/>
      <c r="AT8" s="1664" t="s">
        <v>448</v>
      </c>
      <c r="AU8" s="2819" t="s">
        <v>449</v>
      </c>
      <c r="AV8" s="1664"/>
      <c r="AW8" s="2225"/>
      <c r="AX8" s="1664"/>
      <c r="AY8" s="2265" t="s">
        <v>437</v>
      </c>
      <c r="AZ8" s="382" t="s">
        <v>364</v>
      </c>
      <c r="BA8" s="383"/>
      <c r="BB8" s="383"/>
      <c r="BC8" s="383"/>
      <c r="BD8" s="383"/>
      <c r="BE8" s="383"/>
      <c r="BF8" s="383"/>
      <c r="BG8" s="383"/>
      <c r="BH8" s="383"/>
      <c r="BI8" s="383"/>
      <c r="BJ8" s="383"/>
      <c r="BK8" s="383"/>
      <c r="BL8" s="383"/>
      <c r="BM8" s="383"/>
      <c r="BN8" s="383"/>
      <c r="BO8" s="383"/>
      <c r="BP8" s="383"/>
      <c r="BQ8" s="383"/>
      <c r="BR8" s="383"/>
      <c r="BS8" s="383"/>
      <c r="BT8" s="1710"/>
    </row>
    <row r="9" spans="1:72" s="2513" customFormat="1" ht="12.75">
      <c r="A9" s="2819"/>
      <c r="B9" s="2819"/>
      <c r="C9" s="2819"/>
      <c r="D9" s="2819"/>
      <c r="E9" s="2819"/>
      <c r="F9" s="2819"/>
      <c r="G9" s="1664"/>
      <c r="H9" s="2822" t="s">
        <v>450</v>
      </c>
      <c r="I9" s="2841" t="s">
        <v>451</v>
      </c>
      <c r="J9" s="1972"/>
      <c r="K9" s="2841"/>
      <c r="L9" s="1972"/>
      <c r="M9" s="2841"/>
      <c r="N9" s="1972"/>
      <c r="O9" s="2841"/>
      <c r="P9" s="1972"/>
      <c r="Q9" s="2841"/>
      <c r="R9" s="1972"/>
      <c r="S9" s="2841"/>
      <c r="T9" s="1972"/>
      <c r="U9" s="2841"/>
      <c r="V9" s="1972"/>
      <c r="W9" s="2841"/>
      <c r="X9" s="2848"/>
      <c r="Y9" s="2841"/>
      <c r="Z9" s="1972"/>
      <c r="AA9" s="2841"/>
      <c r="AB9" s="1972"/>
      <c r="AC9" s="2820" t="s">
        <v>450</v>
      </c>
      <c r="AD9" s="1824" t="s">
        <v>452</v>
      </c>
      <c r="AE9" s="1676"/>
      <c r="AF9" s="1824" t="s">
        <v>453</v>
      </c>
      <c r="AG9" s="1676"/>
      <c r="AH9" s="1824" t="s">
        <v>452</v>
      </c>
      <c r="AI9" s="1676"/>
      <c r="AJ9" s="1824" t="s">
        <v>453</v>
      </c>
      <c r="AK9" s="1676"/>
      <c r="AL9" s="1824" t="s">
        <v>452</v>
      </c>
      <c r="AM9" s="1676"/>
      <c r="AN9" s="1824" t="s">
        <v>453</v>
      </c>
      <c r="AO9" s="1676"/>
      <c r="AP9" s="1824" t="s">
        <v>452</v>
      </c>
      <c r="AQ9" s="1676"/>
      <c r="AR9" s="1824" t="s">
        <v>453</v>
      </c>
      <c r="AS9" s="2861"/>
      <c r="AT9" s="2819"/>
      <c r="AU9" s="2819" t="s">
        <v>454</v>
      </c>
      <c r="AV9" s="1664"/>
      <c r="AW9" s="2225"/>
      <c r="AX9" s="1664"/>
      <c r="AY9" s="2823"/>
      <c r="AZ9" s="2823" t="s">
        <v>445</v>
      </c>
      <c r="BA9" s="2876" t="s">
        <v>455</v>
      </c>
      <c r="BB9" s="2877"/>
      <c r="BC9" s="1722"/>
      <c r="BD9" s="1722"/>
      <c r="BE9" s="1722"/>
      <c r="BF9" s="1722"/>
      <c r="BG9" s="1722"/>
      <c r="BH9" s="1722"/>
      <c r="BI9" s="1722"/>
      <c r="BJ9" s="1722"/>
      <c r="BK9" s="2882"/>
      <c r="BL9" s="1824" t="s">
        <v>456</v>
      </c>
      <c r="BM9" s="383"/>
      <c r="BN9" s="2840"/>
      <c r="BO9" s="383"/>
      <c r="BP9" s="383"/>
      <c r="BQ9" s="383"/>
      <c r="BR9" s="383"/>
      <c r="BS9" s="383"/>
      <c r="BT9" s="1710"/>
    </row>
    <row r="10" spans="1:72" s="2513" customFormat="1" ht="12.75">
      <c r="A10" s="2819"/>
      <c r="B10" s="2819"/>
      <c r="C10" s="2819"/>
      <c r="D10" s="2819"/>
      <c r="E10" s="2819"/>
      <c r="F10" s="2819"/>
      <c r="G10" s="1664"/>
      <c r="H10" s="2823"/>
      <c r="I10" s="2841" t="s">
        <v>457</v>
      </c>
      <c r="J10" s="1972"/>
      <c r="K10" s="2842"/>
      <c r="L10" s="1972"/>
      <c r="M10" s="2842"/>
      <c r="N10" s="1972"/>
      <c r="O10" s="2842"/>
      <c r="P10" s="1972"/>
      <c r="Q10" s="2842"/>
      <c r="R10" s="1972"/>
      <c r="S10" s="2842"/>
      <c r="T10" s="1972"/>
      <c r="U10" s="2842"/>
      <c r="V10" s="1972"/>
      <c r="W10" s="2842"/>
      <c r="X10" s="1972"/>
      <c r="Y10" s="2842"/>
      <c r="Z10" s="1972"/>
      <c r="AA10" s="2842"/>
      <c r="AB10" s="1972"/>
      <c r="AC10" s="1664"/>
      <c r="AD10" s="1824" t="s">
        <v>458</v>
      </c>
      <c r="AE10" s="2852"/>
      <c r="AF10" s="1824" t="s">
        <v>458</v>
      </c>
      <c r="AG10" s="2852"/>
      <c r="AH10" s="1824" t="s">
        <v>459</v>
      </c>
      <c r="AI10" s="2852"/>
      <c r="AJ10" s="1824" t="s">
        <v>459</v>
      </c>
      <c r="AK10" s="2852"/>
      <c r="AL10" s="1824" t="s">
        <v>460</v>
      </c>
      <c r="AM10" s="1676"/>
      <c r="AN10" s="1824" t="s">
        <v>460</v>
      </c>
      <c r="AO10" s="1676"/>
      <c r="AP10" s="1824" t="s">
        <v>461</v>
      </c>
      <c r="AQ10" s="1676"/>
      <c r="AR10" s="1824" t="s">
        <v>461</v>
      </c>
      <c r="AS10" s="1676"/>
      <c r="AT10" s="2819"/>
      <c r="AU10" s="2819"/>
      <c r="AV10" s="1664"/>
      <c r="AW10" s="2225"/>
      <c r="AX10" s="1664"/>
      <c r="AY10" s="2823"/>
      <c r="AZ10" s="2823"/>
      <c r="BA10" s="2824" t="s">
        <v>450</v>
      </c>
      <c r="BB10" s="2878" t="str">
        <f>I9</f>
        <v>地上</v>
      </c>
      <c r="BC10" s="1734">
        <f>K9</f>
        <v>0</v>
      </c>
      <c r="BD10" s="1734">
        <f>M9</f>
        <v>0</v>
      </c>
      <c r="BE10" s="1734">
        <f>O9</f>
        <v>0</v>
      </c>
      <c r="BF10" s="1734">
        <f>Q9</f>
        <v>0</v>
      </c>
      <c r="BG10" s="1734">
        <f>S9</f>
        <v>0</v>
      </c>
      <c r="BH10" s="1734">
        <f>U9</f>
        <v>0</v>
      </c>
      <c r="BI10" s="1734">
        <f>W9</f>
        <v>0</v>
      </c>
      <c r="BJ10" s="1734">
        <f>Y9</f>
        <v>0</v>
      </c>
      <c r="BK10" s="1734">
        <f>AA9</f>
        <v>0</v>
      </c>
      <c r="BL10" s="1730" t="s">
        <v>450</v>
      </c>
      <c r="BM10" s="382" t="str">
        <f>AD9</f>
        <v>地上</v>
      </c>
      <c r="BN10" s="1734" t="str">
        <f>AF9</f>
        <v>地下</v>
      </c>
      <c r="BO10" s="382" t="str">
        <f>AH9</f>
        <v>地上</v>
      </c>
      <c r="BP10" s="1734" t="str">
        <f>AJ9</f>
        <v>地下</v>
      </c>
      <c r="BQ10" s="382" t="str">
        <f>AL9</f>
        <v>地上</v>
      </c>
      <c r="BR10" s="1734" t="str">
        <f>AN9</f>
        <v>地下</v>
      </c>
      <c r="BS10" s="382" t="str">
        <f>AP9</f>
        <v>地上</v>
      </c>
      <c r="BT10" s="2886" t="str">
        <f>AR9</f>
        <v>地下</v>
      </c>
    </row>
    <row r="11" spans="1:72" s="2513" customFormat="1" ht="12.75">
      <c r="A11" s="2819"/>
      <c r="B11" s="2819"/>
      <c r="C11" s="2819"/>
      <c r="D11" s="2819"/>
      <c r="E11" s="2819"/>
      <c r="F11" s="2819"/>
      <c r="G11" s="1664"/>
      <c r="H11" s="2824"/>
      <c r="I11" s="2843" t="s">
        <v>462</v>
      </c>
      <c r="J11" s="2844"/>
      <c r="K11" s="2843"/>
      <c r="L11" s="2844"/>
      <c r="M11" s="2843"/>
      <c r="N11" s="2844"/>
      <c r="O11" s="2843"/>
      <c r="P11" s="2844"/>
      <c r="Q11" s="2843"/>
      <c r="R11" s="2844"/>
      <c r="S11" s="2843"/>
      <c r="T11" s="2844"/>
      <c r="U11" s="2843"/>
      <c r="V11" s="2844"/>
      <c r="W11" s="2843"/>
      <c r="X11" s="2844"/>
      <c r="Y11" s="2843"/>
      <c r="Z11" s="2844"/>
      <c r="AA11" s="2843"/>
      <c r="AB11" s="2844"/>
      <c r="AC11" s="1664"/>
      <c r="AD11" s="2853" t="s">
        <v>463</v>
      </c>
      <c r="AE11" s="440"/>
      <c r="AF11" s="2853" t="s">
        <v>463</v>
      </c>
      <c r="AG11" s="440"/>
      <c r="AH11" s="2853" t="s">
        <v>464</v>
      </c>
      <c r="AI11" s="2857"/>
      <c r="AJ11" s="2853" t="s">
        <v>464</v>
      </c>
      <c r="AK11" s="440"/>
      <c r="AL11" s="382"/>
      <c r="AM11" s="440"/>
      <c r="AN11" s="382"/>
      <c r="AO11" s="440"/>
      <c r="AP11" s="382"/>
      <c r="AQ11" s="440"/>
      <c r="AR11" s="382"/>
      <c r="AS11" s="440"/>
      <c r="AT11" s="2225"/>
      <c r="AU11" s="2819"/>
      <c r="AV11" s="1664"/>
      <c r="AW11" s="2225"/>
      <c r="AX11" s="1664"/>
      <c r="AY11" s="2823"/>
      <c r="AZ11" s="2823"/>
      <c r="BA11" s="2823"/>
      <c r="BB11" s="2849" t="str">
        <f>I10</f>
        <v>住宅</v>
      </c>
      <c r="BC11" s="2849">
        <f>K10</f>
        <v>0</v>
      </c>
      <c r="BD11" s="2849">
        <f>M10</f>
        <v>0</v>
      </c>
      <c r="BE11" s="2849">
        <f>O10</f>
        <v>0</v>
      </c>
      <c r="BF11" s="2849">
        <f>Q10</f>
        <v>0</v>
      </c>
      <c r="BG11" s="2849">
        <f>S10</f>
        <v>0</v>
      </c>
      <c r="BH11" s="2849">
        <f>U10</f>
        <v>0</v>
      </c>
      <c r="BI11" s="2849">
        <f>W10</f>
        <v>0</v>
      </c>
      <c r="BJ11" s="2849">
        <f>Y10</f>
        <v>0</v>
      </c>
      <c r="BK11" s="2849">
        <f>AA10</f>
        <v>0</v>
      </c>
      <c r="BL11" s="1664"/>
      <c r="BM11" s="382" t="str">
        <f>AD10</f>
        <v>公共配套设施</v>
      </c>
      <c r="BN11" s="382" t="str">
        <f>AF10</f>
        <v>公共配套设施</v>
      </c>
      <c r="BO11" s="381" t="str">
        <f>AH10</f>
        <v>物业管理用房</v>
      </c>
      <c r="BP11" s="381" t="str">
        <f>AJ10</f>
        <v>物业管理用房</v>
      </c>
      <c r="BQ11" s="381" t="str">
        <f>AL10</f>
        <v>设备及其他</v>
      </c>
      <c r="BR11" s="381" t="str">
        <f>AN10</f>
        <v>设备及其他</v>
      </c>
      <c r="BS11" s="1730" t="str">
        <f>AP10</f>
        <v>未注明</v>
      </c>
      <c r="BT11" s="2887" t="str">
        <f>AR10</f>
        <v>未注明</v>
      </c>
    </row>
    <row r="12" spans="1:72" s="2798" customFormat="1" ht="12.75">
      <c r="A12" s="2825"/>
      <c r="B12" s="2825"/>
      <c r="C12" s="2825"/>
      <c r="D12" s="2825"/>
      <c r="E12" s="2825"/>
      <c r="F12" s="2825"/>
      <c r="G12" s="703"/>
      <c r="H12" s="2826"/>
      <c r="I12" s="2277" t="s">
        <v>465</v>
      </c>
      <c r="J12" s="384" t="s">
        <v>466</v>
      </c>
      <c r="K12" s="384" t="s">
        <v>465</v>
      </c>
      <c r="L12" s="384" t="s">
        <v>466</v>
      </c>
      <c r="M12" s="384" t="s">
        <v>465</v>
      </c>
      <c r="N12" s="384" t="s">
        <v>466</v>
      </c>
      <c r="O12" s="384" t="s">
        <v>465</v>
      </c>
      <c r="P12" s="384" t="s">
        <v>466</v>
      </c>
      <c r="Q12" s="384" t="s">
        <v>465</v>
      </c>
      <c r="R12" s="384" t="s">
        <v>466</v>
      </c>
      <c r="S12" s="384" t="s">
        <v>465</v>
      </c>
      <c r="T12" s="384" t="s">
        <v>466</v>
      </c>
      <c r="U12" s="384" t="s">
        <v>465</v>
      </c>
      <c r="V12" s="2144" t="s">
        <v>466</v>
      </c>
      <c r="W12" s="384" t="s">
        <v>465</v>
      </c>
      <c r="X12" s="384" t="s">
        <v>466</v>
      </c>
      <c r="Y12" s="384" t="s">
        <v>465</v>
      </c>
      <c r="Z12" s="384" t="s">
        <v>466</v>
      </c>
      <c r="AA12" s="384" t="s">
        <v>465</v>
      </c>
      <c r="AB12" s="384" t="s">
        <v>466</v>
      </c>
      <c r="AC12" s="2854"/>
      <c r="AD12" s="2277" t="s">
        <v>465</v>
      </c>
      <c r="AE12" s="384" t="s">
        <v>466</v>
      </c>
      <c r="AF12" s="384" t="s">
        <v>465</v>
      </c>
      <c r="AG12" s="384" t="s">
        <v>466</v>
      </c>
      <c r="AH12" s="384" t="s">
        <v>465</v>
      </c>
      <c r="AI12" s="384" t="s">
        <v>466</v>
      </c>
      <c r="AJ12" s="384" t="s">
        <v>465</v>
      </c>
      <c r="AK12" s="384" t="s">
        <v>466</v>
      </c>
      <c r="AL12" s="384" t="s">
        <v>465</v>
      </c>
      <c r="AM12" s="384" t="s">
        <v>466</v>
      </c>
      <c r="AN12" s="384" t="s">
        <v>465</v>
      </c>
      <c r="AO12" s="384" t="s">
        <v>466</v>
      </c>
      <c r="AP12" s="384" t="s">
        <v>465</v>
      </c>
      <c r="AQ12" s="384" t="s">
        <v>466</v>
      </c>
      <c r="AR12" s="703" t="s">
        <v>465</v>
      </c>
      <c r="AS12" s="2825" t="s">
        <v>466</v>
      </c>
      <c r="AT12" s="2862"/>
      <c r="AU12" s="2825"/>
      <c r="AV12" s="2863"/>
      <c r="AW12" s="2265"/>
      <c r="AX12" s="2863"/>
      <c r="AY12" s="2879"/>
      <c r="AZ12" s="2823"/>
      <c r="BA12" s="2824"/>
      <c r="BB12" s="381" t="str">
        <f>I11</f>
        <v>普通住宅</v>
      </c>
      <c r="BC12" s="2880">
        <f>K11</f>
        <v>0</v>
      </c>
      <c r="BD12" s="2880">
        <f>M11</f>
        <v>0</v>
      </c>
      <c r="BE12" s="2849">
        <f>O11</f>
        <v>0</v>
      </c>
      <c r="BF12" s="2849">
        <f>Q11</f>
        <v>0</v>
      </c>
      <c r="BG12" s="2849">
        <f>S11</f>
        <v>0</v>
      </c>
      <c r="BH12" s="2849">
        <f>U11</f>
        <v>0</v>
      </c>
      <c r="BI12" s="2849">
        <f>W11</f>
        <v>0</v>
      </c>
      <c r="BJ12" s="2849">
        <f>Y11</f>
        <v>0</v>
      </c>
      <c r="BK12" s="2849">
        <f>AA11</f>
        <v>0</v>
      </c>
      <c r="BL12" s="1664"/>
      <c r="BM12" s="382" t="str">
        <f>AD11</f>
        <v>（住宅）</v>
      </c>
      <c r="BN12" s="382" t="str">
        <f>AF11</f>
        <v>（住宅）</v>
      </c>
      <c r="BO12" s="381" t="str">
        <f>AH11</f>
        <v>（住宅、计出让金）</v>
      </c>
      <c r="BP12" s="381" t="str">
        <f>AJ11</f>
        <v>（住宅、计出让金）</v>
      </c>
      <c r="BQ12" s="381">
        <f>AL11</f>
        <v>0</v>
      </c>
      <c r="BR12" s="381">
        <f>AN11</f>
        <v>0</v>
      </c>
      <c r="BS12" s="1730">
        <f>AP11</f>
        <v>0</v>
      </c>
      <c r="BT12" s="2887">
        <f>AR11</f>
        <v>0</v>
      </c>
    </row>
    <row r="13" spans="1:72" s="2798" customFormat="1" ht="12.75">
      <c r="A13" s="2827"/>
      <c r="B13" s="2827"/>
      <c r="C13" s="2828" t="s">
        <v>457</v>
      </c>
      <c r="D13" s="2829" t="s">
        <v>467</v>
      </c>
      <c r="E13" s="2813">
        <f>IF($C$3="是",ROUND($A$3*G13/$B$3,2),ROUND($A$3*(G13-AT13)/$B$3,2))</f>
        <v>0.39</v>
      </c>
      <c r="F13" s="2830"/>
      <c r="G13" s="2831">
        <f>H13+AC13+AT13</f>
        <v>1</v>
      </c>
      <c r="H13" s="2816">
        <f>SUMIF(I$12:AB$12,"总值",I13:AB13)</f>
        <v>1</v>
      </c>
      <c r="I13" s="2845">
        <v>1</v>
      </c>
      <c r="J13" s="2845"/>
      <c r="K13" s="2845"/>
      <c r="L13" s="2845"/>
      <c r="M13" s="2845"/>
      <c r="N13" s="2845"/>
      <c r="O13" s="2845"/>
      <c r="P13" s="2845"/>
      <c r="Q13" s="2845"/>
      <c r="R13" s="2845"/>
      <c r="S13" s="2845"/>
      <c r="T13" s="2845"/>
      <c r="U13" s="2845"/>
      <c r="V13" s="2845"/>
      <c r="W13" s="2845"/>
      <c r="X13" s="2845"/>
      <c r="Y13" s="2845"/>
      <c r="Z13" s="2845"/>
      <c r="AA13" s="2845"/>
      <c r="AB13" s="2845"/>
      <c r="AC13" s="2813">
        <f>SUMIF(AD$12:AS$12,"总值",AD13:AS13)</f>
        <v>0</v>
      </c>
      <c r="AD13" s="2855"/>
      <c r="AE13" s="2855"/>
      <c r="AF13" s="2855"/>
      <c r="AG13" s="2855"/>
      <c r="AH13" s="2855"/>
      <c r="AI13" s="2855"/>
      <c r="AJ13" s="2855"/>
      <c r="AK13" s="2855"/>
      <c r="AL13" s="2855"/>
      <c r="AM13" s="2855"/>
      <c r="AN13" s="2855"/>
      <c r="AO13" s="2855"/>
      <c r="AP13" s="2855"/>
      <c r="AQ13" s="2855"/>
      <c r="AR13" s="2855"/>
      <c r="AS13" s="2855"/>
      <c r="AT13" s="2864"/>
      <c r="AU13" s="2865"/>
      <c r="AV13" s="384">
        <f t="shared" ref="AV13:AX17" si="6">A13</f>
        <v>0</v>
      </c>
      <c r="AW13" s="384">
        <f t="shared" si="6"/>
        <v>0</v>
      </c>
      <c r="AX13" s="384" t="str">
        <f t="shared" si="6"/>
        <v>住宅</v>
      </c>
      <c r="AY13" s="2277">
        <f>ROUND($AY$6*AZ13/$AZ$5,2)</f>
        <v>0.39</v>
      </c>
      <c r="AZ13" s="2813">
        <f>BA13+BL13</f>
        <v>1</v>
      </c>
      <c r="BA13" s="2813">
        <f>SUM(BB13:BK13)</f>
        <v>1</v>
      </c>
      <c r="BB13" s="2813">
        <f>IF($D13="是",I13-J13,0)</f>
        <v>1</v>
      </c>
      <c r="BC13" s="2813">
        <f>IF($D13="是",K13-L13,0)</f>
        <v>0</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84">
        <f>IF($D13="是",AR13-AS13,0)</f>
        <v>0</v>
      </c>
    </row>
    <row r="14" spans="1:72" s="2798" customFormat="1" ht="12.75">
      <c r="A14" s="2827"/>
      <c r="B14" s="2827"/>
      <c r="C14" s="2832"/>
      <c r="D14" s="2829"/>
      <c r="E14" s="2813">
        <f>IF($C$3="是",ROUND($A$3*G14/$B$3,2),ROUND($A$3*(G14-AT14)/$B$3,2))</f>
        <v>0</v>
      </c>
      <c r="F14" s="2830"/>
      <c r="G14" s="2831">
        <f>H14+AC14+AT14</f>
        <v>0</v>
      </c>
      <c r="H14" s="2816">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3">
        <f>SUMIF(AD$12:AS$12,"总值",AD14:AS14)</f>
        <v>0</v>
      </c>
      <c r="AD14" s="2855"/>
      <c r="AE14" s="2855"/>
      <c r="AF14" s="2855"/>
      <c r="AG14" s="2855"/>
      <c r="AH14" s="2855"/>
      <c r="AI14" s="2855"/>
      <c r="AJ14" s="2855"/>
      <c r="AK14" s="2855"/>
      <c r="AL14" s="2855"/>
      <c r="AM14" s="2855"/>
      <c r="AN14" s="2855"/>
      <c r="AO14" s="2855"/>
      <c r="AP14" s="2855"/>
      <c r="AQ14" s="2855"/>
      <c r="AR14" s="2855"/>
      <c r="AS14" s="2855"/>
      <c r="AT14" s="2864"/>
      <c r="AU14" s="2865"/>
      <c r="AV14" s="384">
        <f t="shared" si="6"/>
        <v>0</v>
      </c>
      <c r="AW14" s="384">
        <f t="shared" si="6"/>
        <v>0</v>
      </c>
      <c r="AX14" s="384">
        <f t="shared" si="6"/>
        <v>0</v>
      </c>
      <c r="AY14" s="2277">
        <f>ROUND($AY$6*AZ14/$AZ$5,2)</f>
        <v>0</v>
      </c>
      <c r="AZ14" s="2813">
        <f>BA14+BL14</f>
        <v>0</v>
      </c>
      <c r="BA14" s="2813">
        <f>SUM(BB14:BK14)</f>
        <v>0</v>
      </c>
      <c r="BB14" s="2813">
        <f>IF($D14="是",I14-J14,0)</f>
        <v>0</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84">
        <f>IF($D14="是",AR14-AS14,0)</f>
        <v>0</v>
      </c>
    </row>
    <row r="15" spans="1:72" s="2798" customFormat="1" ht="12.75">
      <c r="A15" s="2827"/>
      <c r="B15" s="2827"/>
      <c r="C15" s="2832"/>
      <c r="D15" s="2829"/>
      <c r="E15" s="2813">
        <f>IF($C$3="是",ROUND($A$3*G15/$B$3,2),ROUND($A$3*(G15-AT15)/$B$3,2))</f>
        <v>0</v>
      </c>
      <c r="F15" s="2830"/>
      <c r="G15" s="2831">
        <f>H15+AC15+AT15</f>
        <v>0</v>
      </c>
      <c r="H15" s="2816">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3">
        <f>SUMIF(AD$12:AS$12,"总值",AD15:AS15)</f>
        <v>0</v>
      </c>
      <c r="AD15" s="2855"/>
      <c r="AE15" s="2855"/>
      <c r="AF15" s="2855"/>
      <c r="AG15" s="2855"/>
      <c r="AH15" s="2855"/>
      <c r="AI15" s="2855"/>
      <c r="AJ15" s="2855"/>
      <c r="AK15" s="2855"/>
      <c r="AL15" s="2855"/>
      <c r="AM15" s="2855"/>
      <c r="AN15" s="2855"/>
      <c r="AO15" s="2855"/>
      <c r="AP15" s="2855"/>
      <c r="AQ15" s="2855"/>
      <c r="AR15" s="2855"/>
      <c r="AS15" s="2855"/>
      <c r="AT15" s="2864"/>
      <c r="AU15" s="2865"/>
      <c r="AV15" s="384">
        <f t="shared" si="6"/>
        <v>0</v>
      </c>
      <c r="AW15" s="384">
        <f t="shared" si="6"/>
        <v>0</v>
      </c>
      <c r="AX15" s="384">
        <f t="shared" si="6"/>
        <v>0</v>
      </c>
      <c r="AY15" s="2277">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84">
        <f>IF($D15="是",AR15-AS15,0)</f>
        <v>0</v>
      </c>
    </row>
    <row r="16" spans="1:72" s="2798" customFormat="1" ht="12.75">
      <c r="A16" s="2827"/>
      <c r="B16" s="2827"/>
      <c r="C16" s="2832"/>
      <c r="D16" s="2829"/>
      <c r="E16" s="2813">
        <f>IF($C$3="是",ROUND($A$3*G16/$B$3,2),ROUND($A$3*(G16-AT16)/$B$3,2))</f>
        <v>0</v>
      </c>
      <c r="F16" s="2830"/>
      <c r="G16" s="2831">
        <f>H16+AC16+AT16</f>
        <v>0</v>
      </c>
      <c r="H16" s="2816">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3">
        <f>SUMIF(AD$12:AS$12,"总值",AD16:AS16)</f>
        <v>0</v>
      </c>
      <c r="AD16" s="2855"/>
      <c r="AE16" s="2855"/>
      <c r="AF16" s="2855"/>
      <c r="AG16" s="2855"/>
      <c r="AH16" s="2855"/>
      <c r="AI16" s="2855"/>
      <c r="AJ16" s="2855"/>
      <c r="AK16" s="2855"/>
      <c r="AL16" s="2855"/>
      <c r="AM16" s="2855"/>
      <c r="AN16" s="2855"/>
      <c r="AO16" s="2855"/>
      <c r="AP16" s="2855"/>
      <c r="AQ16" s="2855"/>
      <c r="AR16" s="2855"/>
      <c r="AS16" s="2855"/>
      <c r="AT16" s="2864"/>
      <c r="AU16" s="2865"/>
      <c r="AV16" s="384">
        <f t="shared" si="6"/>
        <v>0</v>
      </c>
      <c r="AW16" s="384">
        <f t="shared" si="6"/>
        <v>0</v>
      </c>
      <c r="AX16" s="384">
        <f t="shared" si="6"/>
        <v>0</v>
      </c>
      <c r="AY16" s="2277">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84">
        <f>IF($D16="是",AR16-AS16,0)</f>
        <v>0</v>
      </c>
    </row>
    <row r="17" spans="1:72" s="2798" customFormat="1" ht="12.75">
      <c r="A17" s="2827"/>
      <c r="B17" s="2827"/>
      <c r="C17" s="2832"/>
      <c r="D17" s="2829"/>
      <c r="E17" s="2813">
        <f>IF($C$3="是",ROUND($A$3*G17/$B$3,2),ROUND($A$3*(G17-AT17)/$B$3,2))</f>
        <v>0</v>
      </c>
      <c r="F17" s="2830"/>
      <c r="G17" s="2831">
        <f>H17+AC17+AT17</f>
        <v>0</v>
      </c>
      <c r="H17" s="2816">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3">
        <f>SUMIF(AD$12:AS$12,"总值",AD17:AS17)</f>
        <v>0</v>
      </c>
      <c r="AD17" s="2855"/>
      <c r="AE17" s="2855"/>
      <c r="AF17" s="2855"/>
      <c r="AG17" s="2855"/>
      <c r="AH17" s="2855"/>
      <c r="AI17" s="2855"/>
      <c r="AJ17" s="2855"/>
      <c r="AK17" s="2855"/>
      <c r="AL17" s="2855"/>
      <c r="AM17" s="2855"/>
      <c r="AN17" s="2855"/>
      <c r="AO17" s="2855"/>
      <c r="AP17" s="2855"/>
      <c r="AQ17" s="2855"/>
      <c r="AR17" s="2855"/>
      <c r="AS17" s="2855"/>
      <c r="AT17" s="2864"/>
      <c r="AU17" s="2865"/>
      <c r="AV17" s="384">
        <f t="shared" si="6"/>
        <v>0</v>
      </c>
      <c r="AW17" s="384">
        <f t="shared" si="6"/>
        <v>0</v>
      </c>
      <c r="AX17" s="384">
        <f t="shared" si="6"/>
        <v>0</v>
      </c>
      <c r="AY17" s="2277">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84">
        <f>IF($D17="是",AR17-AS17,0)</f>
        <v>0</v>
      </c>
    </row>
    <row r="18" spans="1:72">
      <c r="A18" s="2833"/>
      <c r="B18" s="2834"/>
      <c r="C18" s="2834"/>
      <c r="D18" s="2835"/>
      <c r="E18" s="2836">
        <f t="shared" ref="E18:E112" si="7">IF($C$3="是",ROUND($A$3*G18/$B$3,2),ROUND($A$3*(G18-AT18)/$B$3,2))</f>
        <v>0</v>
      </c>
      <c r="F18" s="2837"/>
      <c r="G18" s="2838">
        <f t="shared" ref="G18:G109" si="8">H18+AC18+AT18</f>
        <v>0</v>
      </c>
      <c r="H18" s="2839">
        <f t="shared" ref="H18:H109" si="9">SUMIF(I$12:AB$12,"总值",I18:AB18)</f>
        <v>0</v>
      </c>
      <c r="I18" s="2846"/>
      <c r="J18" s="2846"/>
      <c r="K18" s="2846"/>
      <c r="L18" s="2846"/>
      <c r="M18" s="2846"/>
      <c r="N18" s="2846"/>
      <c r="O18" s="2846"/>
      <c r="P18" s="2846"/>
      <c r="Q18" s="2846"/>
      <c r="R18" s="2846"/>
      <c r="S18" s="2846"/>
      <c r="T18" s="2846"/>
      <c r="U18" s="2846"/>
      <c r="V18" s="2846"/>
      <c r="W18" s="2846"/>
      <c r="X18" s="2846"/>
      <c r="Y18" s="2846"/>
      <c r="Z18" s="2846"/>
      <c r="AA18" s="2846"/>
      <c r="AB18" s="2846"/>
      <c r="AC18" s="2836">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66"/>
      <c r="AU18" s="2867"/>
      <c r="AV18" s="1182">
        <f t="shared" ref="AV18:AV112" si="11">A18</f>
        <v>0</v>
      </c>
      <c r="AW18" s="1182">
        <f t="shared" ref="AW18:AW112" si="12">B18</f>
        <v>0</v>
      </c>
      <c r="AX18" s="1182">
        <f t="shared" ref="AX18:AX112" si="13">C18</f>
        <v>0</v>
      </c>
      <c r="AY18" s="2881">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8">
        <f t="shared" ref="BT18:BT109" si="35">IF($D18="是",AR18-AS18,0)</f>
        <v>0</v>
      </c>
    </row>
    <row r="19" spans="1:72">
      <c r="A19" s="2833"/>
      <c r="B19" s="2834"/>
      <c r="C19" s="2834"/>
      <c r="D19" s="2835"/>
      <c r="E19" s="2836">
        <f t="shared" si="7"/>
        <v>0</v>
      </c>
      <c r="F19" s="2837"/>
      <c r="G19" s="2838">
        <f t="shared" si="8"/>
        <v>0</v>
      </c>
      <c r="H19" s="2839">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6">
        <f t="shared" si="10"/>
        <v>0</v>
      </c>
      <c r="AD19" s="2856"/>
      <c r="AE19" s="2856"/>
      <c r="AF19" s="2856"/>
      <c r="AG19" s="2856"/>
      <c r="AH19" s="2856"/>
      <c r="AI19" s="2856"/>
      <c r="AJ19" s="2856"/>
      <c r="AK19" s="2856"/>
      <c r="AL19" s="2856"/>
      <c r="AM19" s="2856"/>
      <c r="AN19" s="2856"/>
      <c r="AO19" s="2856"/>
      <c r="AP19" s="2856"/>
      <c r="AQ19" s="2856"/>
      <c r="AR19" s="2856"/>
      <c r="AS19" s="2856"/>
      <c r="AT19" s="2866"/>
      <c r="AU19" s="2867"/>
      <c r="AV19" s="1182">
        <f t="shared" si="11"/>
        <v>0</v>
      </c>
      <c r="AW19" s="1182">
        <f t="shared" si="12"/>
        <v>0</v>
      </c>
      <c r="AX19" s="1182">
        <f t="shared" si="13"/>
        <v>0</v>
      </c>
      <c r="AY19" s="2881">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8">
        <f t="shared" si="35"/>
        <v>0</v>
      </c>
    </row>
    <row r="20" spans="1:72">
      <c r="A20" s="2833"/>
      <c r="B20" s="2834"/>
      <c r="C20" s="2834"/>
      <c r="D20" s="2835"/>
      <c r="E20" s="2836">
        <f t="shared" si="7"/>
        <v>0</v>
      </c>
      <c r="F20" s="2837"/>
      <c r="G20" s="2838">
        <f t="shared" si="8"/>
        <v>0</v>
      </c>
      <c r="H20" s="2839">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6">
        <f t="shared" si="10"/>
        <v>0</v>
      </c>
      <c r="AD20" s="2856"/>
      <c r="AE20" s="2856"/>
      <c r="AF20" s="2856"/>
      <c r="AG20" s="2856"/>
      <c r="AH20" s="2856"/>
      <c r="AI20" s="2856"/>
      <c r="AJ20" s="2856"/>
      <c r="AK20" s="2856"/>
      <c r="AL20" s="2856"/>
      <c r="AM20" s="2856"/>
      <c r="AN20" s="2856"/>
      <c r="AO20" s="2856"/>
      <c r="AP20" s="2856"/>
      <c r="AQ20" s="2856"/>
      <c r="AR20" s="2856"/>
      <c r="AS20" s="2856"/>
      <c r="AT20" s="2866"/>
      <c r="AU20" s="2867"/>
      <c r="AV20" s="1182">
        <f t="shared" si="11"/>
        <v>0</v>
      </c>
      <c r="AW20" s="1182">
        <f t="shared" si="12"/>
        <v>0</v>
      </c>
      <c r="AX20" s="1182">
        <f t="shared" si="13"/>
        <v>0</v>
      </c>
      <c r="AY20" s="2881">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8">
        <f t="shared" si="35"/>
        <v>0</v>
      </c>
    </row>
    <row r="21" spans="1:72">
      <c r="A21" s="2833"/>
      <c r="B21" s="2834"/>
      <c r="C21" s="2834"/>
      <c r="D21" s="2835"/>
      <c r="E21" s="2836">
        <f t="shared" si="7"/>
        <v>0</v>
      </c>
      <c r="F21" s="2837"/>
      <c r="G21" s="2838">
        <f t="shared" si="8"/>
        <v>0</v>
      </c>
      <c r="H21" s="2839">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6">
        <f t="shared" si="10"/>
        <v>0</v>
      </c>
      <c r="AD21" s="2856"/>
      <c r="AE21" s="2856"/>
      <c r="AF21" s="2856"/>
      <c r="AG21" s="2856"/>
      <c r="AH21" s="2856"/>
      <c r="AI21" s="2856"/>
      <c r="AJ21" s="2856"/>
      <c r="AK21" s="2856"/>
      <c r="AL21" s="2856"/>
      <c r="AM21" s="2856"/>
      <c r="AN21" s="2856"/>
      <c r="AO21" s="2856"/>
      <c r="AP21" s="2856"/>
      <c r="AQ21" s="2856"/>
      <c r="AR21" s="2856"/>
      <c r="AS21" s="2856"/>
      <c r="AT21" s="2866"/>
      <c r="AU21" s="2867"/>
      <c r="AV21" s="1182">
        <f t="shared" si="11"/>
        <v>0</v>
      </c>
      <c r="AW21" s="1182">
        <f t="shared" si="12"/>
        <v>0</v>
      </c>
      <c r="AX21" s="1182">
        <f t="shared" si="13"/>
        <v>0</v>
      </c>
      <c r="AY21" s="2881">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8">
        <f t="shared" si="35"/>
        <v>0</v>
      </c>
    </row>
    <row r="22" spans="1:72">
      <c r="A22" s="2833"/>
      <c r="B22" s="2834"/>
      <c r="C22" s="2834"/>
      <c r="D22" s="2835"/>
      <c r="E22" s="2836">
        <f t="shared" si="7"/>
        <v>0</v>
      </c>
      <c r="F22" s="2837"/>
      <c r="G22" s="2838">
        <f t="shared" si="8"/>
        <v>0</v>
      </c>
      <c r="H22" s="2839">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6">
        <f t="shared" si="10"/>
        <v>0</v>
      </c>
      <c r="AD22" s="2856"/>
      <c r="AE22" s="2856"/>
      <c r="AF22" s="2856"/>
      <c r="AG22" s="2856"/>
      <c r="AH22" s="2856"/>
      <c r="AI22" s="2856"/>
      <c r="AJ22" s="2856"/>
      <c r="AK22" s="2856"/>
      <c r="AL22" s="2856"/>
      <c r="AM22" s="2856"/>
      <c r="AN22" s="2856"/>
      <c r="AO22" s="2856"/>
      <c r="AP22" s="2856"/>
      <c r="AQ22" s="2856"/>
      <c r="AR22" s="2856"/>
      <c r="AS22" s="2856"/>
      <c r="AT22" s="2866"/>
      <c r="AU22" s="2867"/>
      <c r="AV22" s="1182">
        <f t="shared" si="11"/>
        <v>0</v>
      </c>
      <c r="AW22" s="1182">
        <f t="shared" si="12"/>
        <v>0</v>
      </c>
      <c r="AX22" s="1182">
        <f t="shared" si="13"/>
        <v>0</v>
      </c>
      <c r="AY22" s="2881">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8">
        <f t="shared" si="35"/>
        <v>0</v>
      </c>
    </row>
    <row r="23" spans="1:72">
      <c r="A23" s="2833"/>
      <c r="B23" s="2834"/>
      <c r="C23" s="2834"/>
      <c r="D23" s="2835"/>
      <c r="E23" s="2836">
        <f t="shared" si="7"/>
        <v>0</v>
      </c>
      <c r="F23" s="2837"/>
      <c r="G23" s="2838">
        <f t="shared" si="8"/>
        <v>0</v>
      </c>
      <c r="H23" s="2839">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6">
        <f t="shared" si="10"/>
        <v>0</v>
      </c>
      <c r="AD23" s="2856"/>
      <c r="AE23" s="2856"/>
      <c r="AF23" s="2856"/>
      <c r="AG23" s="2856"/>
      <c r="AH23" s="2856"/>
      <c r="AI23" s="2856"/>
      <c r="AJ23" s="2856"/>
      <c r="AK23" s="2856"/>
      <c r="AL23" s="2856"/>
      <c r="AM23" s="2856"/>
      <c r="AN23" s="2856"/>
      <c r="AO23" s="2856"/>
      <c r="AP23" s="2856"/>
      <c r="AQ23" s="2856"/>
      <c r="AR23" s="2856"/>
      <c r="AS23" s="2856"/>
      <c r="AT23" s="2866"/>
      <c r="AU23" s="2867"/>
      <c r="AV23" s="1182">
        <f t="shared" si="11"/>
        <v>0</v>
      </c>
      <c r="AW23" s="1182">
        <f t="shared" si="12"/>
        <v>0</v>
      </c>
      <c r="AX23" s="1182">
        <f t="shared" si="13"/>
        <v>0</v>
      </c>
      <c r="AY23" s="2881">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8">
        <f t="shared" si="35"/>
        <v>0</v>
      </c>
    </row>
    <row r="24" spans="1:72">
      <c r="A24" s="2833"/>
      <c r="B24" s="2834"/>
      <c r="C24" s="2834"/>
      <c r="D24" s="2835"/>
      <c r="E24" s="2836">
        <f t="shared" si="7"/>
        <v>0</v>
      </c>
      <c r="F24" s="2837"/>
      <c r="G24" s="2838">
        <f t="shared" si="8"/>
        <v>0</v>
      </c>
      <c r="H24" s="2839">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6">
        <f t="shared" si="10"/>
        <v>0</v>
      </c>
      <c r="AD24" s="2856"/>
      <c r="AE24" s="2856"/>
      <c r="AF24" s="2856"/>
      <c r="AG24" s="2856"/>
      <c r="AH24" s="2856"/>
      <c r="AI24" s="2856"/>
      <c r="AJ24" s="2856"/>
      <c r="AK24" s="2856"/>
      <c r="AL24" s="2856"/>
      <c r="AM24" s="2856"/>
      <c r="AN24" s="2856"/>
      <c r="AO24" s="2856"/>
      <c r="AP24" s="2856"/>
      <c r="AQ24" s="2856"/>
      <c r="AR24" s="2856"/>
      <c r="AS24" s="2856"/>
      <c r="AT24" s="2866"/>
      <c r="AU24" s="2867"/>
      <c r="AV24" s="1182">
        <f t="shared" si="11"/>
        <v>0</v>
      </c>
      <c r="AW24" s="1182">
        <f t="shared" si="12"/>
        <v>0</v>
      </c>
      <c r="AX24" s="1182">
        <f t="shared" si="13"/>
        <v>0</v>
      </c>
      <c r="AY24" s="2881">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8">
        <f t="shared" si="35"/>
        <v>0</v>
      </c>
    </row>
    <row r="25" spans="1:72">
      <c r="A25" s="2833"/>
      <c r="B25" s="2834"/>
      <c r="C25" s="2834"/>
      <c r="D25" s="2835"/>
      <c r="E25" s="2836">
        <f t="shared" si="7"/>
        <v>0</v>
      </c>
      <c r="F25" s="2837"/>
      <c r="G25" s="2838">
        <f t="shared" si="8"/>
        <v>0</v>
      </c>
      <c r="H25" s="2839">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6">
        <f t="shared" si="10"/>
        <v>0</v>
      </c>
      <c r="AD25" s="2856"/>
      <c r="AE25" s="2856"/>
      <c r="AF25" s="2856"/>
      <c r="AG25" s="2856"/>
      <c r="AH25" s="2856"/>
      <c r="AI25" s="2856"/>
      <c r="AJ25" s="2856"/>
      <c r="AK25" s="2856"/>
      <c r="AL25" s="2856"/>
      <c r="AM25" s="2856"/>
      <c r="AN25" s="2856"/>
      <c r="AO25" s="2856"/>
      <c r="AP25" s="2856"/>
      <c r="AQ25" s="2856"/>
      <c r="AR25" s="2856"/>
      <c r="AS25" s="2856"/>
      <c r="AT25" s="2866"/>
      <c r="AU25" s="2867"/>
      <c r="AV25" s="1182">
        <f t="shared" si="11"/>
        <v>0</v>
      </c>
      <c r="AW25" s="1182">
        <f t="shared" si="12"/>
        <v>0</v>
      </c>
      <c r="AX25" s="1182">
        <f t="shared" si="13"/>
        <v>0</v>
      </c>
      <c r="AY25" s="2881">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8">
        <f t="shared" si="35"/>
        <v>0</v>
      </c>
    </row>
    <row r="26" spans="1:72">
      <c r="A26" s="2833"/>
      <c r="B26" s="2834"/>
      <c r="C26" s="2834"/>
      <c r="D26" s="2835"/>
      <c r="E26" s="2836">
        <f t="shared" si="7"/>
        <v>0</v>
      </c>
      <c r="F26" s="2837"/>
      <c r="G26" s="2838">
        <f t="shared" si="8"/>
        <v>0</v>
      </c>
      <c r="H26" s="2839">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6">
        <f t="shared" si="10"/>
        <v>0</v>
      </c>
      <c r="AD26" s="2856"/>
      <c r="AE26" s="2856"/>
      <c r="AF26" s="2856"/>
      <c r="AG26" s="2856"/>
      <c r="AH26" s="2856"/>
      <c r="AI26" s="2856"/>
      <c r="AJ26" s="2856"/>
      <c r="AK26" s="2856"/>
      <c r="AL26" s="2856"/>
      <c r="AM26" s="2856"/>
      <c r="AN26" s="2856"/>
      <c r="AO26" s="2856"/>
      <c r="AP26" s="2856"/>
      <c r="AQ26" s="2856"/>
      <c r="AR26" s="2856"/>
      <c r="AS26" s="2856"/>
      <c r="AT26" s="2866"/>
      <c r="AU26" s="2867"/>
      <c r="AV26" s="1182">
        <f t="shared" si="11"/>
        <v>0</v>
      </c>
      <c r="AW26" s="1182">
        <f t="shared" si="12"/>
        <v>0</v>
      </c>
      <c r="AX26" s="1182">
        <f t="shared" si="13"/>
        <v>0</v>
      </c>
      <c r="AY26" s="2881">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8">
        <f t="shared" si="35"/>
        <v>0</v>
      </c>
    </row>
    <row r="27" spans="1:72">
      <c r="A27" s="2833"/>
      <c r="B27" s="2834"/>
      <c r="C27" s="2834"/>
      <c r="D27" s="2835"/>
      <c r="E27" s="2836">
        <f t="shared" si="7"/>
        <v>0</v>
      </c>
      <c r="F27" s="2837"/>
      <c r="G27" s="2838">
        <f t="shared" si="8"/>
        <v>0</v>
      </c>
      <c r="H27" s="2839">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6">
        <f t="shared" si="10"/>
        <v>0</v>
      </c>
      <c r="AD27" s="2856"/>
      <c r="AE27" s="2856"/>
      <c r="AF27" s="2856"/>
      <c r="AG27" s="2856"/>
      <c r="AH27" s="2856"/>
      <c r="AI27" s="2856"/>
      <c r="AJ27" s="2856"/>
      <c r="AK27" s="2856"/>
      <c r="AL27" s="2856"/>
      <c r="AM27" s="2856"/>
      <c r="AN27" s="2856"/>
      <c r="AO27" s="2856"/>
      <c r="AP27" s="2856"/>
      <c r="AQ27" s="2856"/>
      <c r="AR27" s="2856"/>
      <c r="AS27" s="2856"/>
      <c r="AT27" s="2866"/>
      <c r="AU27" s="2867"/>
      <c r="AV27" s="1182">
        <f t="shared" si="11"/>
        <v>0</v>
      </c>
      <c r="AW27" s="1182">
        <f t="shared" si="12"/>
        <v>0</v>
      </c>
      <c r="AX27" s="1182">
        <f t="shared" si="13"/>
        <v>0</v>
      </c>
      <c r="AY27" s="2881">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8">
        <f t="shared" si="35"/>
        <v>0</v>
      </c>
    </row>
    <row r="28" spans="1:72">
      <c r="A28" s="2833"/>
      <c r="B28" s="2834"/>
      <c r="C28" s="2834"/>
      <c r="D28" s="2835"/>
      <c r="E28" s="2836">
        <f t="shared" si="7"/>
        <v>0</v>
      </c>
      <c r="F28" s="2837"/>
      <c r="G28" s="2838">
        <f t="shared" si="8"/>
        <v>0</v>
      </c>
      <c r="H28" s="2839">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6">
        <f t="shared" si="10"/>
        <v>0</v>
      </c>
      <c r="AD28" s="2856"/>
      <c r="AE28" s="2856"/>
      <c r="AF28" s="2856"/>
      <c r="AG28" s="2856"/>
      <c r="AH28" s="2856"/>
      <c r="AI28" s="2856"/>
      <c r="AJ28" s="2856"/>
      <c r="AK28" s="2856"/>
      <c r="AL28" s="2856"/>
      <c r="AM28" s="2856"/>
      <c r="AN28" s="2856"/>
      <c r="AO28" s="2856"/>
      <c r="AP28" s="2856"/>
      <c r="AQ28" s="2856"/>
      <c r="AR28" s="2856"/>
      <c r="AS28" s="2856"/>
      <c r="AT28" s="2866"/>
      <c r="AU28" s="2867"/>
      <c r="AV28" s="1182">
        <f t="shared" si="11"/>
        <v>0</v>
      </c>
      <c r="AW28" s="1182">
        <f t="shared" si="12"/>
        <v>0</v>
      </c>
      <c r="AX28" s="1182">
        <f t="shared" si="13"/>
        <v>0</v>
      </c>
      <c r="AY28" s="2881">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8">
        <f t="shared" si="35"/>
        <v>0</v>
      </c>
    </row>
    <row r="29" spans="1:72">
      <c r="A29" s="2833"/>
      <c r="B29" s="2834"/>
      <c r="C29" s="2834"/>
      <c r="D29" s="2835"/>
      <c r="E29" s="2836">
        <f t="shared" si="7"/>
        <v>0</v>
      </c>
      <c r="F29" s="2837"/>
      <c r="G29" s="2838">
        <f t="shared" si="8"/>
        <v>0</v>
      </c>
      <c r="H29" s="2839">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6">
        <f t="shared" si="10"/>
        <v>0</v>
      </c>
      <c r="AD29" s="2856"/>
      <c r="AE29" s="2856"/>
      <c r="AF29" s="2856"/>
      <c r="AG29" s="2856"/>
      <c r="AH29" s="2856"/>
      <c r="AI29" s="2856"/>
      <c r="AJ29" s="2856"/>
      <c r="AK29" s="2856"/>
      <c r="AL29" s="2856"/>
      <c r="AM29" s="2856"/>
      <c r="AN29" s="2856"/>
      <c r="AO29" s="2856"/>
      <c r="AP29" s="2856"/>
      <c r="AQ29" s="2856"/>
      <c r="AR29" s="2856"/>
      <c r="AS29" s="2856"/>
      <c r="AT29" s="2866"/>
      <c r="AU29" s="2867"/>
      <c r="AV29" s="1182">
        <f t="shared" si="11"/>
        <v>0</v>
      </c>
      <c r="AW29" s="1182">
        <f t="shared" si="12"/>
        <v>0</v>
      </c>
      <c r="AX29" s="1182">
        <f t="shared" si="13"/>
        <v>0</v>
      </c>
      <c r="AY29" s="2881">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8">
        <f t="shared" si="35"/>
        <v>0</v>
      </c>
    </row>
    <row r="30" spans="1:72">
      <c r="A30" s="2833"/>
      <c r="B30" s="2834"/>
      <c r="C30" s="2834"/>
      <c r="D30" s="2835"/>
      <c r="E30" s="2836">
        <f t="shared" si="7"/>
        <v>0</v>
      </c>
      <c r="F30" s="2837"/>
      <c r="G30" s="2838">
        <f t="shared" si="8"/>
        <v>0</v>
      </c>
      <c r="H30" s="2839">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6">
        <f t="shared" si="10"/>
        <v>0</v>
      </c>
      <c r="AD30" s="2856"/>
      <c r="AE30" s="2856"/>
      <c r="AF30" s="2856"/>
      <c r="AG30" s="2856"/>
      <c r="AH30" s="2856"/>
      <c r="AI30" s="2856"/>
      <c r="AJ30" s="2856"/>
      <c r="AK30" s="2856"/>
      <c r="AL30" s="2856"/>
      <c r="AM30" s="2856"/>
      <c r="AN30" s="2856"/>
      <c r="AO30" s="2856"/>
      <c r="AP30" s="2856"/>
      <c r="AQ30" s="2856"/>
      <c r="AR30" s="2856"/>
      <c r="AS30" s="2856"/>
      <c r="AT30" s="2866"/>
      <c r="AU30" s="2867"/>
      <c r="AV30" s="1182">
        <f t="shared" si="11"/>
        <v>0</v>
      </c>
      <c r="AW30" s="1182">
        <f t="shared" si="12"/>
        <v>0</v>
      </c>
      <c r="AX30" s="1182">
        <f t="shared" si="13"/>
        <v>0</v>
      </c>
      <c r="AY30" s="2881">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8">
        <f t="shared" si="35"/>
        <v>0</v>
      </c>
    </row>
    <row r="31" spans="1:72">
      <c r="A31" s="2833"/>
      <c r="B31" s="2834"/>
      <c r="C31" s="2834"/>
      <c r="D31" s="2835"/>
      <c r="E31" s="2836">
        <f t="shared" si="7"/>
        <v>0</v>
      </c>
      <c r="F31" s="2837"/>
      <c r="G31" s="2838">
        <f t="shared" si="8"/>
        <v>0</v>
      </c>
      <c r="H31" s="2839">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6">
        <f t="shared" si="10"/>
        <v>0</v>
      </c>
      <c r="AD31" s="2856"/>
      <c r="AE31" s="2856"/>
      <c r="AF31" s="2856"/>
      <c r="AG31" s="2856"/>
      <c r="AH31" s="2856"/>
      <c r="AI31" s="2856"/>
      <c r="AJ31" s="2856"/>
      <c r="AK31" s="2856"/>
      <c r="AL31" s="2856"/>
      <c r="AM31" s="2856"/>
      <c r="AN31" s="2856"/>
      <c r="AO31" s="2856"/>
      <c r="AP31" s="2856"/>
      <c r="AQ31" s="2856"/>
      <c r="AR31" s="2856"/>
      <c r="AS31" s="2856"/>
      <c r="AT31" s="2866"/>
      <c r="AU31" s="2867"/>
      <c r="AV31" s="1182">
        <f t="shared" si="11"/>
        <v>0</v>
      </c>
      <c r="AW31" s="1182">
        <f t="shared" si="12"/>
        <v>0</v>
      </c>
      <c r="AX31" s="1182">
        <f t="shared" si="13"/>
        <v>0</v>
      </c>
      <c r="AY31" s="2881">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8">
        <f t="shared" si="35"/>
        <v>0</v>
      </c>
    </row>
    <row r="32" spans="1:72">
      <c r="A32" s="2833"/>
      <c r="B32" s="2834"/>
      <c r="C32" s="2834"/>
      <c r="D32" s="2835"/>
      <c r="E32" s="2836">
        <f t="shared" si="7"/>
        <v>0</v>
      </c>
      <c r="F32" s="2837"/>
      <c r="G32" s="2838">
        <f t="shared" si="8"/>
        <v>0</v>
      </c>
      <c r="H32" s="2839">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6">
        <f t="shared" si="10"/>
        <v>0</v>
      </c>
      <c r="AD32" s="2856"/>
      <c r="AE32" s="2856"/>
      <c r="AF32" s="2856"/>
      <c r="AG32" s="2856"/>
      <c r="AH32" s="2856"/>
      <c r="AI32" s="2856"/>
      <c r="AJ32" s="2856"/>
      <c r="AK32" s="2856"/>
      <c r="AL32" s="2856"/>
      <c r="AM32" s="2856"/>
      <c r="AN32" s="2856"/>
      <c r="AO32" s="2856"/>
      <c r="AP32" s="2856"/>
      <c r="AQ32" s="2856"/>
      <c r="AR32" s="2856"/>
      <c r="AS32" s="2856"/>
      <c r="AT32" s="2866"/>
      <c r="AU32" s="2867"/>
      <c r="AV32" s="1182">
        <f t="shared" si="11"/>
        <v>0</v>
      </c>
      <c r="AW32" s="1182">
        <f t="shared" si="12"/>
        <v>0</v>
      </c>
      <c r="AX32" s="1182">
        <f t="shared" si="13"/>
        <v>0</v>
      </c>
      <c r="AY32" s="2881">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8">
        <f t="shared" si="35"/>
        <v>0</v>
      </c>
    </row>
    <row r="33" spans="1:72">
      <c r="A33" s="2833"/>
      <c r="B33" s="2834"/>
      <c r="C33" s="2834"/>
      <c r="D33" s="2835"/>
      <c r="E33" s="2836">
        <f t="shared" si="7"/>
        <v>0</v>
      </c>
      <c r="F33" s="2837"/>
      <c r="G33" s="2838">
        <f t="shared" si="8"/>
        <v>0</v>
      </c>
      <c r="H33" s="2839">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6">
        <f t="shared" si="10"/>
        <v>0</v>
      </c>
      <c r="AD33" s="2856"/>
      <c r="AE33" s="2856"/>
      <c r="AF33" s="2856"/>
      <c r="AG33" s="2856"/>
      <c r="AH33" s="2856"/>
      <c r="AI33" s="2856"/>
      <c r="AJ33" s="2856"/>
      <c r="AK33" s="2856"/>
      <c r="AL33" s="2856"/>
      <c r="AM33" s="2856"/>
      <c r="AN33" s="2856"/>
      <c r="AO33" s="2856"/>
      <c r="AP33" s="2856"/>
      <c r="AQ33" s="2856"/>
      <c r="AR33" s="2856"/>
      <c r="AS33" s="2856"/>
      <c r="AT33" s="2866"/>
      <c r="AU33" s="2867"/>
      <c r="AV33" s="1182">
        <f t="shared" si="11"/>
        <v>0</v>
      </c>
      <c r="AW33" s="1182">
        <f t="shared" si="12"/>
        <v>0</v>
      </c>
      <c r="AX33" s="1182">
        <f t="shared" si="13"/>
        <v>0</v>
      </c>
      <c r="AY33" s="2881">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8">
        <f t="shared" si="35"/>
        <v>0</v>
      </c>
    </row>
    <row r="34" spans="1:72">
      <c r="A34" s="2833"/>
      <c r="B34" s="2834"/>
      <c r="C34" s="2834"/>
      <c r="D34" s="2835"/>
      <c r="E34" s="2836">
        <f t="shared" si="7"/>
        <v>0</v>
      </c>
      <c r="F34" s="2837"/>
      <c r="G34" s="2838">
        <f t="shared" si="8"/>
        <v>0</v>
      </c>
      <c r="H34" s="2839">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6">
        <f t="shared" si="10"/>
        <v>0</v>
      </c>
      <c r="AD34" s="2856"/>
      <c r="AE34" s="2856"/>
      <c r="AF34" s="2856"/>
      <c r="AG34" s="2856"/>
      <c r="AH34" s="2856"/>
      <c r="AI34" s="2856"/>
      <c r="AJ34" s="2856"/>
      <c r="AK34" s="2856"/>
      <c r="AL34" s="2856"/>
      <c r="AM34" s="2856"/>
      <c r="AN34" s="2856"/>
      <c r="AO34" s="2856"/>
      <c r="AP34" s="2856"/>
      <c r="AQ34" s="2856"/>
      <c r="AR34" s="2856"/>
      <c r="AS34" s="2856"/>
      <c r="AT34" s="2866"/>
      <c r="AU34" s="2867"/>
      <c r="AV34" s="1182">
        <f t="shared" si="11"/>
        <v>0</v>
      </c>
      <c r="AW34" s="1182">
        <f t="shared" si="12"/>
        <v>0</v>
      </c>
      <c r="AX34" s="1182">
        <f t="shared" si="13"/>
        <v>0</v>
      </c>
      <c r="AY34" s="2881">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8">
        <f t="shared" si="35"/>
        <v>0</v>
      </c>
    </row>
    <row r="35" spans="1:72">
      <c r="A35" s="2833"/>
      <c r="B35" s="2834"/>
      <c r="C35" s="2834"/>
      <c r="D35" s="2835"/>
      <c r="E35" s="2836">
        <f t="shared" si="7"/>
        <v>0</v>
      </c>
      <c r="F35" s="2837"/>
      <c r="G35" s="2838">
        <f t="shared" si="8"/>
        <v>0</v>
      </c>
      <c r="H35" s="2839">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6">
        <f t="shared" si="10"/>
        <v>0</v>
      </c>
      <c r="AD35" s="2856"/>
      <c r="AE35" s="2856"/>
      <c r="AF35" s="2856"/>
      <c r="AG35" s="2856"/>
      <c r="AH35" s="2856"/>
      <c r="AI35" s="2856"/>
      <c r="AJ35" s="2856"/>
      <c r="AK35" s="2856"/>
      <c r="AL35" s="2856"/>
      <c r="AM35" s="2856"/>
      <c r="AN35" s="2856"/>
      <c r="AO35" s="2856"/>
      <c r="AP35" s="2856"/>
      <c r="AQ35" s="2856"/>
      <c r="AR35" s="2856"/>
      <c r="AS35" s="2856"/>
      <c r="AT35" s="2866"/>
      <c r="AU35" s="2867"/>
      <c r="AV35" s="1182">
        <f t="shared" si="11"/>
        <v>0</v>
      </c>
      <c r="AW35" s="1182">
        <f t="shared" si="12"/>
        <v>0</v>
      </c>
      <c r="AX35" s="1182">
        <f t="shared" si="13"/>
        <v>0</v>
      </c>
      <c r="AY35" s="2881">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8">
        <f t="shared" si="35"/>
        <v>0</v>
      </c>
    </row>
    <row r="36" spans="1:72">
      <c r="A36" s="2833"/>
      <c r="B36" s="2834"/>
      <c r="C36" s="2834"/>
      <c r="D36" s="2835"/>
      <c r="E36" s="2836">
        <f t="shared" si="7"/>
        <v>0</v>
      </c>
      <c r="F36" s="2837"/>
      <c r="G36" s="2838">
        <f t="shared" si="8"/>
        <v>0</v>
      </c>
      <c r="H36" s="2839">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6">
        <f t="shared" si="10"/>
        <v>0</v>
      </c>
      <c r="AD36" s="2856"/>
      <c r="AE36" s="2856"/>
      <c r="AF36" s="2856"/>
      <c r="AG36" s="2856"/>
      <c r="AH36" s="2856"/>
      <c r="AI36" s="2856"/>
      <c r="AJ36" s="2856"/>
      <c r="AK36" s="2856"/>
      <c r="AL36" s="2856"/>
      <c r="AM36" s="2856"/>
      <c r="AN36" s="2856"/>
      <c r="AO36" s="2856"/>
      <c r="AP36" s="2856"/>
      <c r="AQ36" s="2856"/>
      <c r="AR36" s="2856"/>
      <c r="AS36" s="2856"/>
      <c r="AT36" s="2866"/>
      <c r="AU36" s="2867"/>
      <c r="AV36" s="1182">
        <f t="shared" si="11"/>
        <v>0</v>
      </c>
      <c r="AW36" s="1182">
        <f t="shared" si="12"/>
        <v>0</v>
      </c>
      <c r="AX36" s="1182">
        <f t="shared" si="13"/>
        <v>0</v>
      </c>
      <c r="AY36" s="2881">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8">
        <f t="shared" si="35"/>
        <v>0</v>
      </c>
    </row>
    <row r="37" spans="1:72">
      <c r="A37" s="2833"/>
      <c r="B37" s="2834"/>
      <c r="C37" s="2834"/>
      <c r="D37" s="2835"/>
      <c r="E37" s="2836">
        <f t="shared" si="7"/>
        <v>0</v>
      </c>
      <c r="F37" s="2837"/>
      <c r="G37" s="2838">
        <f t="shared" si="8"/>
        <v>0</v>
      </c>
      <c r="H37" s="2839">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6">
        <f t="shared" si="10"/>
        <v>0</v>
      </c>
      <c r="AD37" s="2856"/>
      <c r="AE37" s="2856"/>
      <c r="AF37" s="2856"/>
      <c r="AG37" s="2856"/>
      <c r="AH37" s="2856"/>
      <c r="AI37" s="2856"/>
      <c r="AJ37" s="2856"/>
      <c r="AK37" s="2856"/>
      <c r="AL37" s="2856"/>
      <c r="AM37" s="2856"/>
      <c r="AN37" s="2856"/>
      <c r="AO37" s="2856"/>
      <c r="AP37" s="2856"/>
      <c r="AQ37" s="2856"/>
      <c r="AR37" s="2856"/>
      <c r="AS37" s="2856"/>
      <c r="AT37" s="2866"/>
      <c r="AU37" s="2867"/>
      <c r="AV37" s="1182">
        <f t="shared" si="11"/>
        <v>0</v>
      </c>
      <c r="AW37" s="1182">
        <f t="shared" si="12"/>
        <v>0</v>
      </c>
      <c r="AX37" s="1182">
        <f t="shared" si="13"/>
        <v>0</v>
      </c>
      <c r="AY37" s="2881">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8">
        <f t="shared" si="35"/>
        <v>0</v>
      </c>
    </row>
    <row r="38" spans="1:72">
      <c r="A38" s="2833"/>
      <c r="B38" s="2834"/>
      <c r="C38" s="2834"/>
      <c r="D38" s="2835"/>
      <c r="E38" s="2836">
        <f t="shared" si="7"/>
        <v>0</v>
      </c>
      <c r="F38" s="2837"/>
      <c r="G38" s="2838">
        <f t="shared" si="8"/>
        <v>0</v>
      </c>
      <c r="H38" s="2839">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6">
        <f t="shared" si="10"/>
        <v>0</v>
      </c>
      <c r="AD38" s="2856"/>
      <c r="AE38" s="2856"/>
      <c r="AF38" s="2856"/>
      <c r="AG38" s="2856"/>
      <c r="AH38" s="2856"/>
      <c r="AI38" s="2856"/>
      <c r="AJ38" s="2856"/>
      <c r="AK38" s="2856"/>
      <c r="AL38" s="2856"/>
      <c r="AM38" s="2856"/>
      <c r="AN38" s="2856"/>
      <c r="AO38" s="2856"/>
      <c r="AP38" s="2856"/>
      <c r="AQ38" s="2856"/>
      <c r="AR38" s="2856"/>
      <c r="AS38" s="2856"/>
      <c r="AT38" s="2866"/>
      <c r="AU38" s="2867"/>
      <c r="AV38" s="1182">
        <f t="shared" si="11"/>
        <v>0</v>
      </c>
      <c r="AW38" s="1182">
        <f t="shared" si="12"/>
        <v>0</v>
      </c>
      <c r="AX38" s="1182">
        <f t="shared" si="13"/>
        <v>0</v>
      </c>
      <c r="AY38" s="2881">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8">
        <f t="shared" si="35"/>
        <v>0</v>
      </c>
    </row>
    <row r="39" spans="1:72">
      <c r="A39" s="2833"/>
      <c r="B39" s="2834"/>
      <c r="C39" s="2834"/>
      <c r="D39" s="2835"/>
      <c r="E39" s="2836">
        <f t="shared" si="7"/>
        <v>0</v>
      </c>
      <c r="F39" s="2837"/>
      <c r="G39" s="2838">
        <f t="shared" si="8"/>
        <v>0</v>
      </c>
      <c r="H39" s="2839">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6">
        <f t="shared" si="10"/>
        <v>0</v>
      </c>
      <c r="AD39" s="2856"/>
      <c r="AE39" s="2856"/>
      <c r="AF39" s="2856"/>
      <c r="AG39" s="2856"/>
      <c r="AH39" s="2856"/>
      <c r="AI39" s="2856"/>
      <c r="AJ39" s="2856"/>
      <c r="AK39" s="2856"/>
      <c r="AL39" s="2856"/>
      <c r="AM39" s="2856"/>
      <c r="AN39" s="2856"/>
      <c r="AO39" s="2856"/>
      <c r="AP39" s="2856"/>
      <c r="AQ39" s="2856"/>
      <c r="AR39" s="2856"/>
      <c r="AS39" s="2856"/>
      <c r="AT39" s="2866"/>
      <c r="AU39" s="2867"/>
      <c r="AV39" s="1182">
        <f t="shared" si="11"/>
        <v>0</v>
      </c>
      <c r="AW39" s="1182">
        <f t="shared" si="12"/>
        <v>0</v>
      </c>
      <c r="AX39" s="1182">
        <f t="shared" si="13"/>
        <v>0</v>
      </c>
      <c r="AY39" s="2881">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8">
        <f t="shared" si="35"/>
        <v>0</v>
      </c>
    </row>
    <row r="40" spans="1:72">
      <c r="A40" s="2833"/>
      <c r="B40" s="2834"/>
      <c r="C40" s="2834"/>
      <c r="D40" s="2835"/>
      <c r="E40" s="2836">
        <f t="shared" si="7"/>
        <v>0</v>
      </c>
      <c r="F40" s="2837"/>
      <c r="G40" s="2838">
        <f t="shared" si="8"/>
        <v>0</v>
      </c>
      <c r="H40" s="2839">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6">
        <f t="shared" si="10"/>
        <v>0</v>
      </c>
      <c r="AD40" s="2856"/>
      <c r="AE40" s="2856"/>
      <c r="AF40" s="2856"/>
      <c r="AG40" s="2856"/>
      <c r="AH40" s="2856"/>
      <c r="AI40" s="2856"/>
      <c r="AJ40" s="2856"/>
      <c r="AK40" s="2856"/>
      <c r="AL40" s="2856"/>
      <c r="AM40" s="2856"/>
      <c r="AN40" s="2856"/>
      <c r="AO40" s="2856"/>
      <c r="AP40" s="2856"/>
      <c r="AQ40" s="2856"/>
      <c r="AR40" s="2856"/>
      <c r="AS40" s="2856"/>
      <c r="AT40" s="2866"/>
      <c r="AU40" s="2867"/>
      <c r="AV40" s="1182">
        <f t="shared" si="11"/>
        <v>0</v>
      </c>
      <c r="AW40" s="1182">
        <f t="shared" si="12"/>
        <v>0</v>
      </c>
      <c r="AX40" s="1182">
        <f t="shared" si="13"/>
        <v>0</v>
      </c>
      <c r="AY40" s="2881">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8">
        <f t="shared" si="35"/>
        <v>0</v>
      </c>
    </row>
    <row r="41" spans="1:72">
      <c r="A41" s="2833"/>
      <c r="B41" s="2834"/>
      <c r="C41" s="2834"/>
      <c r="D41" s="2835"/>
      <c r="E41" s="2836">
        <f t="shared" si="7"/>
        <v>0</v>
      </c>
      <c r="F41" s="2837"/>
      <c r="G41" s="2838">
        <f t="shared" si="8"/>
        <v>0</v>
      </c>
      <c r="H41" s="2839">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6">
        <f t="shared" si="10"/>
        <v>0</v>
      </c>
      <c r="AD41" s="2856"/>
      <c r="AE41" s="2856"/>
      <c r="AF41" s="2856"/>
      <c r="AG41" s="2856"/>
      <c r="AH41" s="2856"/>
      <c r="AI41" s="2856"/>
      <c r="AJ41" s="2856"/>
      <c r="AK41" s="2856"/>
      <c r="AL41" s="2856"/>
      <c r="AM41" s="2856"/>
      <c r="AN41" s="2856"/>
      <c r="AO41" s="2856"/>
      <c r="AP41" s="2856"/>
      <c r="AQ41" s="2856"/>
      <c r="AR41" s="2856"/>
      <c r="AS41" s="2856"/>
      <c r="AT41" s="2866"/>
      <c r="AU41" s="2867"/>
      <c r="AV41" s="1182">
        <f t="shared" si="11"/>
        <v>0</v>
      </c>
      <c r="AW41" s="1182">
        <f t="shared" si="12"/>
        <v>0</v>
      </c>
      <c r="AX41" s="1182">
        <f t="shared" si="13"/>
        <v>0</v>
      </c>
      <c r="AY41" s="2881">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8">
        <f t="shared" si="35"/>
        <v>0</v>
      </c>
    </row>
    <row r="42" spans="1:72">
      <c r="A42" s="2833"/>
      <c r="B42" s="2834"/>
      <c r="C42" s="2834"/>
      <c r="D42" s="2835"/>
      <c r="E42" s="2836">
        <f t="shared" si="7"/>
        <v>0</v>
      </c>
      <c r="F42" s="2837"/>
      <c r="G42" s="2838">
        <f t="shared" si="8"/>
        <v>0</v>
      </c>
      <c r="H42" s="2839">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6">
        <f t="shared" si="10"/>
        <v>0</v>
      </c>
      <c r="AD42" s="2856"/>
      <c r="AE42" s="2856"/>
      <c r="AF42" s="2856"/>
      <c r="AG42" s="2856"/>
      <c r="AH42" s="2856"/>
      <c r="AI42" s="2856"/>
      <c r="AJ42" s="2856"/>
      <c r="AK42" s="2856"/>
      <c r="AL42" s="2856"/>
      <c r="AM42" s="2856"/>
      <c r="AN42" s="2856"/>
      <c r="AO42" s="2856"/>
      <c r="AP42" s="2856"/>
      <c r="AQ42" s="2856"/>
      <c r="AR42" s="2856"/>
      <c r="AS42" s="2856"/>
      <c r="AT42" s="2866"/>
      <c r="AU42" s="2867"/>
      <c r="AV42" s="1182">
        <f t="shared" si="11"/>
        <v>0</v>
      </c>
      <c r="AW42" s="1182">
        <f t="shared" si="12"/>
        <v>0</v>
      </c>
      <c r="AX42" s="1182">
        <f t="shared" si="13"/>
        <v>0</v>
      </c>
      <c r="AY42" s="2881">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8">
        <f t="shared" si="35"/>
        <v>0</v>
      </c>
    </row>
    <row r="43" spans="1:72">
      <c r="A43" s="2833"/>
      <c r="B43" s="2834"/>
      <c r="C43" s="2834"/>
      <c r="D43" s="2835"/>
      <c r="E43" s="2836">
        <f t="shared" si="7"/>
        <v>0</v>
      </c>
      <c r="F43" s="2837"/>
      <c r="G43" s="2838">
        <f t="shared" si="8"/>
        <v>0</v>
      </c>
      <c r="H43" s="2839">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6">
        <f t="shared" si="10"/>
        <v>0</v>
      </c>
      <c r="AD43" s="2856"/>
      <c r="AE43" s="2856"/>
      <c r="AF43" s="2856"/>
      <c r="AG43" s="2856"/>
      <c r="AH43" s="2856"/>
      <c r="AI43" s="2856"/>
      <c r="AJ43" s="2856"/>
      <c r="AK43" s="2856"/>
      <c r="AL43" s="2856"/>
      <c r="AM43" s="2856"/>
      <c r="AN43" s="2856"/>
      <c r="AO43" s="2856"/>
      <c r="AP43" s="2856"/>
      <c r="AQ43" s="2856"/>
      <c r="AR43" s="2856"/>
      <c r="AS43" s="2856"/>
      <c r="AT43" s="2866"/>
      <c r="AU43" s="2867"/>
      <c r="AV43" s="1182">
        <f t="shared" si="11"/>
        <v>0</v>
      </c>
      <c r="AW43" s="1182">
        <f t="shared" si="12"/>
        <v>0</v>
      </c>
      <c r="AX43" s="1182">
        <f t="shared" si="13"/>
        <v>0</v>
      </c>
      <c r="AY43" s="2881">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8">
        <f t="shared" si="35"/>
        <v>0</v>
      </c>
    </row>
    <row r="44" spans="1:72">
      <c r="A44" s="2833"/>
      <c r="B44" s="2834"/>
      <c r="C44" s="2834"/>
      <c r="D44" s="2835"/>
      <c r="E44" s="2836">
        <f t="shared" si="7"/>
        <v>0</v>
      </c>
      <c r="F44" s="2837"/>
      <c r="G44" s="2838">
        <f t="shared" si="8"/>
        <v>0</v>
      </c>
      <c r="H44" s="2839">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6">
        <f t="shared" si="10"/>
        <v>0</v>
      </c>
      <c r="AD44" s="2856"/>
      <c r="AE44" s="2856"/>
      <c r="AF44" s="2856"/>
      <c r="AG44" s="2856"/>
      <c r="AH44" s="2856"/>
      <c r="AI44" s="2856"/>
      <c r="AJ44" s="2856"/>
      <c r="AK44" s="2856"/>
      <c r="AL44" s="2856"/>
      <c r="AM44" s="2856"/>
      <c r="AN44" s="2856"/>
      <c r="AO44" s="2856"/>
      <c r="AP44" s="2856"/>
      <c r="AQ44" s="2856"/>
      <c r="AR44" s="2856"/>
      <c r="AS44" s="2856"/>
      <c r="AT44" s="2866"/>
      <c r="AU44" s="2867"/>
      <c r="AV44" s="1182">
        <f t="shared" si="11"/>
        <v>0</v>
      </c>
      <c r="AW44" s="1182">
        <f t="shared" si="12"/>
        <v>0</v>
      </c>
      <c r="AX44" s="1182">
        <f t="shared" si="13"/>
        <v>0</v>
      </c>
      <c r="AY44" s="2881">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8">
        <f t="shared" si="35"/>
        <v>0</v>
      </c>
    </row>
    <row r="45" spans="1:72">
      <c r="A45" s="2833"/>
      <c r="B45" s="2834"/>
      <c r="C45" s="2834"/>
      <c r="D45" s="2835"/>
      <c r="E45" s="2836">
        <f t="shared" si="7"/>
        <v>0</v>
      </c>
      <c r="F45" s="2837"/>
      <c r="G45" s="2838">
        <f t="shared" si="8"/>
        <v>0</v>
      </c>
      <c r="H45" s="2839">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6">
        <f t="shared" si="10"/>
        <v>0</v>
      </c>
      <c r="AD45" s="2856"/>
      <c r="AE45" s="2856"/>
      <c r="AF45" s="2856"/>
      <c r="AG45" s="2856"/>
      <c r="AH45" s="2856"/>
      <c r="AI45" s="2856"/>
      <c r="AJ45" s="2856"/>
      <c r="AK45" s="2856"/>
      <c r="AL45" s="2856"/>
      <c r="AM45" s="2856"/>
      <c r="AN45" s="2856"/>
      <c r="AO45" s="2856"/>
      <c r="AP45" s="2856"/>
      <c r="AQ45" s="2856"/>
      <c r="AR45" s="2856"/>
      <c r="AS45" s="2856"/>
      <c r="AT45" s="2866"/>
      <c r="AU45" s="2867"/>
      <c r="AV45" s="1182">
        <f t="shared" si="11"/>
        <v>0</v>
      </c>
      <c r="AW45" s="1182">
        <f t="shared" si="12"/>
        <v>0</v>
      </c>
      <c r="AX45" s="1182">
        <f t="shared" si="13"/>
        <v>0</v>
      </c>
      <c r="AY45" s="2881">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8">
        <f t="shared" si="35"/>
        <v>0</v>
      </c>
    </row>
    <row r="46" spans="1:72">
      <c r="A46" s="2833"/>
      <c r="B46" s="2834"/>
      <c r="C46" s="2834"/>
      <c r="D46" s="2835"/>
      <c r="E46" s="2836">
        <f t="shared" si="7"/>
        <v>0</v>
      </c>
      <c r="F46" s="2837"/>
      <c r="G46" s="2838">
        <f t="shared" si="8"/>
        <v>0</v>
      </c>
      <c r="H46" s="2839">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6">
        <f t="shared" si="10"/>
        <v>0</v>
      </c>
      <c r="AD46" s="2856"/>
      <c r="AE46" s="2856"/>
      <c r="AF46" s="2856"/>
      <c r="AG46" s="2856"/>
      <c r="AH46" s="2856"/>
      <c r="AI46" s="2856"/>
      <c r="AJ46" s="2856"/>
      <c r="AK46" s="2856"/>
      <c r="AL46" s="2856"/>
      <c r="AM46" s="2856"/>
      <c r="AN46" s="2856"/>
      <c r="AO46" s="2856"/>
      <c r="AP46" s="2856"/>
      <c r="AQ46" s="2856"/>
      <c r="AR46" s="2856"/>
      <c r="AS46" s="2856"/>
      <c r="AT46" s="2866"/>
      <c r="AU46" s="2867"/>
      <c r="AV46" s="1182">
        <f t="shared" si="11"/>
        <v>0</v>
      </c>
      <c r="AW46" s="1182">
        <f t="shared" si="12"/>
        <v>0</v>
      </c>
      <c r="AX46" s="1182">
        <f t="shared" si="13"/>
        <v>0</v>
      </c>
      <c r="AY46" s="2881">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8">
        <f t="shared" si="35"/>
        <v>0</v>
      </c>
    </row>
    <row r="47" spans="1:72">
      <c r="A47" s="2833"/>
      <c r="B47" s="2834"/>
      <c r="C47" s="2834"/>
      <c r="D47" s="2835"/>
      <c r="E47" s="2836">
        <f t="shared" si="7"/>
        <v>0</v>
      </c>
      <c r="F47" s="2837"/>
      <c r="G47" s="2838">
        <f t="shared" si="8"/>
        <v>0</v>
      </c>
      <c r="H47" s="2839">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6">
        <f t="shared" si="10"/>
        <v>0</v>
      </c>
      <c r="AD47" s="2856"/>
      <c r="AE47" s="2856"/>
      <c r="AF47" s="2856"/>
      <c r="AG47" s="2856"/>
      <c r="AH47" s="2856"/>
      <c r="AI47" s="2856"/>
      <c r="AJ47" s="2856"/>
      <c r="AK47" s="2856"/>
      <c r="AL47" s="2856"/>
      <c r="AM47" s="2856"/>
      <c r="AN47" s="2856"/>
      <c r="AO47" s="2856"/>
      <c r="AP47" s="2856"/>
      <c r="AQ47" s="2856"/>
      <c r="AR47" s="2856"/>
      <c r="AS47" s="2856"/>
      <c r="AT47" s="2866"/>
      <c r="AU47" s="2867"/>
      <c r="AV47" s="1182">
        <f t="shared" si="11"/>
        <v>0</v>
      </c>
      <c r="AW47" s="1182">
        <f t="shared" si="12"/>
        <v>0</v>
      </c>
      <c r="AX47" s="1182">
        <f t="shared" si="13"/>
        <v>0</v>
      </c>
      <c r="AY47" s="2881">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8">
        <f t="shared" si="35"/>
        <v>0</v>
      </c>
    </row>
    <row r="48" spans="1:72">
      <c r="A48" s="2833"/>
      <c r="B48" s="2834"/>
      <c r="C48" s="2834"/>
      <c r="D48" s="2835"/>
      <c r="E48" s="2836">
        <f t="shared" si="7"/>
        <v>0</v>
      </c>
      <c r="F48" s="2837"/>
      <c r="G48" s="2838">
        <f t="shared" si="8"/>
        <v>0</v>
      </c>
      <c r="H48" s="2839">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6">
        <f t="shared" si="10"/>
        <v>0</v>
      </c>
      <c r="AD48" s="2856"/>
      <c r="AE48" s="2856"/>
      <c r="AF48" s="2856"/>
      <c r="AG48" s="2856"/>
      <c r="AH48" s="2856"/>
      <c r="AI48" s="2856"/>
      <c r="AJ48" s="2856"/>
      <c r="AK48" s="2856"/>
      <c r="AL48" s="2856"/>
      <c r="AM48" s="2856"/>
      <c r="AN48" s="2856"/>
      <c r="AO48" s="2856"/>
      <c r="AP48" s="2856"/>
      <c r="AQ48" s="2856"/>
      <c r="AR48" s="2856"/>
      <c r="AS48" s="2856"/>
      <c r="AT48" s="2866"/>
      <c r="AU48" s="2867"/>
      <c r="AV48" s="1182">
        <f t="shared" si="11"/>
        <v>0</v>
      </c>
      <c r="AW48" s="1182">
        <f t="shared" si="12"/>
        <v>0</v>
      </c>
      <c r="AX48" s="1182">
        <f t="shared" si="13"/>
        <v>0</v>
      </c>
      <c r="AY48" s="2881">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8">
        <f t="shared" si="35"/>
        <v>0</v>
      </c>
    </row>
    <row r="49" spans="1:72">
      <c r="A49" s="2833"/>
      <c r="B49" s="2834"/>
      <c r="C49" s="2834"/>
      <c r="D49" s="2835"/>
      <c r="E49" s="2836">
        <f t="shared" si="7"/>
        <v>0</v>
      </c>
      <c r="F49" s="2837"/>
      <c r="G49" s="2838">
        <f t="shared" si="8"/>
        <v>0</v>
      </c>
      <c r="H49" s="2839">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6">
        <f t="shared" si="10"/>
        <v>0</v>
      </c>
      <c r="AD49" s="2856"/>
      <c r="AE49" s="2856"/>
      <c r="AF49" s="2856"/>
      <c r="AG49" s="2856"/>
      <c r="AH49" s="2856"/>
      <c r="AI49" s="2856"/>
      <c r="AJ49" s="2856"/>
      <c r="AK49" s="2856"/>
      <c r="AL49" s="2856"/>
      <c r="AM49" s="2856"/>
      <c r="AN49" s="2856"/>
      <c r="AO49" s="2856"/>
      <c r="AP49" s="2856"/>
      <c r="AQ49" s="2856"/>
      <c r="AR49" s="2856"/>
      <c r="AS49" s="2856"/>
      <c r="AT49" s="2866"/>
      <c r="AU49" s="2867"/>
      <c r="AV49" s="1182">
        <f t="shared" si="11"/>
        <v>0</v>
      </c>
      <c r="AW49" s="1182">
        <f t="shared" si="12"/>
        <v>0</v>
      </c>
      <c r="AX49" s="1182">
        <f t="shared" si="13"/>
        <v>0</v>
      </c>
      <c r="AY49" s="2881">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8">
        <f t="shared" si="35"/>
        <v>0</v>
      </c>
    </row>
    <row r="50" spans="1:72">
      <c r="A50" s="2833"/>
      <c r="B50" s="2834"/>
      <c r="C50" s="2834"/>
      <c r="D50" s="2835"/>
      <c r="E50" s="2836">
        <f t="shared" si="7"/>
        <v>0</v>
      </c>
      <c r="F50" s="2837"/>
      <c r="G50" s="2838">
        <f t="shared" si="8"/>
        <v>0</v>
      </c>
      <c r="H50" s="2839">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6">
        <f t="shared" si="10"/>
        <v>0</v>
      </c>
      <c r="AD50" s="2856"/>
      <c r="AE50" s="2856"/>
      <c r="AF50" s="2856"/>
      <c r="AG50" s="2856"/>
      <c r="AH50" s="2856"/>
      <c r="AI50" s="2856"/>
      <c r="AJ50" s="2856"/>
      <c r="AK50" s="2856"/>
      <c r="AL50" s="2856"/>
      <c r="AM50" s="2856"/>
      <c r="AN50" s="2856"/>
      <c r="AO50" s="2856"/>
      <c r="AP50" s="2856"/>
      <c r="AQ50" s="2856"/>
      <c r="AR50" s="2856"/>
      <c r="AS50" s="2856"/>
      <c r="AT50" s="2866"/>
      <c r="AU50" s="2867"/>
      <c r="AV50" s="1182">
        <f t="shared" si="11"/>
        <v>0</v>
      </c>
      <c r="AW50" s="1182">
        <f t="shared" si="12"/>
        <v>0</v>
      </c>
      <c r="AX50" s="1182">
        <f t="shared" si="13"/>
        <v>0</v>
      </c>
      <c r="AY50" s="2881">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8">
        <f t="shared" si="35"/>
        <v>0</v>
      </c>
    </row>
    <row r="51" spans="1:72">
      <c r="A51" s="2833"/>
      <c r="B51" s="2834"/>
      <c r="C51" s="2834"/>
      <c r="D51" s="2835"/>
      <c r="E51" s="2836">
        <f t="shared" si="7"/>
        <v>0</v>
      </c>
      <c r="F51" s="2837"/>
      <c r="G51" s="2838">
        <f t="shared" si="8"/>
        <v>0</v>
      </c>
      <c r="H51" s="2839">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6">
        <f t="shared" si="10"/>
        <v>0</v>
      </c>
      <c r="AD51" s="2856"/>
      <c r="AE51" s="2856"/>
      <c r="AF51" s="2856"/>
      <c r="AG51" s="2856"/>
      <c r="AH51" s="2856"/>
      <c r="AI51" s="2856"/>
      <c r="AJ51" s="2856"/>
      <c r="AK51" s="2856"/>
      <c r="AL51" s="2856"/>
      <c r="AM51" s="2856"/>
      <c r="AN51" s="2856"/>
      <c r="AO51" s="2856"/>
      <c r="AP51" s="2856"/>
      <c r="AQ51" s="2856"/>
      <c r="AR51" s="2856"/>
      <c r="AS51" s="2856"/>
      <c r="AT51" s="2866"/>
      <c r="AU51" s="2867"/>
      <c r="AV51" s="1182">
        <f t="shared" si="11"/>
        <v>0</v>
      </c>
      <c r="AW51" s="1182">
        <f t="shared" si="12"/>
        <v>0</v>
      </c>
      <c r="AX51" s="1182">
        <f t="shared" si="13"/>
        <v>0</v>
      </c>
      <c r="AY51" s="2881">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8">
        <f t="shared" si="35"/>
        <v>0</v>
      </c>
    </row>
    <row r="52" spans="1:72">
      <c r="A52" s="2833"/>
      <c r="B52" s="2834"/>
      <c r="C52" s="2834"/>
      <c r="D52" s="2835"/>
      <c r="E52" s="2836">
        <f t="shared" si="7"/>
        <v>0</v>
      </c>
      <c r="F52" s="2837"/>
      <c r="G52" s="2838">
        <f t="shared" si="8"/>
        <v>0</v>
      </c>
      <c r="H52" s="2839">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6">
        <f t="shared" si="10"/>
        <v>0</v>
      </c>
      <c r="AD52" s="2856"/>
      <c r="AE52" s="2856"/>
      <c r="AF52" s="2856"/>
      <c r="AG52" s="2856"/>
      <c r="AH52" s="2856"/>
      <c r="AI52" s="2856"/>
      <c r="AJ52" s="2856"/>
      <c r="AK52" s="2856"/>
      <c r="AL52" s="2856"/>
      <c r="AM52" s="2856"/>
      <c r="AN52" s="2856"/>
      <c r="AO52" s="2856"/>
      <c r="AP52" s="2856"/>
      <c r="AQ52" s="2856"/>
      <c r="AR52" s="2856"/>
      <c r="AS52" s="2856"/>
      <c r="AT52" s="2866"/>
      <c r="AU52" s="2867"/>
      <c r="AV52" s="1182">
        <f t="shared" si="11"/>
        <v>0</v>
      </c>
      <c r="AW52" s="1182">
        <f t="shared" si="12"/>
        <v>0</v>
      </c>
      <c r="AX52" s="1182">
        <f t="shared" si="13"/>
        <v>0</v>
      </c>
      <c r="AY52" s="2881">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8">
        <f t="shared" si="35"/>
        <v>0</v>
      </c>
    </row>
    <row r="53" spans="1:72">
      <c r="A53" s="2833"/>
      <c r="B53" s="2834"/>
      <c r="C53" s="2834"/>
      <c r="D53" s="2835"/>
      <c r="E53" s="2836">
        <f t="shared" si="7"/>
        <v>0</v>
      </c>
      <c r="F53" s="2837"/>
      <c r="G53" s="2838">
        <f t="shared" si="8"/>
        <v>0</v>
      </c>
      <c r="H53" s="2839">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6">
        <f t="shared" si="10"/>
        <v>0</v>
      </c>
      <c r="AD53" s="2856"/>
      <c r="AE53" s="2856"/>
      <c r="AF53" s="2856"/>
      <c r="AG53" s="2856"/>
      <c r="AH53" s="2856"/>
      <c r="AI53" s="2856"/>
      <c r="AJ53" s="2856"/>
      <c r="AK53" s="2856"/>
      <c r="AL53" s="2856"/>
      <c r="AM53" s="2856"/>
      <c r="AN53" s="2856"/>
      <c r="AO53" s="2856"/>
      <c r="AP53" s="2856"/>
      <c r="AQ53" s="2856"/>
      <c r="AR53" s="2856"/>
      <c r="AS53" s="2856"/>
      <c r="AT53" s="2866"/>
      <c r="AU53" s="2867"/>
      <c r="AV53" s="1182">
        <f t="shared" si="11"/>
        <v>0</v>
      </c>
      <c r="AW53" s="1182">
        <f t="shared" si="12"/>
        <v>0</v>
      </c>
      <c r="AX53" s="1182">
        <f t="shared" si="13"/>
        <v>0</v>
      </c>
      <c r="AY53" s="2881">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8">
        <f t="shared" si="35"/>
        <v>0</v>
      </c>
    </row>
    <row r="54" spans="1:72">
      <c r="A54" s="2833"/>
      <c r="B54" s="2834"/>
      <c r="C54" s="2834"/>
      <c r="D54" s="2835"/>
      <c r="E54" s="2836">
        <f t="shared" si="7"/>
        <v>0</v>
      </c>
      <c r="F54" s="2837"/>
      <c r="G54" s="2838">
        <f t="shared" si="8"/>
        <v>0</v>
      </c>
      <c r="H54" s="2839">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6">
        <f t="shared" si="10"/>
        <v>0</v>
      </c>
      <c r="AD54" s="2856"/>
      <c r="AE54" s="2856"/>
      <c r="AF54" s="2856"/>
      <c r="AG54" s="2856"/>
      <c r="AH54" s="2856"/>
      <c r="AI54" s="2856"/>
      <c r="AJ54" s="2856"/>
      <c r="AK54" s="2856"/>
      <c r="AL54" s="2856"/>
      <c r="AM54" s="2856"/>
      <c r="AN54" s="2856"/>
      <c r="AO54" s="2856"/>
      <c r="AP54" s="2856"/>
      <c r="AQ54" s="2856"/>
      <c r="AR54" s="2856"/>
      <c r="AS54" s="2856"/>
      <c r="AT54" s="2866"/>
      <c r="AU54" s="2867"/>
      <c r="AV54" s="1182">
        <f t="shared" si="11"/>
        <v>0</v>
      </c>
      <c r="AW54" s="1182">
        <f t="shared" si="12"/>
        <v>0</v>
      </c>
      <c r="AX54" s="1182">
        <f t="shared" si="13"/>
        <v>0</v>
      </c>
      <c r="AY54" s="2881">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8">
        <f t="shared" si="35"/>
        <v>0</v>
      </c>
    </row>
    <row r="55" spans="1:72">
      <c r="A55" s="2833"/>
      <c r="B55" s="2834"/>
      <c r="C55" s="2834"/>
      <c r="D55" s="2835"/>
      <c r="E55" s="2836">
        <f t="shared" si="7"/>
        <v>0</v>
      </c>
      <c r="F55" s="2837"/>
      <c r="G55" s="2838">
        <f t="shared" si="8"/>
        <v>0</v>
      </c>
      <c r="H55" s="2839">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6">
        <f t="shared" si="10"/>
        <v>0</v>
      </c>
      <c r="AD55" s="2856"/>
      <c r="AE55" s="2856"/>
      <c r="AF55" s="2856"/>
      <c r="AG55" s="2856"/>
      <c r="AH55" s="2856"/>
      <c r="AI55" s="2856"/>
      <c r="AJ55" s="2856"/>
      <c r="AK55" s="2856"/>
      <c r="AL55" s="2856"/>
      <c r="AM55" s="2856"/>
      <c r="AN55" s="2856"/>
      <c r="AO55" s="2856"/>
      <c r="AP55" s="2856"/>
      <c r="AQ55" s="2856"/>
      <c r="AR55" s="2856"/>
      <c r="AS55" s="2856"/>
      <c r="AT55" s="2866"/>
      <c r="AU55" s="2867"/>
      <c r="AV55" s="1182">
        <f t="shared" si="11"/>
        <v>0</v>
      </c>
      <c r="AW55" s="1182">
        <f t="shared" si="12"/>
        <v>0</v>
      </c>
      <c r="AX55" s="1182">
        <f t="shared" si="13"/>
        <v>0</v>
      </c>
      <c r="AY55" s="2881">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8">
        <f t="shared" si="35"/>
        <v>0</v>
      </c>
    </row>
    <row r="56" spans="1:72">
      <c r="A56" s="2833"/>
      <c r="B56" s="2834"/>
      <c r="C56" s="2834"/>
      <c r="D56" s="2835"/>
      <c r="E56" s="2836">
        <f t="shared" si="7"/>
        <v>0</v>
      </c>
      <c r="F56" s="2837"/>
      <c r="G56" s="2838">
        <f t="shared" si="8"/>
        <v>0</v>
      </c>
      <c r="H56" s="2839">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6">
        <f t="shared" si="10"/>
        <v>0</v>
      </c>
      <c r="AD56" s="2856"/>
      <c r="AE56" s="2856"/>
      <c r="AF56" s="2856"/>
      <c r="AG56" s="2856"/>
      <c r="AH56" s="2856"/>
      <c r="AI56" s="2856"/>
      <c r="AJ56" s="2856"/>
      <c r="AK56" s="2856"/>
      <c r="AL56" s="2856"/>
      <c r="AM56" s="2856"/>
      <c r="AN56" s="2856"/>
      <c r="AO56" s="2856"/>
      <c r="AP56" s="2856"/>
      <c r="AQ56" s="2856"/>
      <c r="AR56" s="2856"/>
      <c r="AS56" s="2856"/>
      <c r="AT56" s="2866"/>
      <c r="AU56" s="2867"/>
      <c r="AV56" s="1182">
        <f t="shared" si="11"/>
        <v>0</v>
      </c>
      <c r="AW56" s="1182">
        <f t="shared" si="12"/>
        <v>0</v>
      </c>
      <c r="AX56" s="1182">
        <f t="shared" si="13"/>
        <v>0</v>
      </c>
      <c r="AY56" s="2881">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8">
        <f t="shared" si="35"/>
        <v>0</v>
      </c>
    </row>
    <row r="57" spans="1:72">
      <c r="A57" s="2833"/>
      <c r="B57" s="2834"/>
      <c r="C57" s="2834"/>
      <c r="D57" s="2835"/>
      <c r="E57" s="2836">
        <f t="shared" si="7"/>
        <v>0</v>
      </c>
      <c r="F57" s="2837"/>
      <c r="G57" s="2838">
        <f t="shared" si="8"/>
        <v>0</v>
      </c>
      <c r="H57" s="2839">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6">
        <f t="shared" si="10"/>
        <v>0</v>
      </c>
      <c r="AD57" s="2856"/>
      <c r="AE57" s="2856"/>
      <c r="AF57" s="2856"/>
      <c r="AG57" s="2856"/>
      <c r="AH57" s="2856"/>
      <c r="AI57" s="2856"/>
      <c r="AJ57" s="2856"/>
      <c r="AK57" s="2856"/>
      <c r="AL57" s="2856"/>
      <c r="AM57" s="2856"/>
      <c r="AN57" s="2856"/>
      <c r="AO57" s="2856"/>
      <c r="AP57" s="2856"/>
      <c r="AQ57" s="2856"/>
      <c r="AR57" s="2856"/>
      <c r="AS57" s="2856"/>
      <c r="AT57" s="2866"/>
      <c r="AU57" s="2867"/>
      <c r="AV57" s="1182">
        <f t="shared" si="11"/>
        <v>0</v>
      </c>
      <c r="AW57" s="1182">
        <f t="shared" si="12"/>
        <v>0</v>
      </c>
      <c r="AX57" s="1182">
        <f t="shared" si="13"/>
        <v>0</v>
      </c>
      <c r="AY57" s="2881">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8">
        <f t="shared" si="35"/>
        <v>0</v>
      </c>
    </row>
    <row r="58" spans="1:72">
      <c r="A58" s="2833"/>
      <c r="B58" s="2834"/>
      <c r="C58" s="2834"/>
      <c r="D58" s="2835"/>
      <c r="E58" s="2836">
        <f t="shared" si="7"/>
        <v>0</v>
      </c>
      <c r="F58" s="2837"/>
      <c r="G58" s="2838">
        <f t="shared" si="8"/>
        <v>0</v>
      </c>
      <c r="H58" s="2839">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6">
        <f t="shared" si="10"/>
        <v>0</v>
      </c>
      <c r="AD58" s="2856"/>
      <c r="AE58" s="2856"/>
      <c r="AF58" s="2856"/>
      <c r="AG58" s="2856"/>
      <c r="AH58" s="2856"/>
      <c r="AI58" s="2856"/>
      <c r="AJ58" s="2856"/>
      <c r="AK58" s="2856"/>
      <c r="AL58" s="2856"/>
      <c r="AM58" s="2856"/>
      <c r="AN58" s="2856"/>
      <c r="AO58" s="2856"/>
      <c r="AP58" s="2856"/>
      <c r="AQ58" s="2856"/>
      <c r="AR58" s="2856"/>
      <c r="AS58" s="2856"/>
      <c r="AT58" s="2866"/>
      <c r="AU58" s="2867"/>
      <c r="AV58" s="1182">
        <f t="shared" si="11"/>
        <v>0</v>
      </c>
      <c r="AW58" s="1182">
        <f t="shared" si="12"/>
        <v>0</v>
      </c>
      <c r="AX58" s="1182">
        <f t="shared" si="13"/>
        <v>0</v>
      </c>
      <c r="AY58" s="2881">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8">
        <f t="shared" si="35"/>
        <v>0</v>
      </c>
    </row>
    <row r="59" spans="1:72">
      <c r="A59" s="2833"/>
      <c r="B59" s="2834"/>
      <c r="C59" s="2834"/>
      <c r="D59" s="2835"/>
      <c r="E59" s="2836">
        <f t="shared" si="7"/>
        <v>0</v>
      </c>
      <c r="F59" s="2837"/>
      <c r="G59" s="2838">
        <f t="shared" si="8"/>
        <v>0</v>
      </c>
      <c r="H59" s="2839">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6">
        <f t="shared" si="10"/>
        <v>0</v>
      </c>
      <c r="AD59" s="2856"/>
      <c r="AE59" s="2856"/>
      <c r="AF59" s="2856"/>
      <c r="AG59" s="2856"/>
      <c r="AH59" s="2856"/>
      <c r="AI59" s="2856"/>
      <c r="AJ59" s="2856"/>
      <c r="AK59" s="2856"/>
      <c r="AL59" s="2856"/>
      <c r="AM59" s="2856"/>
      <c r="AN59" s="2856"/>
      <c r="AO59" s="2856"/>
      <c r="AP59" s="2856"/>
      <c r="AQ59" s="2856"/>
      <c r="AR59" s="2856"/>
      <c r="AS59" s="2856"/>
      <c r="AT59" s="2866"/>
      <c r="AU59" s="2867"/>
      <c r="AV59" s="1182">
        <f t="shared" si="11"/>
        <v>0</v>
      </c>
      <c r="AW59" s="1182">
        <f t="shared" si="12"/>
        <v>0</v>
      </c>
      <c r="AX59" s="1182">
        <f t="shared" si="13"/>
        <v>0</v>
      </c>
      <c r="AY59" s="2881">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8">
        <f t="shared" si="35"/>
        <v>0</v>
      </c>
    </row>
    <row r="60" spans="1:72">
      <c r="A60" s="2833"/>
      <c r="B60" s="2834"/>
      <c r="C60" s="2834"/>
      <c r="D60" s="2835"/>
      <c r="E60" s="2836">
        <f t="shared" si="7"/>
        <v>0</v>
      </c>
      <c r="F60" s="2837"/>
      <c r="G60" s="2838">
        <f t="shared" si="8"/>
        <v>0</v>
      </c>
      <c r="H60" s="2839">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6">
        <f t="shared" si="10"/>
        <v>0</v>
      </c>
      <c r="AD60" s="2856"/>
      <c r="AE60" s="2856"/>
      <c r="AF60" s="2856"/>
      <c r="AG60" s="2856"/>
      <c r="AH60" s="2856"/>
      <c r="AI60" s="2856"/>
      <c r="AJ60" s="2856"/>
      <c r="AK60" s="2856"/>
      <c r="AL60" s="2856"/>
      <c r="AM60" s="2856"/>
      <c r="AN60" s="2856"/>
      <c r="AO60" s="2856"/>
      <c r="AP60" s="2856"/>
      <c r="AQ60" s="2856"/>
      <c r="AR60" s="2856"/>
      <c r="AS60" s="2856"/>
      <c r="AT60" s="2866"/>
      <c r="AU60" s="2867"/>
      <c r="AV60" s="1182">
        <f t="shared" si="11"/>
        <v>0</v>
      </c>
      <c r="AW60" s="1182">
        <f t="shared" si="12"/>
        <v>0</v>
      </c>
      <c r="AX60" s="1182">
        <f t="shared" si="13"/>
        <v>0</v>
      </c>
      <c r="AY60" s="2881">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8">
        <f t="shared" si="35"/>
        <v>0</v>
      </c>
    </row>
    <row r="61" spans="1:72">
      <c r="A61" s="2833"/>
      <c r="B61" s="2834"/>
      <c r="C61" s="2834"/>
      <c r="D61" s="2835"/>
      <c r="E61" s="2836">
        <f t="shared" si="7"/>
        <v>0</v>
      </c>
      <c r="F61" s="2837"/>
      <c r="G61" s="2838">
        <f t="shared" si="8"/>
        <v>0</v>
      </c>
      <c r="H61" s="2839">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6">
        <f t="shared" si="10"/>
        <v>0</v>
      </c>
      <c r="AD61" s="2856"/>
      <c r="AE61" s="2856"/>
      <c r="AF61" s="2856"/>
      <c r="AG61" s="2856"/>
      <c r="AH61" s="2856"/>
      <c r="AI61" s="2856"/>
      <c r="AJ61" s="2856"/>
      <c r="AK61" s="2856"/>
      <c r="AL61" s="2856"/>
      <c r="AM61" s="2856"/>
      <c r="AN61" s="2856"/>
      <c r="AO61" s="2856"/>
      <c r="AP61" s="2856"/>
      <c r="AQ61" s="2856"/>
      <c r="AR61" s="2856"/>
      <c r="AS61" s="2856"/>
      <c r="AT61" s="2866"/>
      <c r="AU61" s="2867"/>
      <c r="AV61" s="1182">
        <f t="shared" si="11"/>
        <v>0</v>
      </c>
      <c r="AW61" s="1182">
        <f t="shared" si="12"/>
        <v>0</v>
      </c>
      <c r="AX61" s="1182">
        <f t="shared" si="13"/>
        <v>0</v>
      </c>
      <c r="AY61" s="2881">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8">
        <f t="shared" si="35"/>
        <v>0</v>
      </c>
    </row>
    <row r="62" spans="1:72">
      <c r="A62" s="2833"/>
      <c r="B62" s="2834"/>
      <c r="C62" s="2834"/>
      <c r="D62" s="2835"/>
      <c r="E62" s="2836">
        <f t="shared" si="7"/>
        <v>0</v>
      </c>
      <c r="F62" s="2837"/>
      <c r="G62" s="2838">
        <f t="shared" si="8"/>
        <v>0</v>
      </c>
      <c r="H62" s="2839">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6">
        <f t="shared" si="10"/>
        <v>0</v>
      </c>
      <c r="AD62" s="2856"/>
      <c r="AE62" s="2856"/>
      <c r="AF62" s="2856"/>
      <c r="AG62" s="2856"/>
      <c r="AH62" s="2856"/>
      <c r="AI62" s="2856"/>
      <c r="AJ62" s="2856"/>
      <c r="AK62" s="2856"/>
      <c r="AL62" s="2856"/>
      <c r="AM62" s="2856"/>
      <c r="AN62" s="2856"/>
      <c r="AO62" s="2856"/>
      <c r="AP62" s="2856"/>
      <c r="AQ62" s="2856"/>
      <c r="AR62" s="2856"/>
      <c r="AS62" s="2856"/>
      <c r="AT62" s="2866"/>
      <c r="AU62" s="2867"/>
      <c r="AV62" s="1182">
        <f t="shared" si="11"/>
        <v>0</v>
      </c>
      <c r="AW62" s="1182">
        <f t="shared" si="12"/>
        <v>0</v>
      </c>
      <c r="AX62" s="1182">
        <f t="shared" si="13"/>
        <v>0</v>
      </c>
      <c r="AY62" s="2881">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8">
        <f t="shared" si="35"/>
        <v>0</v>
      </c>
    </row>
    <row r="63" spans="1:72">
      <c r="A63" s="2833"/>
      <c r="B63" s="2834"/>
      <c r="C63" s="2834"/>
      <c r="D63" s="2835"/>
      <c r="E63" s="2836">
        <f t="shared" si="7"/>
        <v>0</v>
      </c>
      <c r="F63" s="2837"/>
      <c r="G63" s="2838">
        <f t="shared" si="8"/>
        <v>0</v>
      </c>
      <c r="H63" s="2839">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6">
        <f t="shared" si="10"/>
        <v>0</v>
      </c>
      <c r="AD63" s="2856"/>
      <c r="AE63" s="2856"/>
      <c r="AF63" s="2856"/>
      <c r="AG63" s="2856"/>
      <c r="AH63" s="2856"/>
      <c r="AI63" s="2856"/>
      <c r="AJ63" s="2856"/>
      <c r="AK63" s="2856"/>
      <c r="AL63" s="2856"/>
      <c r="AM63" s="2856"/>
      <c r="AN63" s="2856"/>
      <c r="AO63" s="2856"/>
      <c r="AP63" s="2856"/>
      <c r="AQ63" s="2856"/>
      <c r="AR63" s="2856"/>
      <c r="AS63" s="2856"/>
      <c r="AT63" s="2866"/>
      <c r="AU63" s="2867"/>
      <c r="AV63" s="1182">
        <f t="shared" si="11"/>
        <v>0</v>
      </c>
      <c r="AW63" s="1182">
        <f t="shared" si="12"/>
        <v>0</v>
      </c>
      <c r="AX63" s="1182">
        <f t="shared" si="13"/>
        <v>0</v>
      </c>
      <c r="AY63" s="2881">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8">
        <f t="shared" si="35"/>
        <v>0</v>
      </c>
    </row>
    <row r="64" spans="1:72">
      <c r="A64" s="2833"/>
      <c r="B64" s="2834"/>
      <c r="C64" s="2834"/>
      <c r="D64" s="2835"/>
      <c r="E64" s="2836">
        <f t="shared" si="7"/>
        <v>0</v>
      </c>
      <c r="F64" s="2837"/>
      <c r="G64" s="2838">
        <f t="shared" si="8"/>
        <v>0</v>
      </c>
      <c r="H64" s="2839">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6">
        <f t="shared" si="10"/>
        <v>0</v>
      </c>
      <c r="AD64" s="2856"/>
      <c r="AE64" s="2856"/>
      <c r="AF64" s="2856"/>
      <c r="AG64" s="2856"/>
      <c r="AH64" s="2856"/>
      <c r="AI64" s="2856"/>
      <c r="AJ64" s="2856"/>
      <c r="AK64" s="2856"/>
      <c r="AL64" s="2856"/>
      <c r="AM64" s="2856"/>
      <c r="AN64" s="2856"/>
      <c r="AO64" s="2856"/>
      <c r="AP64" s="2856"/>
      <c r="AQ64" s="2856"/>
      <c r="AR64" s="2856"/>
      <c r="AS64" s="2856"/>
      <c r="AT64" s="2866"/>
      <c r="AU64" s="2867"/>
      <c r="AV64" s="1182">
        <f t="shared" si="11"/>
        <v>0</v>
      </c>
      <c r="AW64" s="1182">
        <f t="shared" si="12"/>
        <v>0</v>
      </c>
      <c r="AX64" s="1182">
        <f t="shared" si="13"/>
        <v>0</v>
      </c>
      <c r="AY64" s="2881">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8">
        <f t="shared" si="35"/>
        <v>0</v>
      </c>
    </row>
    <row r="65" spans="1:72">
      <c r="A65" s="2833"/>
      <c r="B65" s="2834"/>
      <c r="C65" s="2834"/>
      <c r="D65" s="2835"/>
      <c r="E65" s="2836">
        <f t="shared" si="7"/>
        <v>0</v>
      </c>
      <c r="F65" s="2837"/>
      <c r="G65" s="2838">
        <f t="shared" si="8"/>
        <v>0</v>
      </c>
      <c r="H65" s="2839">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6">
        <f t="shared" si="10"/>
        <v>0</v>
      </c>
      <c r="AD65" s="2856"/>
      <c r="AE65" s="2856"/>
      <c r="AF65" s="2856"/>
      <c r="AG65" s="2856"/>
      <c r="AH65" s="2856"/>
      <c r="AI65" s="2856"/>
      <c r="AJ65" s="2856"/>
      <c r="AK65" s="2856"/>
      <c r="AL65" s="2856"/>
      <c r="AM65" s="2856"/>
      <c r="AN65" s="2856"/>
      <c r="AO65" s="2856"/>
      <c r="AP65" s="2856"/>
      <c r="AQ65" s="2856"/>
      <c r="AR65" s="2856"/>
      <c r="AS65" s="2856"/>
      <c r="AT65" s="2866"/>
      <c r="AU65" s="2867"/>
      <c r="AV65" s="1182">
        <f t="shared" si="11"/>
        <v>0</v>
      </c>
      <c r="AW65" s="1182">
        <f t="shared" si="12"/>
        <v>0</v>
      </c>
      <c r="AX65" s="1182">
        <f t="shared" si="13"/>
        <v>0</v>
      </c>
      <c r="AY65" s="2881">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8">
        <f t="shared" si="35"/>
        <v>0</v>
      </c>
    </row>
    <row r="66" spans="1:72">
      <c r="A66" s="2833"/>
      <c r="B66" s="2834"/>
      <c r="C66" s="2834"/>
      <c r="D66" s="2835"/>
      <c r="E66" s="2836">
        <f t="shared" si="7"/>
        <v>0</v>
      </c>
      <c r="F66" s="2837"/>
      <c r="G66" s="2838">
        <f t="shared" si="8"/>
        <v>0</v>
      </c>
      <c r="H66" s="2839">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6">
        <f t="shared" si="10"/>
        <v>0</v>
      </c>
      <c r="AD66" s="2856"/>
      <c r="AE66" s="2856"/>
      <c r="AF66" s="2856"/>
      <c r="AG66" s="2856"/>
      <c r="AH66" s="2856"/>
      <c r="AI66" s="2856"/>
      <c r="AJ66" s="2856"/>
      <c r="AK66" s="2856"/>
      <c r="AL66" s="2856"/>
      <c r="AM66" s="2856"/>
      <c r="AN66" s="2856"/>
      <c r="AO66" s="2856"/>
      <c r="AP66" s="2856"/>
      <c r="AQ66" s="2856"/>
      <c r="AR66" s="2856"/>
      <c r="AS66" s="2856"/>
      <c r="AT66" s="2866"/>
      <c r="AU66" s="2867"/>
      <c r="AV66" s="1182">
        <f t="shared" si="11"/>
        <v>0</v>
      </c>
      <c r="AW66" s="1182">
        <f t="shared" si="12"/>
        <v>0</v>
      </c>
      <c r="AX66" s="1182">
        <f t="shared" si="13"/>
        <v>0</v>
      </c>
      <c r="AY66" s="2881">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8">
        <f t="shared" si="35"/>
        <v>0</v>
      </c>
    </row>
    <row r="67" spans="1:72">
      <c r="A67" s="2833"/>
      <c r="B67" s="2834"/>
      <c r="C67" s="2834"/>
      <c r="D67" s="2835"/>
      <c r="E67" s="2836">
        <f t="shared" si="7"/>
        <v>0</v>
      </c>
      <c r="F67" s="2837"/>
      <c r="G67" s="2838">
        <f t="shared" si="8"/>
        <v>0</v>
      </c>
      <c r="H67" s="2839">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6">
        <f t="shared" si="10"/>
        <v>0</v>
      </c>
      <c r="AD67" s="2856"/>
      <c r="AE67" s="2856"/>
      <c r="AF67" s="2856"/>
      <c r="AG67" s="2856"/>
      <c r="AH67" s="2856"/>
      <c r="AI67" s="2856"/>
      <c r="AJ67" s="2856"/>
      <c r="AK67" s="2856"/>
      <c r="AL67" s="2856"/>
      <c r="AM67" s="2856"/>
      <c r="AN67" s="2856"/>
      <c r="AO67" s="2856"/>
      <c r="AP67" s="2856"/>
      <c r="AQ67" s="2856"/>
      <c r="AR67" s="2856"/>
      <c r="AS67" s="2856"/>
      <c r="AT67" s="2866"/>
      <c r="AU67" s="2867"/>
      <c r="AV67" s="1182">
        <f t="shared" si="11"/>
        <v>0</v>
      </c>
      <c r="AW67" s="1182">
        <f t="shared" si="12"/>
        <v>0</v>
      </c>
      <c r="AX67" s="1182">
        <f t="shared" si="13"/>
        <v>0</v>
      </c>
      <c r="AY67" s="2881">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8">
        <f t="shared" si="35"/>
        <v>0</v>
      </c>
    </row>
    <row r="68" spans="1:72">
      <c r="A68" s="2833"/>
      <c r="B68" s="2834"/>
      <c r="C68" s="2834"/>
      <c r="D68" s="2835"/>
      <c r="E68" s="2836">
        <f t="shared" si="7"/>
        <v>0</v>
      </c>
      <c r="F68" s="2837"/>
      <c r="G68" s="2838">
        <f t="shared" si="8"/>
        <v>0</v>
      </c>
      <c r="H68" s="2839">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6">
        <f t="shared" si="10"/>
        <v>0</v>
      </c>
      <c r="AD68" s="2856"/>
      <c r="AE68" s="2856"/>
      <c r="AF68" s="2856"/>
      <c r="AG68" s="2856"/>
      <c r="AH68" s="2856"/>
      <c r="AI68" s="2856"/>
      <c r="AJ68" s="2856"/>
      <c r="AK68" s="2856"/>
      <c r="AL68" s="2856"/>
      <c r="AM68" s="2856"/>
      <c r="AN68" s="2856"/>
      <c r="AO68" s="2856"/>
      <c r="AP68" s="2856"/>
      <c r="AQ68" s="2856"/>
      <c r="AR68" s="2856"/>
      <c r="AS68" s="2856"/>
      <c r="AT68" s="2866"/>
      <c r="AU68" s="2867"/>
      <c r="AV68" s="1182">
        <f t="shared" si="11"/>
        <v>0</v>
      </c>
      <c r="AW68" s="1182">
        <f t="shared" si="12"/>
        <v>0</v>
      </c>
      <c r="AX68" s="1182">
        <f t="shared" si="13"/>
        <v>0</v>
      </c>
      <c r="AY68" s="2881">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8">
        <f t="shared" si="35"/>
        <v>0</v>
      </c>
    </row>
    <row r="69" spans="1:72">
      <c r="A69" s="2833"/>
      <c r="B69" s="2834"/>
      <c r="C69" s="2834"/>
      <c r="D69" s="2835"/>
      <c r="E69" s="2836">
        <f t="shared" si="7"/>
        <v>0</v>
      </c>
      <c r="F69" s="2837"/>
      <c r="G69" s="2838">
        <f t="shared" si="8"/>
        <v>0</v>
      </c>
      <c r="H69" s="2839">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6">
        <f t="shared" si="10"/>
        <v>0</v>
      </c>
      <c r="AD69" s="2856"/>
      <c r="AE69" s="2856"/>
      <c r="AF69" s="2856"/>
      <c r="AG69" s="2856"/>
      <c r="AH69" s="2856"/>
      <c r="AI69" s="2856"/>
      <c r="AJ69" s="2856"/>
      <c r="AK69" s="2856"/>
      <c r="AL69" s="2856"/>
      <c r="AM69" s="2856"/>
      <c r="AN69" s="2856"/>
      <c r="AO69" s="2856"/>
      <c r="AP69" s="2856"/>
      <c r="AQ69" s="2856"/>
      <c r="AR69" s="2856"/>
      <c r="AS69" s="2856"/>
      <c r="AT69" s="2866"/>
      <c r="AU69" s="2867"/>
      <c r="AV69" s="1182">
        <f t="shared" si="11"/>
        <v>0</v>
      </c>
      <c r="AW69" s="1182">
        <f t="shared" si="12"/>
        <v>0</v>
      </c>
      <c r="AX69" s="1182">
        <f t="shared" si="13"/>
        <v>0</v>
      </c>
      <c r="AY69" s="2881">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8">
        <f t="shared" si="35"/>
        <v>0</v>
      </c>
    </row>
    <row r="70" spans="1:72">
      <c r="A70" s="2833"/>
      <c r="B70" s="2834"/>
      <c r="C70" s="2834"/>
      <c r="D70" s="2835"/>
      <c r="E70" s="2836">
        <f t="shared" si="7"/>
        <v>0</v>
      </c>
      <c r="F70" s="2837"/>
      <c r="G70" s="2838">
        <f t="shared" si="8"/>
        <v>0</v>
      </c>
      <c r="H70" s="2839">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6">
        <f t="shared" si="10"/>
        <v>0</v>
      </c>
      <c r="AD70" s="2856"/>
      <c r="AE70" s="2856"/>
      <c r="AF70" s="2856"/>
      <c r="AG70" s="2856"/>
      <c r="AH70" s="2856"/>
      <c r="AI70" s="2856"/>
      <c r="AJ70" s="2856"/>
      <c r="AK70" s="2856"/>
      <c r="AL70" s="2856"/>
      <c r="AM70" s="2856"/>
      <c r="AN70" s="2856"/>
      <c r="AO70" s="2856"/>
      <c r="AP70" s="2856"/>
      <c r="AQ70" s="2856"/>
      <c r="AR70" s="2856"/>
      <c r="AS70" s="2856"/>
      <c r="AT70" s="2866"/>
      <c r="AU70" s="2867"/>
      <c r="AV70" s="1182">
        <f t="shared" si="11"/>
        <v>0</v>
      </c>
      <c r="AW70" s="1182">
        <f t="shared" si="12"/>
        <v>0</v>
      </c>
      <c r="AX70" s="1182">
        <f t="shared" si="13"/>
        <v>0</v>
      </c>
      <c r="AY70" s="2881">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8">
        <f t="shared" si="35"/>
        <v>0</v>
      </c>
    </row>
    <row r="71" spans="1:72">
      <c r="A71" s="2833"/>
      <c r="B71" s="2834"/>
      <c r="C71" s="2834"/>
      <c r="D71" s="2835"/>
      <c r="E71" s="2836">
        <f t="shared" si="7"/>
        <v>0</v>
      </c>
      <c r="F71" s="2837"/>
      <c r="G71" s="2838">
        <f t="shared" si="8"/>
        <v>0</v>
      </c>
      <c r="H71" s="2839">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6">
        <f t="shared" si="10"/>
        <v>0</v>
      </c>
      <c r="AD71" s="2856"/>
      <c r="AE71" s="2856"/>
      <c r="AF71" s="2856"/>
      <c r="AG71" s="2856"/>
      <c r="AH71" s="2856"/>
      <c r="AI71" s="2856"/>
      <c r="AJ71" s="2856"/>
      <c r="AK71" s="2856"/>
      <c r="AL71" s="2856"/>
      <c r="AM71" s="2856"/>
      <c r="AN71" s="2856"/>
      <c r="AO71" s="2856"/>
      <c r="AP71" s="2856"/>
      <c r="AQ71" s="2856"/>
      <c r="AR71" s="2856"/>
      <c r="AS71" s="2856"/>
      <c r="AT71" s="2866"/>
      <c r="AU71" s="2867"/>
      <c r="AV71" s="1182">
        <f t="shared" si="11"/>
        <v>0</v>
      </c>
      <c r="AW71" s="1182">
        <f t="shared" si="12"/>
        <v>0</v>
      </c>
      <c r="AX71" s="1182">
        <f t="shared" si="13"/>
        <v>0</v>
      </c>
      <c r="AY71" s="2881">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8">
        <f t="shared" si="35"/>
        <v>0</v>
      </c>
    </row>
    <row r="72" spans="1:72">
      <c r="A72" s="2833"/>
      <c r="B72" s="2834"/>
      <c r="C72" s="2834"/>
      <c r="D72" s="2835"/>
      <c r="E72" s="2836">
        <f t="shared" si="7"/>
        <v>0</v>
      </c>
      <c r="F72" s="2837"/>
      <c r="G72" s="2838">
        <f t="shared" si="8"/>
        <v>0</v>
      </c>
      <c r="H72" s="2839">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6">
        <f t="shared" si="10"/>
        <v>0</v>
      </c>
      <c r="AD72" s="2856"/>
      <c r="AE72" s="2856"/>
      <c r="AF72" s="2856"/>
      <c r="AG72" s="2856"/>
      <c r="AH72" s="2856"/>
      <c r="AI72" s="2856"/>
      <c r="AJ72" s="2856"/>
      <c r="AK72" s="2856"/>
      <c r="AL72" s="2856"/>
      <c r="AM72" s="2856"/>
      <c r="AN72" s="2856"/>
      <c r="AO72" s="2856"/>
      <c r="AP72" s="2856"/>
      <c r="AQ72" s="2856"/>
      <c r="AR72" s="2856"/>
      <c r="AS72" s="2856"/>
      <c r="AT72" s="2866"/>
      <c r="AU72" s="2867"/>
      <c r="AV72" s="1182">
        <f t="shared" si="11"/>
        <v>0</v>
      </c>
      <c r="AW72" s="1182">
        <f t="shared" si="12"/>
        <v>0</v>
      </c>
      <c r="AX72" s="1182">
        <f t="shared" si="13"/>
        <v>0</v>
      </c>
      <c r="AY72" s="2881">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8">
        <f t="shared" si="35"/>
        <v>0</v>
      </c>
    </row>
    <row r="73" spans="1:72">
      <c r="A73" s="2833"/>
      <c r="B73" s="2834"/>
      <c r="C73" s="2834"/>
      <c r="D73" s="2835"/>
      <c r="E73" s="2836">
        <f t="shared" si="7"/>
        <v>0</v>
      </c>
      <c r="F73" s="2837"/>
      <c r="G73" s="2838">
        <f t="shared" si="8"/>
        <v>0</v>
      </c>
      <c r="H73" s="2839">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6">
        <f t="shared" si="10"/>
        <v>0</v>
      </c>
      <c r="AD73" s="2856"/>
      <c r="AE73" s="2856"/>
      <c r="AF73" s="2856"/>
      <c r="AG73" s="2856"/>
      <c r="AH73" s="2856"/>
      <c r="AI73" s="2856"/>
      <c r="AJ73" s="2856"/>
      <c r="AK73" s="2856"/>
      <c r="AL73" s="2856"/>
      <c r="AM73" s="2856"/>
      <c r="AN73" s="2856"/>
      <c r="AO73" s="2856"/>
      <c r="AP73" s="2856"/>
      <c r="AQ73" s="2856"/>
      <c r="AR73" s="2856"/>
      <c r="AS73" s="2856"/>
      <c r="AT73" s="2866"/>
      <c r="AU73" s="2867"/>
      <c r="AV73" s="1182">
        <f t="shared" si="11"/>
        <v>0</v>
      </c>
      <c r="AW73" s="1182">
        <f t="shared" si="12"/>
        <v>0</v>
      </c>
      <c r="AX73" s="1182">
        <f t="shared" si="13"/>
        <v>0</v>
      </c>
      <c r="AY73" s="2881">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8">
        <f t="shared" si="35"/>
        <v>0</v>
      </c>
    </row>
    <row r="74" spans="1:72">
      <c r="A74" s="2833"/>
      <c r="B74" s="2834"/>
      <c r="C74" s="2834"/>
      <c r="D74" s="2835"/>
      <c r="E74" s="2836">
        <f t="shared" si="7"/>
        <v>0</v>
      </c>
      <c r="F74" s="2837"/>
      <c r="G74" s="2838">
        <f t="shared" si="8"/>
        <v>0</v>
      </c>
      <c r="H74" s="2839">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6">
        <f t="shared" si="10"/>
        <v>0</v>
      </c>
      <c r="AD74" s="2856"/>
      <c r="AE74" s="2856"/>
      <c r="AF74" s="2856"/>
      <c r="AG74" s="2856"/>
      <c r="AH74" s="2856"/>
      <c r="AI74" s="2856"/>
      <c r="AJ74" s="2856"/>
      <c r="AK74" s="2856"/>
      <c r="AL74" s="2856"/>
      <c r="AM74" s="2856"/>
      <c r="AN74" s="2856"/>
      <c r="AO74" s="2856"/>
      <c r="AP74" s="2856"/>
      <c r="AQ74" s="2856"/>
      <c r="AR74" s="2856"/>
      <c r="AS74" s="2856"/>
      <c r="AT74" s="2866"/>
      <c r="AU74" s="2867"/>
      <c r="AV74" s="1182">
        <f t="shared" si="11"/>
        <v>0</v>
      </c>
      <c r="AW74" s="1182">
        <f t="shared" si="12"/>
        <v>0</v>
      </c>
      <c r="AX74" s="1182">
        <f t="shared" si="13"/>
        <v>0</v>
      </c>
      <c r="AY74" s="2881">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8">
        <f t="shared" si="35"/>
        <v>0</v>
      </c>
    </row>
    <row r="75" spans="1:72">
      <c r="A75" s="2833"/>
      <c r="B75" s="2834"/>
      <c r="C75" s="2834"/>
      <c r="D75" s="2835"/>
      <c r="E75" s="2836">
        <f t="shared" si="7"/>
        <v>0</v>
      </c>
      <c r="F75" s="2837"/>
      <c r="G75" s="2838">
        <f t="shared" si="8"/>
        <v>0</v>
      </c>
      <c r="H75" s="2839">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6">
        <f t="shared" si="10"/>
        <v>0</v>
      </c>
      <c r="AD75" s="2856"/>
      <c r="AE75" s="2856"/>
      <c r="AF75" s="2856"/>
      <c r="AG75" s="2856"/>
      <c r="AH75" s="2856"/>
      <c r="AI75" s="2856"/>
      <c r="AJ75" s="2856"/>
      <c r="AK75" s="2856"/>
      <c r="AL75" s="2856"/>
      <c r="AM75" s="2856"/>
      <c r="AN75" s="2856"/>
      <c r="AO75" s="2856"/>
      <c r="AP75" s="2856"/>
      <c r="AQ75" s="2856"/>
      <c r="AR75" s="2856"/>
      <c r="AS75" s="2856"/>
      <c r="AT75" s="2866"/>
      <c r="AU75" s="2867"/>
      <c r="AV75" s="1182">
        <f t="shared" si="11"/>
        <v>0</v>
      </c>
      <c r="AW75" s="1182">
        <f t="shared" si="12"/>
        <v>0</v>
      </c>
      <c r="AX75" s="1182">
        <f t="shared" si="13"/>
        <v>0</v>
      </c>
      <c r="AY75" s="2881">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8">
        <f t="shared" si="35"/>
        <v>0</v>
      </c>
    </row>
    <row r="76" spans="1:72">
      <c r="A76" s="2833"/>
      <c r="B76" s="2834"/>
      <c r="C76" s="2834"/>
      <c r="D76" s="2835"/>
      <c r="E76" s="2836">
        <f t="shared" si="7"/>
        <v>0</v>
      </c>
      <c r="F76" s="2837"/>
      <c r="G76" s="2838">
        <f t="shared" si="8"/>
        <v>0</v>
      </c>
      <c r="H76" s="2839">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6">
        <f t="shared" si="10"/>
        <v>0</v>
      </c>
      <c r="AD76" s="2856"/>
      <c r="AE76" s="2856"/>
      <c r="AF76" s="2856"/>
      <c r="AG76" s="2856"/>
      <c r="AH76" s="2856"/>
      <c r="AI76" s="2856"/>
      <c r="AJ76" s="2856"/>
      <c r="AK76" s="2856"/>
      <c r="AL76" s="2856"/>
      <c r="AM76" s="2856"/>
      <c r="AN76" s="2856"/>
      <c r="AO76" s="2856"/>
      <c r="AP76" s="2856"/>
      <c r="AQ76" s="2856"/>
      <c r="AR76" s="2856"/>
      <c r="AS76" s="2856"/>
      <c r="AT76" s="2866"/>
      <c r="AU76" s="2867"/>
      <c r="AV76" s="1182">
        <f t="shared" si="11"/>
        <v>0</v>
      </c>
      <c r="AW76" s="1182">
        <f t="shared" si="12"/>
        <v>0</v>
      </c>
      <c r="AX76" s="1182">
        <f t="shared" si="13"/>
        <v>0</v>
      </c>
      <c r="AY76" s="2881">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8">
        <f t="shared" si="35"/>
        <v>0</v>
      </c>
    </row>
    <row r="77" spans="1:72">
      <c r="A77" s="2833"/>
      <c r="B77" s="2834"/>
      <c r="C77" s="2834"/>
      <c r="D77" s="2835"/>
      <c r="E77" s="2836">
        <f t="shared" si="7"/>
        <v>0</v>
      </c>
      <c r="F77" s="2837"/>
      <c r="G77" s="2838">
        <f t="shared" si="8"/>
        <v>0</v>
      </c>
      <c r="H77" s="2839">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6">
        <f t="shared" si="10"/>
        <v>0</v>
      </c>
      <c r="AD77" s="2856"/>
      <c r="AE77" s="2856"/>
      <c r="AF77" s="2856"/>
      <c r="AG77" s="2856"/>
      <c r="AH77" s="2856"/>
      <c r="AI77" s="2856"/>
      <c r="AJ77" s="2856"/>
      <c r="AK77" s="2856"/>
      <c r="AL77" s="2856"/>
      <c r="AM77" s="2856"/>
      <c r="AN77" s="2856"/>
      <c r="AO77" s="2856"/>
      <c r="AP77" s="2856"/>
      <c r="AQ77" s="2856"/>
      <c r="AR77" s="2856"/>
      <c r="AS77" s="2856"/>
      <c r="AT77" s="2866"/>
      <c r="AU77" s="2867"/>
      <c r="AV77" s="1182">
        <f t="shared" si="11"/>
        <v>0</v>
      </c>
      <c r="AW77" s="1182">
        <f t="shared" si="12"/>
        <v>0</v>
      </c>
      <c r="AX77" s="1182">
        <f t="shared" si="13"/>
        <v>0</v>
      </c>
      <c r="AY77" s="2881">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8">
        <f t="shared" si="35"/>
        <v>0</v>
      </c>
    </row>
    <row r="78" spans="1:72">
      <c r="A78" s="2833"/>
      <c r="B78" s="2834"/>
      <c r="C78" s="2834"/>
      <c r="D78" s="2835"/>
      <c r="E78" s="2836">
        <f t="shared" si="7"/>
        <v>0</v>
      </c>
      <c r="F78" s="2837"/>
      <c r="G78" s="2838">
        <f t="shared" si="8"/>
        <v>0</v>
      </c>
      <c r="H78" s="2839">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6">
        <f t="shared" si="10"/>
        <v>0</v>
      </c>
      <c r="AD78" s="2856"/>
      <c r="AE78" s="2856"/>
      <c r="AF78" s="2856"/>
      <c r="AG78" s="2856"/>
      <c r="AH78" s="2856"/>
      <c r="AI78" s="2856"/>
      <c r="AJ78" s="2856"/>
      <c r="AK78" s="2856"/>
      <c r="AL78" s="2856"/>
      <c r="AM78" s="2856"/>
      <c r="AN78" s="2856"/>
      <c r="AO78" s="2856"/>
      <c r="AP78" s="2856"/>
      <c r="AQ78" s="2856"/>
      <c r="AR78" s="2856"/>
      <c r="AS78" s="2856"/>
      <c r="AT78" s="2866"/>
      <c r="AU78" s="2867"/>
      <c r="AV78" s="1182">
        <f t="shared" si="11"/>
        <v>0</v>
      </c>
      <c r="AW78" s="1182">
        <f t="shared" si="12"/>
        <v>0</v>
      </c>
      <c r="AX78" s="1182">
        <f t="shared" si="13"/>
        <v>0</v>
      </c>
      <c r="AY78" s="2881">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8">
        <f t="shared" si="35"/>
        <v>0</v>
      </c>
    </row>
    <row r="79" spans="1:72">
      <c r="A79" s="2833"/>
      <c r="B79" s="2834"/>
      <c r="C79" s="2834"/>
      <c r="D79" s="2835"/>
      <c r="E79" s="2836">
        <f t="shared" si="7"/>
        <v>0</v>
      </c>
      <c r="F79" s="2837"/>
      <c r="G79" s="2838">
        <f t="shared" si="8"/>
        <v>0</v>
      </c>
      <c r="H79" s="2839">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6">
        <f t="shared" si="10"/>
        <v>0</v>
      </c>
      <c r="AD79" s="2856"/>
      <c r="AE79" s="2856"/>
      <c r="AF79" s="2856"/>
      <c r="AG79" s="2856"/>
      <c r="AH79" s="2856"/>
      <c r="AI79" s="2856"/>
      <c r="AJ79" s="2856"/>
      <c r="AK79" s="2856"/>
      <c r="AL79" s="2856"/>
      <c r="AM79" s="2856"/>
      <c r="AN79" s="2856"/>
      <c r="AO79" s="2856"/>
      <c r="AP79" s="2856"/>
      <c r="AQ79" s="2856"/>
      <c r="AR79" s="2856"/>
      <c r="AS79" s="2856"/>
      <c r="AT79" s="2866"/>
      <c r="AU79" s="2867"/>
      <c r="AV79" s="1182">
        <f t="shared" si="11"/>
        <v>0</v>
      </c>
      <c r="AW79" s="1182">
        <f t="shared" si="12"/>
        <v>0</v>
      </c>
      <c r="AX79" s="1182">
        <f t="shared" si="13"/>
        <v>0</v>
      </c>
      <c r="AY79" s="2881">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8">
        <f t="shared" si="35"/>
        <v>0</v>
      </c>
    </row>
    <row r="80" spans="1:72">
      <c r="A80" s="2833"/>
      <c r="B80" s="2834"/>
      <c r="C80" s="2834"/>
      <c r="D80" s="2835"/>
      <c r="E80" s="2836">
        <f t="shared" si="7"/>
        <v>0</v>
      </c>
      <c r="F80" s="2837"/>
      <c r="G80" s="2838">
        <f t="shared" si="8"/>
        <v>0</v>
      </c>
      <c r="H80" s="2839">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6">
        <f t="shared" si="10"/>
        <v>0</v>
      </c>
      <c r="AD80" s="2856"/>
      <c r="AE80" s="2856"/>
      <c r="AF80" s="2856"/>
      <c r="AG80" s="2856"/>
      <c r="AH80" s="2856"/>
      <c r="AI80" s="2856"/>
      <c r="AJ80" s="2856"/>
      <c r="AK80" s="2856"/>
      <c r="AL80" s="2856"/>
      <c r="AM80" s="2856"/>
      <c r="AN80" s="2856"/>
      <c r="AO80" s="2856"/>
      <c r="AP80" s="2856"/>
      <c r="AQ80" s="2856"/>
      <c r="AR80" s="2856"/>
      <c r="AS80" s="2856"/>
      <c r="AT80" s="2866"/>
      <c r="AU80" s="2867"/>
      <c r="AV80" s="1182">
        <f t="shared" si="11"/>
        <v>0</v>
      </c>
      <c r="AW80" s="1182">
        <f t="shared" si="12"/>
        <v>0</v>
      </c>
      <c r="AX80" s="1182">
        <f t="shared" si="13"/>
        <v>0</v>
      </c>
      <c r="AY80" s="2881">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8">
        <f t="shared" si="35"/>
        <v>0</v>
      </c>
    </row>
    <row r="81" spans="1:72">
      <c r="A81" s="2833"/>
      <c r="B81" s="2834"/>
      <c r="C81" s="2834"/>
      <c r="D81" s="2835"/>
      <c r="E81" s="2836">
        <f t="shared" si="7"/>
        <v>0</v>
      </c>
      <c r="F81" s="2837"/>
      <c r="G81" s="2838">
        <f t="shared" si="8"/>
        <v>0</v>
      </c>
      <c r="H81" s="2839">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6">
        <f t="shared" si="10"/>
        <v>0</v>
      </c>
      <c r="AD81" s="2856"/>
      <c r="AE81" s="2856"/>
      <c r="AF81" s="2856"/>
      <c r="AG81" s="2856"/>
      <c r="AH81" s="2856"/>
      <c r="AI81" s="2856"/>
      <c r="AJ81" s="2856"/>
      <c r="AK81" s="2856"/>
      <c r="AL81" s="2856"/>
      <c r="AM81" s="2856"/>
      <c r="AN81" s="2856"/>
      <c r="AO81" s="2856"/>
      <c r="AP81" s="2856"/>
      <c r="AQ81" s="2856"/>
      <c r="AR81" s="2856"/>
      <c r="AS81" s="2856"/>
      <c r="AT81" s="2866"/>
      <c r="AU81" s="2867"/>
      <c r="AV81" s="1182">
        <f t="shared" si="11"/>
        <v>0</v>
      </c>
      <c r="AW81" s="1182">
        <f t="shared" si="12"/>
        <v>0</v>
      </c>
      <c r="AX81" s="1182">
        <f t="shared" si="13"/>
        <v>0</v>
      </c>
      <c r="AY81" s="2881">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8">
        <f t="shared" si="35"/>
        <v>0</v>
      </c>
    </row>
    <row r="82" spans="1:72">
      <c r="A82" s="2833"/>
      <c r="B82" s="2834"/>
      <c r="C82" s="2834"/>
      <c r="D82" s="2835"/>
      <c r="E82" s="2836">
        <f t="shared" si="7"/>
        <v>0</v>
      </c>
      <c r="F82" s="2837"/>
      <c r="G82" s="2838">
        <f t="shared" si="8"/>
        <v>0</v>
      </c>
      <c r="H82" s="2839">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6">
        <f t="shared" si="10"/>
        <v>0</v>
      </c>
      <c r="AD82" s="2856"/>
      <c r="AE82" s="2856"/>
      <c r="AF82" s="2856"/>
      <c r="AG82" s="2856"/>
      <c r="AH82" s="2856"/>
      <c r="AI82" s="2856"/>
      <c r="AJ82" s="2856"/>
      <c r="AK82" s="2856"/>
      <c r="AL82" s="2856"/>
      <c r="AM82" s="2856"/>
      <c r="AN82" s="2856"/>
      <c r="AO82" s="2856"/>
      <c r="AP82" s="2856"/>
      <c r="AQ82" s="2856"/>
      <c r="AR82" s="2856"/>
      <c r="AS82" s="2856"/>
      <c r="AT82" s="2866"/>
      <c r="AU82" s="2867"/>
      <c r="AV82" s="1182">
        <f t="shared" si="11"/>
        <v>0</v>
      </c>
      <c r="AW82" s="1182">
        <f t="shared" si="12"/>
        <v>0</v>
      </c>
      <c r="AX82" s="1182">
        <f t="shared" si="13"/>
        <v>0</v>
      </c>
      <c r="AY82" s="2881">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8">
        <f t="shared" si="35"/>
        <v>0</v>
      </c>
    </row>
    <row r="83" spans="1:72">
      <c r="A83" s="2833"/>
      <c r="B83" s="2834"/>
      <c r="C83" s="2834"/>
      <c r="D83" s="2835"/>
      <c r="E83" s="2836">
        <f t="shared" si="7"/>
        <v>0</v>
      </c>
      <c r="F83" s="2837"/>
      <c r="G83" s="2838">
        <f t="shared" si="8"/>
        <v>0</v>
      </c>
      <c r="H83" s="2839">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6">
        <f t="shared" si="10"/>
        <v>0</v>
      </c>
      <c r="AD83" s="2856"/>
      <c r="AE83" s="2856"/>
      <c r="AF83" s="2856"/>
      <c r="AG83" s="2856"/>
      <c r="AH83" s="2856"/>
      <c r="AI83" s="2856"/>
      <c r="AJ83" s="2856"/>
      <c r="AK83" s="2856"/>
      <c r="AL83" s="2856"/>
      <c r="AM83" s="2856"/>
      <c r="AN83" s="2856"/>
      <c r="AO83" s="2856"/>
      <c r="AP83" s="2856"/>
      <c r="AQ83" s="2856"/>
      <c r="AR83" s="2856"/>
      <c r="AS83" s="2856"/>
      <c r="AT83" s="2866"/>
      <c r="AU83" s="2867"/>
      <c r="AV83" s="1182">
        <f t="shared" si="11"/>
        <v>0</v>
      </c>
      <c r="AW83" s="1182">
        <f t="shared" si="12"/>
        <v>0</v>
      </c>
      <c r="AX83" s="1182">
        <f t="shared" si="13"/>
        <v>0</v>
      </c>
      <c r="AY83" s="2881">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8">
        <f t="shared" si="35"/>
        <v>0</v>
      </c>
    </row>
    <row r="84" spans="1:72">
      <c r="A84" s="2833"/>
      <c r="B84" s="2834"/>
      <c r="C84" s="2834"/>
      <c r="D84" s="2835"/>
      <c r="E84" s="2836">
        <f t="shared" si="7"/>
        <v>0</v>
      </c>
      <c r="F84" s="2837"/>
      <c r="G84" s="2838">
        <f t="shared" si="8"/>
        <v>0</v>
      </c>
      <c r="H84" s="2839">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6">
        <f t="shared" si="10"/>
        <v>0</v>
      </c>
      <c r="AD84" s="2856"/>
      <c r="AE84" s="2856"/>
      <c r="AF84" s="2856"/>
      <c r="AG84" s="2856"/>
      <c r="AH84" s="2856"/>
      <c r="AI84" s="2856"/>
      <c r="AJ84" s="2856"/>
      <c r="AK84" s="2856"/>
      <c r="AL84" s="2856"/>
      <c r="AM84" s="2856"/>
      <c r="AN84" s="2856"/>
      <c r="AO84" s="2856"/>
      <c r="AP84" s="2856"/>
      <c r="AQ84" s="2856"/>
      <c r="AR84" s="2856"/>
      <c r="AS84" s="2856"/>
      <c r="AT84" s="2866"/>
      <c r="AU84" s="2867"/>
      <c r="AV84" s="1182">
        <f t="shared" si="11"/>
        <v>0</v>
      </c>
      <c r="AW84" s="1182">
        <f t="shared" si="12"/>
        <v>0</v>
      </c>
      <c r="AX84" s="1182">
        <f t="shared" si="13"/>
        <v>0</v>
      </c>
      <c r="AY84" s="2881">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8">
        <f t="shared" si="35"/>
        <v>0</v>
      </c>
    </row>
    <row r="85" spans="1:72">
      <c r="A85" s="2833"/>
      <c r="B85" s="2834"/>
      <c r="C85" s="2834"/>
      <c r="D85" s="2835"/>
      <c r="E85" s="2836">
        <f t="shared" si="7"/>
        <v>0</v>
      </c>
      <c r="F85" s="2837"/>
      <c r="G85" s="2838">
        <f t="shared" si="8"/>
        <v>0</v>
      </c>
      <c r="H85" s="2839">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6">
        <f t="shared" si="10"/>
        <v>0</v>
      </c>
      <c r="AD85" s="2856"/>
      <c r="AE85" s="2856"/>
      <c r="AF85" s="2856"/>
      <c r="AG85" s="2856"/>
      <c r="AH85" s="2856"/>
      <c r="AI85" s="2856"/>
      <c r="AJ85" s="2856"/>
      <c r="AK85" s="2856"/>
      <c r="AL85" s="2856"/>
      <c r="AM85" s="2856"/>
      <c r="AN85" s="2856"/>
      <c r="AO85" s="2856"/>
      <c r="AP85" s="2856"/>
      <c r="AQ85" s="2856"/>
      <c r="AR85" s="2856"/>
      <c r="AS85" s="2856"/>
      <c r="AT85" s="2866"/>
      <c r="AU85" s="2867"/>
      <c r="AV85" s="1182">
        <f t="shared" si="11"/>
        <v>0</v>
      </c>
      <c r="AW85" s="1182">
        <f t="shared" si="12"/>
        <v>0</v>
      </c>
      <c r="AX85" s="1182">
        <f t="shared" si="13"/>
        <v>0</v>
      </c>
      <c r="AY85" s="2881">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8">
        <f t="shared" si="35"/>
        <v>0</v>
      </c>
    </row>
    <row r="86" spans="1:72">
      <c r="A86" s="2833"/>
      <c r="B86" s="2834"/>
      <c r="C86" s="2834"/>
      <c r="D86" s="2835"/>
      <c r="E86" s="2836">
        <f t="shared" si="7"/>
        <v>0</v>
      </c>
      <c r="F86" s="2837"/>
      <c r="G86" s="2838">
        <f t="shared" si="8"/>
        <v>0</v>
      </c>
      <c r="H86" s="2839">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6">
        <f t="shared" si="10"/>
        <v>0</v>
      </c>
      <c r="AD86" s="2856"/>
      <c r="AE86" s="2856"/>
      <c r="AF86" s="2856"/>
      <c r="AG86" s="2856"/>
      <c r="AH86" s="2856"/>
      <c r="AI86" s="2856"/>
      <c r="AJ86" s="2856"/>
      <c r="AK86" s="2856"/>
      <c r="AL86" s="2856"/>
      <c r="AM86" s="2856"/>
      <c r="AN86" s="2856"/>
      <c r="AO86" s="2856"/>
      <c r="AP86" s="2856"/>
      <c r="AQ86" s="2856"/>
      <c r="AR86" s="2856"/>
      <c r="AS86" s="2856"/>
      <c r="AT86" s="2866"/>
      <c r="AU86" s="2867"/>
      <c r="AV86" s="1182">
        <f t="shared" si="11"/>
        <v>0</v>
      </c>
      <c r="AW86" s="1182">
        <f t="shared" si="12"/>
        <v>0</v>
      </c>
      <c r="AX86" s="1182">
        <f t="shared" si="13"/>
        <v>0</v>
      </c>
      <c r="AY86" s="2881">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8">
        <f t="shared" si="35"/>
        <v>0</v>
      </c>
    </row>
    <row r="87" spans="1:72">
      <c r="A87" s="2833"/>
      <c r="B87" s="2834"/>
      <c r="C87" s="2834"/>
      <c r="D87" s="2835"/>
      <c r="E87" s="2836">
        <f t="shared" si="7"/>
        <v>0</v>
      </c>
      <c r="F87" s="2837"/>
      <c r="G87" s="2838">
        <f t="shared" si="8"/>
        <v>0</v>
      </c>
      <c r="H87" s="2839">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6">
        <f t="shared" si="10"/>
        <v>0</v>
      </c>
      <c r="AD87" s="2856"/>
      <c r="AE87" s="2856"/>
      <c r="AF87" s="2856"/>
      <c r="AG87" s="2856"/>
      <c r="AH87" s="2856"/>
      <c r="AI87" s="2856"/>
      <c r="AJ87" s="2856"/>
      <c r="AK87" s="2856"/>
      <c r="AL87" s="2856"/>
      <c r="AM87" s="2856"/>
      <c r="AN87" s="2856"/>
      <c r="AO87" s="2856"/>
      <c r="AP87" s="2856"/>
      <c r="AQ87" s="2856"/>
      <c r="AR87" s="2856"/>
      <c r="AS87" s="2856"/>
      <c r="AT87" s="2866"/>
      <c r="AU87" s="2867"/>
      <c r="AV87" s="1182">
        <f t="shared" si="11"/>
        <v>0</v>
      </c>
      <c r="AW87" s="1182">
        <f t="shared" si="12"/>
        <v>0</v>
      </c>
      <c r="AX87" s="1182">
        <f t="shared" si="13"/>
        <v>0</v>
      </c>
      <c r="AY87" s="2881">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8">
        <f t="shared" si="35"/>
        <v>0</v>
      </c>
    </row>
    <row r="88" spans="1:72">
      <c r="A88" s="2833"/>
      <c r="B88" s="2834"/>
      <c r="C88" s="2834"/>
      <c r="D88" s="2835"/>
      <c r="E88" s="2836">
        <f t="shared" si="7"/>
        <v>0</v>
      </c>
      <c r="F88" s="2837"/>
      <c r="G88" s="2838">
        <f t="shared" si="8"/>
        <v>0</v>
      </c>
      <c r="H88" s="2839">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6">
        <f t="shared" si="10"/>
        <v>0</v>
      </c>
      <c r="AD88" s="2856"/>
      <c r="AE88" s="2856"/>
      <c r="AF88" s="2856"/>
      <c r="AG88" s="2856"/>
      <c r="AH88" s="2856"/>
      <c r="AI88" s="2856"/>
      <c r="AJ88" s="2856"/>
      <c r="AK88" s="2856"/>
      <c r="AL88" s="2856"/>
      <c r="AM88" s="2856"/>
      <c r="AN88" s="2856"/>
      <c r="AO88" s="2856"/>
      <c r="AP88" s="2856"/>
      <c r="AQ88" s="2856"/>
      <c r="AR88" s="2856"/>
      <c r="AS88" s="2856"/>
      <c r="AT88" s="2866"/>
      <c r="AU88" s="2867"/>
      <c r="AV88" s="1182">
        <f t="shared" si="11"/>
        <v>0</v>
      </c>
      <c r="AW88" s="1182">
        <f t="shared" si="12"/>
        <v>0</v>
      </c>
      <c r="AX88" s="1182">
        <f t="shared" si="13"/>
        <v>0</v>
      </c>
      <c r="AY88" s="2881">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8">
        <f t="shared" si="35"/>
        <v>0</v>
      </c>
    </row>
    <row r="89" spans="1:72">
      <c r="A89" s="2833"/>
      <c r="B89" s="2834"/>
      <c r="C89" s="2834"/>
      <c r="D89" s="2835"/>
      <c r="E89" s="2836">
        <f t="shared" si="7"/>
        <v>0</v>
      </c>
      <c r="F89" s="2837"/>
      <c r="G89" s="2838">
        <f t="shared" si="8"/>
        <v>0</v>
      </c>
      <c r="H89" s="2839">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6">
        <f t="shared" si="10"/>
        <v>0</v>
      </c>
      <c r="AD89" s="2856"/>
      <c r="AE89" s="2856"/>
      <c r="AF89" s="2856"/>
      <c r="AG89" s="2856"/>
      <c r="AH89" s="2856"/>
      <c r="AI89" s="2856"/>
      <c r="AJ89" s="2856"/>
      <c r="AK89" s="2856"/>
      <c r="AL89" s="2856"/>
      <c r="AM89" s="2856"/>
      <c r="AN89" s="2856"/>
      <c r="AO89" s="2856"/>
      <c r="AP89" s="2856"/>
      <c r="AQ89" s="2856"/>
      <c r="AR89" s="2856"/>
      <c r="AS89" s="2856"/>
      <c r="AT89" s="2866"/>
      <c r="AU89" s="2867"/>
      <c r="AV89" s="1182">
        <f t="shared" si="11"/>
        <v>0</v>
      </c>
      <c r="AW89" s="1182">
        <f t="shared" si="12"/>
        <v>0</v>
      </c>
      <c r="AX89" s="1182">
        <f t="shared" si="13"/>
        <v>0</v>
      </c>
      <c r="AY89" s="2881">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8">
        <f t="shared" si="35"/>
        <v>0</v>
      </c>
    </row>
    <row r="90" spans="1:72">
      <c r="A90" s="2833"/>
      <c r="B90" s="2834"/>
      <c r="C90" s="2834"/>
      <c r="D90" s="2835"/>
      <c r="E90" s="2836">
        <f t="shared" si="7"/>
        <v>0</v>
      </c>
      <c r="F90" s="2837"/>
      <c r="G90" s="2838">
        <f t="shared" si="8"/>
        <v>0</v>
      </c>
      <c r="H90" s="2839">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6">
        <f t="shared" si="10"/>
        <v>0</v>
      </c>
      <c r="AD90" s="2856"/>
      <c r="AE90" s="2856"/>
      <c r="AF90" s="2856"/>
      <c r="AG90" s="2856"/>
      <c r="AH90" s="2856"/>
      <c r="AI90" s="2856"/>
      <c r="AJ90" s="2856"/>
      <c r="AK90" s="2856"/>
      <c r="AL90" s="2856"/>
      <c r="AM90" s="2856"/>
      <c r="AN90" s="2856"/>
      <c r="AO90" s="2856"/>
      <c r="AP90" s="2856"/>
      <c r="AQ90" s="2856"/>
      <c r="AR90" s="2856"/>
      <c r="AS90" s="2856"/>
      <c r="AT90" s="2866"/>
      <c r="AU90" s="2867"/>
      <c r="AV90" s="1182">
        <f t="shared" si="11"/>
        <v>0</v>
      </c>
      <c r="AW90" s="1182">
        <f t="shared" si="12"/>
        <v>0</v>
      </c>
      <c r="AX90" s="1182">
        <f t="shared" si="13"/>
        <v>0</v>
      </c>
      <c r="AY90" s="2881">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8">
        <f t="shared" si="35"/>
        <v>0</v>
      </c>
    </row>
    <row r="91" spans="1:72">
      <c r="A91" s="2833"/>
      <c r="B91" s="2834"/>
      <c r="C91" s="2834"/>
      <c r="D91" s="2835"/>
      <c r="E91" s="2836">
        <f t="shared" si="7"/>
        <v>0</v>
      </c>
      <c r="F91" s="2837"/>
      <c r="G91" s="2838">
        <f t="shared" si="8"/>
        <v>0</v>
      </c>
      <c r="H91" s="2839">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6">
        <f t="shared" si="10"/>
        <v>0</v>
      </c>
      <c r="AD91" s="2856"/>
      <c r="AE91" s="2856"/>
      <c r="AF91" s="2856"/>
      <c r="AG91" s="2856"/>
      <c r="AH91" s="2856"/>
      <c r="AI91" s="2856"/>
      <c r="AJ91" s="2856"/>
      <c r="AK91" s="2856"/>
      <c r="AL91" s="2856"/>
      <c r="AM91" s="2856"/>
      <c r="AN91" s="2856"/>
      <c r="AO91" s="2856"/>
      <c r="AP91" s="2856"/>
      <c r="AQ91" s="2856"/>
      <c r="AR91" s="2856"/>
      <c r="AS91" s="2856"/>
      <c r="AT91" s="2866"/>
      <c r="AU91" s="2867"/>
      <c r="AV91" s="1182">
        <f t="shared" si="11"/>
        <v>0</v>
      </c>
      <c r="AW91" s="1182">
        <f t="shared" si="12"/>
        <v>0</v>
      </c>
      <c r="AX91" s="1182">
        <f t="shared" si="13"/>
        <v>0</v>
      </c>
      <c r="AY91" s="2881">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8">
        <f t="shared" si="35"/>
        <v>0</v>
      </c>
    </row>
    <row r="92" spans="1:72">
      <c r="A92" s="2833"/>
      <c r="B92" s="2834"/>
      <c r="C92" s="2834"/>
      <c r="D92" s="2835"/>
      <c r="E92" s="2836">
        <f t="shared" si="7"/>
        <v>0</v>
      </c>
      <c r="F92" s="2837"/>
      <c r="G92" s="2838">
        <f t="shared" si="8"/>
        <v>0</v>
      </c>
      <c r="H92" s="2839">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6">
        <f t="shared" si="10"/>
        <v>0</v>
      </c>
      <c r="AD92" s="2856"/>
      <c r="AE92" s="2856"/>
      <c r="AF92" s="2856"/>
      <c r="AG92" s="2856"/>
      <c r="AH92" s="2856"/>
      <c r="AI92" s="2856"/>
      <c r="AJ92" s="2856"/>
      <c r="AK92" s="2856"/>
      <c r="AL92" s="2856"/>
      <c r="AM92" s="2856"/>
      <c r="AN92" s="2856"/>
      <c r="AO92" s="2856"/>
      <c r="AP92" s="2856"/>
      <c r="AQ92" s="2856"/>
      <c r="AR92" s="2856"/>
      <c r="AS92" s="2856"/>
      <c r="AT92" s="2866"/>
      <c r="AU92" s="2867"/>
      <c r="AV92" s="1182">
        <f t="shared" si="11"/>
        <v>0</v>
      </c>
      <c r="AW92" s="1182">
        <f t="shared" si="12"/>
        <v>0</v>
      </c>
      <c r="AX92" s="1182">
        <f t="shared" si="13"/>
        <v>0</v>
      </c>
      <c r="AY92" s="2881">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8">
        <f t="shared" si="35"/>
        <v>0</v>
      </c>
    </row>
    <row r="93" spans="1:72">
      <c r="A93" s="2833"/>
      <c r="B93" s="2834"/>
      <c r="C93" s="2834"/>
      <c r="D93" s="2835"/>
      <c r="E93" s="2836">
        <f t="shared" si="7"/>
        <v>0</v>
      </c>
      <c r="F93" s="2837"/>
      <c r="G93" s="2838">
        <f t="shared" si="8"/>
        <v>0</v>
      </c>
      <c r="H93" s="2839">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6">
        <f t="shared" si="10"/>
        <v>0</v>
      </c>
      <c r="AD93" s="2856"/>
      <c r="AE93" s="2856"/>
      <c r="AF93" s="2856"/>
      <c r="AG93" s="2856"/>
      <c r="AH93" s="2856"/>
      <c r="AI93" s="2856"/>
      <c r="AJ93" s="2856"/>
      <c r="AK93" s="2856"/>
      <c r="AL93" s="2856"/>
      <c r="AM93" s="2856"/>
      <c r="AN93" s="2856"/>
      <c r="AO93" s="2856"/>
      <c r="AP93" s="2856"/>
      <c r="AQ93" s="2856"/>
      <c r="AR93" s="2856"/>
      <c r="AS93" s="2856"/>
      <c r="AT93" s="2866"/>
      <c r="AU93" s="2867"/>
      <c r="AV93" s="1182">
        <f t="shared" si="11"/>
        <v>0</v>
      </c>
      <c r="AW93" s="1182">
        <f t="shared" si="12"/>
        <v>0</v>
      </c>
      <c r="AX93" s="1182">
        <f t="shared" si="13"/>
        <v>0</v>
      </c>
      <c r="AY93" s="2881">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8">
        <f t="shared" si="35"/>
        <v>0</v>
      </c>
    </row>
    <row r="94" spans="1:72">
      <c r="A94" s="2833"/>
      <c r="B94" s="2834"/>
      <c r="C94" s="2834"/>
      <c r="D94" s="2835"/>
      <c r="E94" s="2836">
        <f t="shared" si="7"/>
        <v>0</v>
      </c>
      <c r="F94" s="2837"/>
      <c r="G94" s="2838">
        <f t="shared" si="8"/>
        <v>0</v>
      </c>
      <c r="H94" s="2839">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6">
        <f t="shared" si="10"/>
        <v>0</v>
      </c>
      <c r="AD94" s="2856"/>
      <c r="AE94" s="2856"/>
      <c r="AF94" s="2856"/>
      <c r="AG94" s="2856"/>
      <c r="AH94" s="2856"/>
      <c r="AI94" s="2856"/>
      <c r="AJ94" s="2856"/>
      <c r="AK94" s="2856"/>
      <c r="AL94" s="2856"/>
      <c r="AM94" s="2856"/>
      <c r="AN94" s="2856"/>
      <c r="AO94" s="2856"/>
      <c r="AP94" s="2856"/>
      <c r="AQ94" s="2856"/>
      <c r="AR94" s="2856"/>
      <c r="AS94" s="2856"/>
      <c r="AT94" s="2866"/>
      <c r="AU94" s="2867"/>
      <c r="AV94" s="1182">
        <f t="shared" si="11"/>
        <v>0</v>
      </c>
      <c r="AW94" s="1182">
        <f t="shared" si="12"/>
        <v>0</v>
      </c>
      <c r="AX94" s="1182">
        <f t="shared" si="13"/>
        <v>0</v>
      </c>
      <c r="AY94" s="2881">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8">
        <f t="shared" si="35"/>
        <v>0</v>
      </c>
    </row>
    <row r="95" spans="1:72">
      <c r="A95" s="2833"/>
      <c r="B95" s="2834"/>
      <c r="C95" s="2834"/>
      <c r="D95" s="2835"/>
      <c r="E95" s="2836">
        <f t="shared" si="7"/>
        <v>0</v>
      </c>
      <c r="F95" s="2837"/>
      <c r="G95" s="2838">
        <f t="shared" si="8"/>
        <v>0</v>
      </c>
      <c r="H95" s="2839">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6">
        <f t="shared" si="10"/>
        <v>0</v>
      </c>
      <c r="AD95" s="2856"/>
      <c r="AE95" s="2856"/>
      <c r="AF95" s="2856"/>
      <c r="AG95" s="2856"/>
      <c r="AH95" s="2856"/>
      <c r="AI95" s="2856"/>
      <c r="AJ95" s="2856"/>
      <c r="AK95" s="2856"/>
      <c r="AL95" s="2856"/>
      <c r="AM95" s="2856"/>
      <c r="AN95" s="2856"/>
      <c r="AO95" s="2856"/>
      <c r="AP95" s="2856"/>
      <c r="AQ95" s="2856"/>
      <c r="AR95" s="2856"/>
      <c r="AS95" s="2856"/>
      <c r="AT95" s="2866"/>
      <c r="AU95" s="2867"/>
      <c r="AV95" s="1182">
        <f t="shared" si="11"/>
        <v>0</v>
      </c>
      <c r="AW95" s="1182">
        <f t="shared" si="12"/>
        <v>0</v>
      </c>
      <c r="AX95" s="1182">
        <f t="shared" si="13"/>
        <v>0</v>
      </c>
      <c r="AY95" s="2881">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8">
        <f t="shared" si="35"/>
        <v>0</v>
      </c>
    </row>
    <row r="96" spans="1:72">
      <c r="A96" s="2833"/>
      <c r="B96" s="2834"/>
      <c r="C96" s="2834"/>
      <c r="D96" s="2835"/>
      <c r="E96" s="2836">
        <f t="shared" si="7"/>
        <v>0</v>
      </c>
      <c r="F96" s="2837"/>
      <c r="G96" s="2838">
        <f t="shared" si="8"/>
        <v>0</v>
      </c>
      <c r="H96" s="2839">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6">
        <f t="shared" si="10"/>
        <v>0</v>
      </c>
      <c r="AD96" s="2856"/>
      <c r="AE96" s="2856"/>
      <c r="AF96" s="2856"/>
      <c r="AG96" s="2856"/>
      <c r="AH96" s="2856"/>
      <c r="AI96" s="2856"/>
      <c r="AJ96" s="2856"/>
      <c r="AK96" s="2856"/>
      <c r="AL96" s="2856"/>
      <c r="AM96" s="2856"/>
      <c r="AN96" s="2856"/>
      <c r="AO96" s="2856"/>
      <c r="AP96" s="2856"/>
      <c r="AQ96" s="2856"/>
      <c r="AR96" s="2856"/>
      <c r="AS96" s="2856"/>
      <c r="AT96" s="2866"/>
      <c r="AU96" s="2867"/>
      <c r="AV96" s="1182">
        <f t="shared" si="11"/>
        <v>0</v>
      </c>
      <c r="AW96" s="1182">
        <f t="shared" si="12"/>
        <v>0</v>
      </c>
      <c r="AX96" s="1182">
        <f t="shared" si="13"/>
        <v>0</v>
      </c>
      <c r="AY96" s="2881">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8">
        <f t="shared" si="35"/>
        <v>0</v>
      </c>
    </row>
    <row r="97" spans="1:72">
      <c r="A97" s="2833"/>
      <c r="B97" s="2834"/>
      <c r="C97" s="2834"/>
      <c r="D97" s="2835"/>
      <c r="E97" s="2836">
        <f t="shared" si="7"/>
        <v>0</v>
      </c>
      <c r="F97" s="2837"/>
      <c r="G97" s="2838">
        <f t="shared" si="8"/>
        <v>0</v>
      </c>
      <c r="H97" s="2839">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6">
        <f t="shared" si="10"/>
        <v>0</v>
      </c>
      <c r="AD97" s="2856"/>
      <c r="AE97" s="2856"/>
      <c r="AF97" s="2856"/>
      <c r="AG97" s="2856"/>
      <c r="AH97" s="2856"/>
      <c r="AI97" s="2856"/>
      <c r="AJ97" s="2856"/>
      <c r="AK97" s="2856"/>
      <c r="AL97" s="2856"/>
      <c r="AM97" s="2856"/>
      <c r="AN97" s="2856"/>
      <c r="AO97" s="2856"/>
      <c r="AP97" s="2856"/>
      <c r="AQ97" s="2856"/>
      <c r="AR97" s="2856"/>
      <c r="AS97" s="2856"/>
      <c r="AT97" s="2866"/>
      <c r="AU97" s="2867"/>
      <c r="AV97" s="1182">
        <f t="shared" si="11"/>
        <v>0</v>
      </c>
      <c r="AW97" s="1182">
        <f t="shared" si="12"/>
        <v>0</v>
      </c>
      <c r="AX97" s="1182">
        <f t="shared" si="13"/>
        <v>0</v>
      </c>
      <c r="AY97" s="2881">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8">
        <f t="shared" si="35"/>
        <v>0</v>
      </c>
    </row>
    <row r="98" spans="1:72">
      <c r="A98" s="2833"/>
      <c r="B98" s="2834"/>
      <c r="C98" s="2834"/>
      <c r="D98" s="2835"/>
      <c r="E98" s="2836">
        <f t="shared" si="7"/>
        <v>0</v>
      </c>
      <c r="F98" s="2837"/>
      <c r="G98" s="2838">
        <f t="shared" si="8"/>
        <v>0</v>
      </c>
      <c r="H98" s="2839">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6">
        <f t="shared" si="10"/>
        <v>0</v>
      </c>
      <c r="AD98" s="2856"/>
      <c r="AE98" s="2856"/>
      <c r="AF98" s="2856"/>
      <c r="AG98" s="2856"/>
      <c r="AH98" s="2856"/>
      <c r="AI98" s="2856"/>
      <c r="AJ98" s="2856"/>
      <c r="AK98" s="2856"/>
      <c r="AL98" s="2856"/>
      <c r="AM98" s="2856"/>
      <c r="AN98" s="2856"/>
      <c r="AO98" s="2856"/>
      <c r="AP98" s="2856"/>
      <c r="AQ98" s="2856"/>
      <c r="AR98" s="2856"/>
      <c r="AS98" s="2856"/>
      <c r="AT98" s="2866"/>
      <c r="AU98" s="2867"/>
      <c r="AV98" s="1182">
        <f t="shared" si="11"/>
        <v>0</v>
      </c>
      <c r="AW98" s="1182">
        <f t="shared" si="12"/>
        <v>0</v>
      </c>
      <c r="AX98" s="1182">
        <f t="shared" si="13"/>
        <v>0</v>
      </c>
      <c r="AY98" s="2881">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8">
        <f t="shared" si="35"/>
        <v>0</v>
      </c>
    </row>
    <row r="99" spans="1:72">
      <c r="A99" s="2833"/>
      <c r="B99" s="2834"/>
      <c r="C99" s="2834"/>
      <c r="D99" s="2835"/>
      <c r="E99" s="2836">
        <f t="shared" si="7"/>
        <v>0</v>
      </c>
      <c r="F99" s="2837"/>
      <c r="G99" s="2838">
        <f t="shared" si="8"/>
        <v>0</v>
      </c>
      <c r="H99" s="2839">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6">
        <f t="shared" si="10"/>
        <v>0</v>
      </c>
      <c r="AD99" s="2856"/>
      <c r="AE99" s="2856"/>
      <c r="AF99" s="2856"/>
      <c r="AG99" s="2856"/>
      <c r="AH99" s="2856"/>
      <c r="AI99" s="2856"/>
      <c r="AJ99" s="2856"/>
      <c r="AK99" s="2856"/>
      <c r="AL99" s="2856"/>
      <c r="AM99" s="2856"/>
      <c r="AN99" s="2856"/>
      <c r="AO99" s="2856"/>
      <c r="AP99" s="2856"/>
      <c r="AQ99" s="2856"/>
      <c r="AR99" s="2856"/>
      <c r="AS99" s="2856"/>
      <c r="AT99" s="2866"/>
      <c r="AU99" s="2867"/>
      <c r="AV99" s="1182">
        <f t="shared" si="11"/>
        <v>0</v>
      </c>
      <c r="AW99" s="1182">
        <f t="shared" si="12"/>
        <v>0</v>
      </c>
      <c r="AX99" s="1182">
        <f t="shared" si="13"/>
        <v>0</v>
      </c>
      <c r="AY99" s="2881">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8">
        <f t="shared" si="35"/>
        <v>0</v>
      </c>
    </row>
    <row r="100" spans="1:72">
      <c r="A100" s="2833"/>
      <c r="B100" s="2834"/>
      <c r="C100" s="2834"/>
      <c r="D100" s="2835"/>
      <c r="E100" s="2836">
        <f t="shared" si="7"/>
        <v>0</v>
      </c>
      <c r="F100" s="2837"/>
      <c r="G100" s="2838">
        <f t="shared" si="8"/>
        <v>0</v>
      </c>
      <c r="H100" s="2839">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6">
        <f t="shared" si="10"/>
        <v>0</v>
      </c>
      <c r="AD100" s="2856"/>
      <c r="AE100" s="2856"/>
      <c r="AF100" s="2856"/>
      <c r="AG100" s="2856"/>
      <c r="AH100" s="2856"/>
      <c r="AI100" s="2856"/>
      <c r="AJ100" s="2856"/>
      <c r="AK100" s="2856"/>
      <c r="AL100" s="2856"/>
      <c r="AM100" s="2856"/>
      <c r="AN100" s="2856"/>
      <c r="AO100" s="2856"/>
      <c r="AP100" s="2856"/>
      <c r="AQ100" s="2856"/>
      <c r="AR100" s="2856"/>
      <c r="AS100" s="2856"/>
      <c r="AT100" s="2866"/>
      <c r="AU100" s="2867"/>
      <c r="AV100" s="1182">
        <f t="shared" si="11"/>
        <v>0</v>
      </c>
      <c r="AW100" s="1182">
        <f t="shared" si="12"/>
        <v>0</v>
      </c>
      <c r="AX100" s="1182">
        <f t="shared" si="13"/>
        <v>0</v>
      </c>
      <c r="AY100" s="2881">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8">
        <f t="shared" si="35"/>
        <v>0</v>
      </c>
    </row>
    <row r="101" spans="1:72">
      <c r="A101" s="2833"/>
      <c r="B101" s="2834"/>
      <c r="C101" s="2834"/>
      <c r="D101" s="2835"/>
      <c r="E101" s="2836">
        <f t="shared" si="7"/>
        <v>0</v>
      </c>
      <c r="F101" s="2837"/>
      <c r="G101" s="2838">
        <f t="shared" si="8"/>
        <v>0</v>
      </c>
      <c r="H101" s="2839">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6">
        <f t="shared" si="10"/>
        <v>0</v>
      </c>
      <c r="AD101" s="2856"/>
      <c r="AE101" s="2856"/>
      <c r="AF101" s="2856"/>
      <c r="AG101" s="2856"/>
      <c r="AH101" s="2856"/>
      <c r="AI101" s="2856"/>
      <c r="AJ101" s="2856"/>
      <c r="AK101" s="2856"/>
      <c r="AL101" s="2856"/>
      <c r="AM101" s="2856"/>
      <c r="AN101" s="2856"/>
      <c r="AO101" s="2856"/>
      <c r="AP101" s="2856"/>
      <c r="AQ101" s="2856"/>
      <c r="AR101" s="2856"/>
      <c r="AS101" s="2856"/>
      <c r="AT101" s="2866"/>
      <c r="AU101" s="2867"/>
      <c r="AV101" s="1182">
        <f t="shared" si="11"/>
        <v>0</v>
      </c>
      <c r="AW101" s="1182">
        <f t="shared" si="12"/>
        <v>0</v>
      </c>
      <c r="AX101" s="1182">
        <f t="shared" si="13"/>
        <v>0</v>
      </c>
      <c r="AY101" s="2881">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8">
        <f t="shared" si="35"/>
        <v>0</v>
      </c>
    </row>
    <row r="102" spans="1:72">
      <c r="A102" s="2833"/>
      <c r="B102" s="2834"/>
      <c r="C102" s="2834"/>
      <c r="D102" s="2835"/>
      <c r="E102" s="2836">
        <f t="shared" si="7"/>
        <v>0</v>
      </c>
      <c r="F102" s="2837"/>
      <c r="G102" s="2838">
        <f t="shared" si="8"/>
        <v>0</v>
      </c>
      <c r="H102" s="2839">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6">
        <f t="shared" si="10"/>
        <v>0</v>
      </c>
      <c r="AD102" s="2856"/>
      <c r="AE102" s="2856"/>
      <c r="AF102" s="2856"/>
      <c r="AG102" s="2856"/>
      <c r="AH102" s="2856"/>
      <c r="AI102" s="2856"/>
      <c r="AJ102" s="2856"/>
      <c r="AK102" s="2856"/>
      <c r="AL102" s="2856"/>
      <c r="AM102" s="2856"/>
      <c r="AN102" s="2856"/>
      <c r="AO102" s="2856"/>
      <c r="AP102" s="2856"/>
      <c r="AQ102" s="2856"/>
      <c r="AR102" s="2856"/>
      <c r="AS102" s="2856"/>
      <c r="AT102" s="2866"/>
      <c r="AU102" s="2867"/>
      <c r="AV102" s="1182">
        <f t="shared" si="11"/>
        <v>0</v>
      </c>
      <c r="AW102" s="1182">
        <f t="shared" si="12"/>
        <v>0</v>
      </c>
      <c r="AX102" s="1182">
        <f t="shared" si="13"/>
        <v>0</v>
      </c>
      <c r="AY102" s="2881">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8">
        <f t="shared" si="35"/>
        <v>0</v>
      </c>
    </row>
    <row r="103" spans="1:72">
      <c r="A103" s="2833"/>
      <c r="B103" s="2834"/>
      <c r="C103" s="2834"/>
      <c r="D103" s="2835"/>
      <c r="E103" s="2836">
        <f t="shared" si="7"/>
        <v>0</v>
      </c>
      <c r="F103" s="2837"/>
      <c r="G103" s="2838">
        <f t="shared" si="8"/>
        <v>0</v>
      </c>
      <c r="H103" s="2839">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6">
        <f t="shared" si="10"/>
        <v>0</v>
      </c>
      <c r="AD103" s="2856"/>
      <c r="AE103" s="2856"/>
      <c r="AF103" s="2856"/>
      <c r="AG103" s="2856"/>
      <c r="AH103" s="2856"/>
      <c r="AI103" s="2856"/>
      <c r="AJ103" s="2856"/>
      <c r="AK103" s="2856"/>
      <c r="AL103" s="2856"/>
      <c r="AM103" s="2856"/>
      <c r="AN103" s="2856"/>
      <c r="AO103" s="2856"/>
      <c r="AP103" s="2856"/>
      <c r="AQ103" s="2856"/>
      <c r="AR103" s="2856"/>
      <c r="AS103" s="2856"/>
      <c r="AT103" s="2866"/>
      <c r="AU103" s="2867"/>
      <c r="AV103" s="1182">
        <f t="shared" si="11"/>
        <v>0</v>
      </c>
      <c r="AW103" s="1182">
        <f t="shared" si="12"/>
        <v>0</v>
      </c>
      <c r="AX103" s="1182">
        <f t="shared" si="13"/>
        <v>0</v>
      </c>
      <c r="AY103" s="2881">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8">
        <f t="shared" si="35"/>
        <v>0</v>
      </c>
    </row>
    <row r="104" spans="1:72">
      <c r="A104" s="2833"/>
      <c r="B104" s="2834"/>
      <c r="C104" s="2834"/>
      <c r="D104" s="2835"/>
      <c r="E104" s="2836">
        <f t="shared" si="7"/>
        <v>0</v>
      </c>
      <c r="F104" s="2837"/>
      <c r="G104" s="2838">
        <f t="shared" si="8"/>
        <v>0</v>
      </c>
      <c r="H104" s="2839">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6">
        <f t="shared" si="10"/>
        <v>0</v>
      </c>
      <c r="AD104" s="2856"/>
      <c r="AE104" s="2856"/>
      <c r="AF104" s="2856"/>
      <c r="AG104" s="2856"/>
      <c r="AH104" s="2856"/>
      <c r="AI104" s="2856"/>
      <c r="AJ104" s="2856"/>
      <c r="AK104" s="2856"/>
      <c r="AL104" s="2856"/>
      <c r="AM104" s="2856"/>
      <c r="AN104" s="2856"/>
      <c r="AO104" s="2856"/>
      <c r="AP104" s="2856"/>
      <c r="AQ104" s="2856"/>
      <c r="AR104" s="2856"/>
      <c r="AS104" s="2856"/>
      <c r="AT104" s="2866"/>
      <c r="AU104" s="2867"/>
      <c r="AV104" s="1182">
        <f t="shared" si="11"/>
        <v>0</v>
      </c>
      <c r="AW104" s="1182">
        <f t="shared" si="12"/>
        <v>0</v>
      </c>
      <c r="AX104" s="1182">
        <f t="shared" si="13"/>
        <v>0</v>
      </c>
      <c r="AY104" s="2881">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8">
        <f t="shared" si="35"/>
        <v>0</v>
      </c>
    </row>
    <row r="105" spans="1:72">
      <c r="A105" s="2833"/>
      <c r="B105" s="2834"/>
      <c r="C105" s="2834"/>
      <c r="D105" s="2835"/>
      <c r="E105" s="2836">
        <f t="shared" si="7"/>
        <v>0</v>
      </c>
      <c r="F105" s="2837"/>
      <c r="G105" s="2838">
        <f t="shared" si="8"/>
        <v>0</v>
      </c>
      <c r="H105" s="2839">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6">
        <f t="shared" si="10"/>
        <v>0</v>
      </c>
      <c r="AD105" s="2856"/>
      <c r="AE105" s="2856"/>
      <c r="AF105" s="2856"/>
      <c r="AG105" s="2856"/>
      <c r="AH105" s="2856"/>
      <c r="AI105" s="2856"/>
      <c r="AJ105" s="2856"/>
      <c r="AK105" s="2856"/>
      <c r="AL105" s="2856"/>
      <c r="AM105" s="2856"/>
      <c r="AN105" s="2856"/>
      <c r="AO105" s="2856"/>
      <c r="AP105" s="2856"/>
      <c r="AQ105" s="2856"/>
      <c r="AR105" s="2856"/>
      <c r="AS105" s="2856"/>
      <c r="AT105" s="2866"/>
      <c r="AU105" s="2867"/>
      <c r="AV105" s="1182">
        <f t="shared" si="11"/>
        <v>0</v>
      </c>
      <c r="AW105" s="1182">
        <f t="shared" si="12"/>
        <v>0</v>
      </c>
      <c r="AX105" s="1182">
        <f t="shared" si="13"/>
        <v>0</v>
      </c>
      <c r="AY105" s="2881">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8">
        <f t="shared" si="35"/>
        <v>0</v>
      </c>
    </row>
    <row r="106" spans="1:72">
      <c r="A106" s="2833"/>
      <c r="B106" s="2834"/>
      <c r="C106" s="2834"/>
      <c r="D106" s="2835"/>
      <c r="E106" s="2836">
        <f t="shared" si="7"/>
        <v>0</v>
      </c>
      <c r="F106" s="2837"/>
      <c r="G106" s="2838">
        <f t="shared" si="8"/>
        <v>0</v>
      </c>
      <c r="H106" s="2839">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6">
        <f t="shared" si="10"/>
        <v>0</v>
      </c>
      <c r="AD106" s="2856"/>
      <c r="AE106" s="2856"/>
      <c r="AF106" s="2856"/>
      <c r="AG106" s="2856"/>
      <c r="AH106" s="2856"/>
      <c r="AI106" s="2856"/>
      <c r="AJ106" s="2856"/>
      <c r="AK106" s="2856"/>
      <c r="AL106" s="2856"/>
      <c r="AM106" s="2856"/>
      <c r="AN106" s="2856"/>
      <c r="AO106" s="2856"/>
      <c r="AP106" s="2856"/>
      <c r="AQ106" s="2856"/>
      <c r="AR106" s="2856"/>
      <c r="AS106" s="2856"/>
      <c r="AT106" s="2866"/>
      <c r="AU106" s="2867"/>
      <c r="AV106" s="1182">
        <f t="shared" si="11"/>
        <v>0</v>
      </c>
      <c r="AW106" s="1182">
        <f t="shared" si="12"/>
        <v>0</v>
      </c>
      <c r="AX106" s="1182">
        <f t="shared" si="13"/>
        <v>0</v>
      </c>
      <c r="AY106" s="2881">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8">
        <f t="shared" si="35"/>
        <v>0</v>
      </c>
    </row>
    <row r="107" spans="1:72">
      <c r="A107" s="2833"/>
      <c r="B107" s="2834"/>
      <c r="C107" s="2834"/>
      <c r="D107" s="2835"/>
      <c r="E107" s="2836">
        <f t="shared" si="7"/>
        <v>0</v>
      </c>
      <c r="F107" s="2837"/>
      <c r="G107" s="2838">
        <f t="shared" si="8"/>
        <v>0</v>
      </c>
      <c r="H107" s="2839">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6">
        <f t="shared" si="10"/>
        <v>0</v>
      </c>
      <c r="AD107" s="2856"/>
      <c r="AE107" s="2856"/>
      <c r="AF107" s="2856"/>
      <c r="AG107" s="2856"/>
      <c r="AH107" s="2856"/>
      <c r="AI107" s="2856"/>
      <c r="AJ107" s="2856"/>
      <c r="AK107" s="2856"/>
      <c r="AL107" s="2856"/>
      <c r="AM107" s="2856"/>
      <c r="AN107" s="2856"/>
      <c r="AO107" s="2856"/>
      <c r="AP107" s="2856"/>
      <c r="AQ107" s="2856"/>
      <c r="AR107" s="2856"/>
      <c r="AS107" s="2856"/>
      <c r="AT107" s="2866"/>
      <c r="AU107" s="2867"/>
      <c r="AV107" s="1182">
        <f t="shared" si="11"/>
        <v>0</v>
      </c>
      <c r="AW107" s="1182">
        <f t="shared" si="12"/>
        <v>0</v>
      </c>
      <c r="AX107" s="1182">
        <f t="shared" si="13"/>
        <v>0</v>
      </c>
      <c r="AY107" s="2881">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8">
        <f t="shared" si="35"/>
        <v>0</v>
      </c>
    </row>
    <row r="108" spans="1:72">
      <c r="A108" s="2833"/>
      <c r="B108" s="2834"/>
      <c r="C108" s="2834"/>
      <c r="D108" s="2835"/>
      <c r="E108" s="2836">
        <f t="shared" si="7"/>
        <v>0</v>
      </c>
      <c r="F108" s="2837"/>
      <c r="G108" s="2838">
        <f t="shared" si="8"/>
        <v>0</v>
      </c>
      <c r="H108" s="2839">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6">
        <f t="shared" si="10"/>
        <v>0</v>
      </c>
      <c r="AD108" s="2856"/>
      <c r="AE108" s="2856"/>
      <c r="AF108" s="2856"/>
      <c r="AG108" s="2856"/>
      <c r="AH108" s="2856"/>
      <c r="AI108" s="2856"/>
      <c r="AJ108" s="2856"/>
      <c r="AK108" s="2856"/>
      <c r="AL108" s="2856"/>
      <c r="AM108" s="2856"/>
      <c r="AN108" s="2856"/>
      <c r="AO108" s="2856"/>
      <c r="AP108" s="2856"/>
      <c r="AQ108" s="2856"/>
      <c r="AR108" s="2856"/>
      <c r="AS108" s="2856"/>
      <c r="AT108" s="2866"/>
      <c r="AU108" s="2867"/>
      <c r="AV108" s="1182">
        <f t="shared" si="11"/>
        <v>0</v>
      </c>
      <c r="AW108" s="1182">
        <f t="shared" si="12"/>
        <v>0</v>
      </c>
      <c r="AX108" s="1182">
        <f t="shared" si="13"/>
        <v>0</v>
      </c>
      <c r="AY108" s="2881">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8">
        <f t="shared" si="35"/>
        <v>0</v>
      </c>
    </row>
    <row r="109" spans="1:72">
      <c r="A109" s="2833"/>
      <c r="B109" s="2834"/>
      <c r="C109" s="2834"/>
      <c r="D109" s="2835"/>
      <c r="E109" s="2836">
        <f t="shared" si="7"/>
        <v>0</v>
      </c>
      <c r="F109" s="2837"/>
      <c r="G109" s="2838">
        <f t="shared" si="8"/>
        <v>0</v>
      </c>
      <c r="H109" s="2839">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6">
        <f t="shared" si="10"/>
        <v>0</v>
      </c>
      <c r="AD109" s="2856"/>
      <c r="AE109" s="2856"/>
      <c r="AF109" s="2856"/>
      <c r="AG109" s="2856"/>
      <c r="AH109" s="2856"/>
      <c r="AI109" s="2856"/>
      <c r="AJ109" s="2856"/>
      <c r="AK109" s="2856"/>
      <c r="AL109" s="2856"/>
      <c r="AM109" s="2856"/>
      <c r="AN109" s="2856"/>
      <c r="AO109" s="2856"/>
      <c r="AP109" s="2856"/>
      <c r="AQ109" s="2856"/>
      <c r="AR109" s="2856"/>
      <c r="AS109" s="2856"/>
      <c r="AT109" s="2866"/>
      <c r="AU109" s="2867"/>
      <c r="AV109" s="1182">
        <f t="shared" si="11"/>
        <v>0</v>
      </c>
      <c r="AW109" s="1182">
        <f t="shared" si="12"/>
        <v>0</v>
      </c>
      <c r="AX109" s="1182">
        <f t="shared" si="13"/>
        <v>0</v>
      </c>
      <c r="AY109" s="2881">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8">
        <f t="shared" si="35"/>
        <v>0</v>
      </c>
    </row>
    <row r="110" spans="1:72">
      <c r="A110" s="2833"/>
      <c r="B110" s="2833"/>
      <c r="C110" s="2833"/>
      <c r="D110" s="2835"/>
      <c r="E110" s="2836">
        <f t="shared" si="7"/>
        <v>0</v>
      </c>
      <c r="F110" s="2889"/>
      <c r="G110" s="2838">
        <f t="shared" ref="G110:G141" si="36">H110+AC110+AT110</f>
        <v>0</v>
      </c>
      <c r="H110" s="2839">
        <f t="shared" ref="H110:H141" si="37">SUMIF(I$12:AB$12,"总值",I110:AB110)</f>
        <v>0</v>
      </c>
      <c r="I110" s="2890"/>
      <c r="J110" s="2890"/>
      <c r="K110" s="2846"/>
      <c r="L110" s="2846"/>
      <c r="M110" s="2846"/>
      <c r="N110" s="2846"/>
      <c r="O110" s="2846"/>
      <c r="P110" s="2846"/>
      <c r="Q110" s="2846"/>
      <c r="R110" s="2846"/>
      <c r="S110" s="2846"/>
      <c r="T110" s="2846"/>
      <c r="U110" s="2846"/>
      <c r="V110" s="2846"/>
      <c r="W110" s="2846"/>
      <c r="X110" s="2846"/>
      <c r="Y110" s="2846"/>
      <c r="Z110" s="2846"/>
      <c r="AA110" s="2846"/>
      <c r="AB110" s="2846"/>
      <c r="AC110" s="2836">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2891"/>
      <c r="AV110" s="1182">
        <f t="shared" si="11"/>
        <v>0</v>
      </c>
      <c r="AW110" s="1182">
        <f t="shared" si="12"/>
        <v>0</v>
      </c>
      <c r="AX110" s="1182">
        <f t="shared" si="13"/>
        <v>0</v>
      </c>
      <c r="AY110" s="2881">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8">
        <f t="shared" ref="BT110:BT141" si="60">IF($D110="是",AR110-AS110,0)</f>
        <v>0</v>
      </c>
    </row>
    <row r="111" spans="1:72">
      <c r="A111" s="2833"/>
      <c r="B111" s="2833"/>
      <c r="C111" s="2833"/>
      <c r="D111" s="2835"/>
      <c r="E111" s="2836">
        <f t="shared" si="7"/>
        <v>0</v>
      </c>
      <c r="F111" s="2889"/>
      <c r="G111" s="2838">
        <f t="shared" si="36"/>
        <v>0</v>
      </c>
      <c r="H111" s="2839">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6">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2891"/>
      <c r="AV111" s="1182">
        <f t="shared" si="11"/>
        <v>0</v>
      </c>
      <c r="AW111" s="1182">
        <f t="shared" si="12"/>
        <v>0</v>
      </c>
      <c r="AX111" s="1182">
        <f t="shared" si="13"/>
        <v>0</v>
      </c>
      <c r="AY111" s="2881">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8">
        <f t="shared" si="60"/>
        <v>0</v>
      </c>
    </row>
    <row r="112" spans="1:72">
      <c r="A112" s="2833"/>
      <c r="B112" s="2833"/>
      <c r="C112" s="2833"/>
      <c r="D112" s="2835"/>
      <c r="E112" s="2836">
        <f t="shared" si="7"/>
        <v>0</v>
      </c>
      <c r="F112" s="2889"/>
      <c r="G112" s="2838">
        <f t="shared" si="36"/>
        <v>0</v>
      </c>
      <c r="H112" s="2839">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6">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2891"/>
      <c r="AV112" s="1182">
        <f t="shared" si="11"/>
        <v>0</v>
      </c>
      <c r="AW112" s="1182">
        <f t="shared" si="12"/>
        <v>0</v>
      </c>
      <c r="AX112" s="1182">
        <f t="shared" si="13"/>
        <v>0</v>
      </c>
      <c r="AY112" s="2881">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8">
        <f t="shared" si="60"/>
        <v>0</v>
      </c>
    </row>
    <row r="113" spans="1:72">
      <c r="A113" s="2833"/>
      <c r="B113" s="2834"/>
      <c r="C113" s="2834"/>
      <c r="D113" s="2835"/>
      <c r="E113" s="2836">
        <f t="shared" ref="E113:E144" si="61">IF($C$3="是",ROUND($A$3*G113/$B$3,2),ROUND($A$3*(G113-AT113)/$B$3,2))</f>
        <v>0</v>
      </c>
      <c r="F113" s="2837"/>
      <c r="G113" s="2838">
        <f t="shared" si="36"/>
        <v>0</v>
      </c>
      <c r="H113" s="2839">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6">
        <f t="shared" si="38"/>
        <v>0</v>
      </c>
      <c r="AD113" s="2856"/>
      <c r="AE113" s="2856"/>
      <c r="AF113" s="2856"/>
      <c r="AG113" s="2856"/>
      <c r="AH113" s="2856"/>
      <c r="AI113" s="2856"/>
      <c r="AJ113" s="2856"/>
      <c r="AK113" s="2856"/>
      <c r="AL113" s="2856"/>
      <c r="AM113" s="2856"/>
      <c r="AN113" s="2856"/>
      <c r="AO113" s="2856"/>
      <c r="AP113" s="2856"/>
      <c r="AQ113" s="2856"/>
      <c r="AR113" s="2856"/>
      <c r="AS113" s="2856"/>
      <c r="AT113" s="2866"/>
      <c r="AU113" s="2867"/>
      <c r="AV113" s="1182">
        <f t="shared" ref="AV113:AV144" si="62">A113</f>
        <v>0</v>
      </c>
      <c r="AW113" s="1182">
        <f t="shared" ref="AW113:AW144" si="63">B113</f>
        <v>0</v>
      </c>
      <c r="AX113" s="1182">
        <f t="shared" ref="AX113:AX144" si="64">C113</f>
        <v>0</v>
      </c>
      <c r="AY113" s="2881">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8">
        <f t="shared" si="60"/>
        <v>0</v>
      </c>
    </row>
    <row r="114" spans="1:72">
      <c r="A114" s="2833"/>
      <c r="B114" s="2834"/>
      <c r="C114" s="2834"/>
      <c r="D114" s="2835"/>
      <c r="E114" s="2836">
        <f t="shared" si="61"/>
        <v>0</v>
      </c>
      <c r="F114" s="2837"/>
      <c r="G114" s="2838">
        <f t="shared" si="36"/>
        <v>0</v>
      </c>
      <c r="H114" s="2839">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6">
        <f t="shared" si="38"/>
        <v>0</v>
      </c>
      <c r="AD114" s="2856"/>
      <c r="AE114" s="2856"/>
      <c r="AF114" s="2856"/>
      <c r="AG114" s="2856"/>
      <c r="AH114" s="2856"/>
      <c r="AI114" s="2856"/>
      <c r="AJ114" s="2856"/>
      <c r="AK114" s="2856"/>
      <c r="AL114" s="2856"/>
      <c r="AM114" s="2856"/>
      <c r="AN114" s="2856"/>
      <c r="AO114" s="2856"/>
      <c r="AP114" s="2856"/>
      <c r="AQ114" s="2856"/>
      <c r="AR114" s="2856"/>
      <c r="AS114" s="2856"/>
      <c r="AT114" s="2866"/>
      <c r="AU114" s="2867"/>
      <c r="AV114" s="1182">
        <f t="shared" si="62"/>
        <v>0</v>
      </c>
      <c r="AW114" s="1182">
        <f t="shared" si="63"/>
        <v>0</v>
      </c>
      <c r="AX114" s="1182">
        <f t="shared" si="64"/>
        <v>0</v>
      </c>
      <c r="AY114" s="2881">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8">
        <f t="shared" si="60"/>
        <v>0</v>
      </c>
    </row>
    <row r="115" spans="1:72">
      <c r="A115" s="2833"/>
      <c r="B115" s="2834"/>
      <c r="C115" s="2834"/>
      <c r="D115" s="2835"/>
      <c r="E115" s="2836">
        <f t="shared" si="61"/>
        <v>0</v>
      </c>
      <c r="F115" s="2837"/>
      <c r="G115" s="2838">
        <f t="shared" si="36"/>
        <v>0</v>
      </c>
      <c r="H115" s="2839">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6">
        <f t="shared" si="38"/>
        <v>0</v>
      </c>
      <c r="AD115" s="2856"/>
      <c r="AE115" s="2856"/>
      <c r="AF115" s="2856"/>
      <c r="AG115" s="2856"/>
      <c r="AH115" s="2856"/>
      <c r="AI115" s="2856"/>
      <c r="AJ115" s="2856"/>
      <c r="AK115" s="2856"/>
      <c r="AL115" s="2856"/>
      <c r="AM115" s="2856"/>
      <c r="AN115" s="2856"/>
      <c r="AO115" s="2856"/>
      <c r="AP115" s="2856"/>
      <c r="AQ115" s="2856"/>
      <c r="AR115" s="2856"/>
      <c r="AS115" s="2856"/>
      <c r="AT115" s="2866"/>
      <c r="AU115" s="2867"/>
      <c r="AV115" s="1182">
        <f t="shared" si="62"/>
        <v>0</v>
      </c>
      <c r="AW115" s="1182">
        <f t="shared" si="63"/>
        <v>0</v>
      </c>
      <c r="AX115" s="1182">
        <f t="shared" si="64"/>
        <v>0</v>
      </c>
      <c r="AY115" s="2881">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8">
        <f t="shared" si="60"/>
        <v>0</v>
      </c>
    </row>
    <row r="116" spans="1:72">
      <c r="A116" s="2833"/>
      <c r="B116" s="2834"/>
      <c r="C116" s="2834"/>
      <c r="D116" s="2835"/>
      <c r="E116" s="2836">
        <f t="shared" si="61"/>
        <v>0</v>
      </c>
      <c r="F116" s="2837"/>
      <c r="G116" s="2838">
        <f t="shared" si="36"/>
        <v>0</v>
      </c>
      <c r="H116" s="2839">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6">
        <f t="shared" si="38"/>
        <v>0</v>
      </c>
      <c r="AD116" s="2856"/>
      <c r="AE116" s="2856"/>
      <c r="AF116" s="2856"/>
      <c r="AG116" s="2856"/>
      <c r="AH116" s="2856"/>
      <c r="AI116" s="2856"/>
      <c r="AJ116" s="2856"/>
      <c r="AK116" s="2856"/>
      <c r="AL116" s="2856"/>
      <c r="AM116" s="2856"/>
      <c r="AN116" s="2856"/>
      <c r="AO116" s="2856"/>
      <c r="AP116" s="2856"/>
      <c r="AQ116" s="2856"/>
      <c r="AR116" s="2856"/>
      <c r="AS116" s="2856"/>
      <c r="AT116" s="2866"/>
      <c r="AU116" s="2867"/>
      <c r="AV116" s="1182">
        <f t="shared" si="62"/>
        <v>0</v>
      </c>
      <c r="AW116" s="1182">
        <f t="shared" si="63"/>
        <v>0</v>
      </c>
      <c r="AX116" s="1182">
        <f t="shared" si="64"/>
        <v>0</v>
      </c>
      <c r="AY116" s="2881">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8">
        <f t="shared" si="60"/>
        <v>0</v>
      </c>
    </row>
    <row r="117" spans="1:72">
      <c r="A117" s="2833"/>
      <c r="B117" s="2834"/>
      <c r="C117" s="2834"/>
      <c r="D117" s="2835"/>
      <c r="E117" s="2836">
        <f t="shared" si="61"/>
        <v>0</v>
      </c>
      <c r="F117" s="2837"/>
      <c r="G117" s="2838">
        <f t="shared" si="36"/>
        <v>0</v>
      </c>
      <c r="H117" s="2839">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6">
        <f t="shared" si="38"/>
        <v>0</v>
      </c>
      <c r="AD117" s="2856"/>
      <c r="AE117" s="2856"/>
      <c r="AF117" s="2856"/>
      <c r="AG117" s="2856"/>
      <c r="AH117" s="2856"/>
      <c r="AI117" s="2856"/>
      <c r="AJ117" s="2856"/>
      <c r="AK117" s="2856"/>
      <c r="AL117" s="2856"/>
      <c r="AM117" s="2856"/>
      <c r="AN117" s="2856"/>
      <c r="AO117" s="2856"/>
      <c r="AP117" s="2856"/>
      <c r="AQ117" s="2856"/>
      <c r="AR117" s="2856"/>
      <c r="AS117" s="2856"/>
      <c r="AT117" s="2866"/>
      <c r="AU117" s="2867"/>
      <c r="AV117" s="1182">
        <f t="shared" si="62"/>
        <v>0</v>
      </c>
      <c r="AW117" s="1182">
        <f t="shared" si="63"/>
        <v>0</v>
      </c>
      <c r="AX117" s="1182">
        <f t="shared" si="64"/>
        <v>0</v>
      </c>
      <c r="AY117" s="2881">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8">
        <f t="shared" si="60"/>
        <v>0</v>
      </c>
    </row>
    <row r="118" spans="1:72">
      <c r="A118" s="2833"/>
      <c r="B118" s="2834"/>
      <c r="C118" s="2834"/>
      <c r="D118" s="2835"/>
      <c r="E118" s="2836">
        <f t="shared" si="61"/>
        <v>0</v>
      </c>
      <c r="F118" s="2837"/>
      <c r="G118" s="2838">
        <f t="shared" si="36"/>
        <v>0</v>
      </c>
      <c r="H118" s="2839">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6">
        <f t="shared" si="38"/>
        <v>0</v>
      </c>
      <c r="AD118" s="2856"/>
      <c r="AE118" s="2856"/>
      <c r="AF118" s="2856"/>
      <c r="AG118" s="2856"/>
      <c r="AH118" s="2856"/>
      <c r="AI118" s="2856"/>
      <c r="AJ118" s="2856"/>
      <c r="AK118" s="2856"/>
      <c r="AL118" s="2856"/>
      <c r="AM118" s="2856"/>
      <c r="AN118" s="2856"/>
      <c r="AO118" s="2856"/>
      <c r="AP118" s="2856"/>
      <c r="AQ118" s="2856"/>
      <c r="AR118" s="2856"/>
      <c r="AS118" s="2856"/>
      <c r="AT118" s="2866"/>
      <c r="AU118" s="2867"/>
      <c r="AV118" s="1182">
        <f t="shared" si="62"/>
        <v>0</v>
      </c>
      <c r="AW118" s="1182">
        <f t="shared" si="63"/>
        <v>0</v>
      </c>
      <c r="AX118" s="1182">
        <f t="shared" si="64"/>
        <v>0</v>
      </c>
      <c r="AY118" s="2881">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8">
        <f t="shared" si="60"/>
        <v>0</v>
      </c>
    </row>
    <row r="119" spans="1:72">
      <c r="A119" s="2833"/>
      <c r="B119" s="2834"/>
      <c r="C119" s="2834"/>
      <c r="D119" s="2835"/>
      <c r="E119" s="2836">
        <f t="shared" si="61"/>
        <v>0</v>
      </c>
      <c r="F119" s="2837"/>
      <c r="G119" s="2838">
        <f t="shared" si="36"/>
        <v>0</v>
      </c>
      <c r="H119" s="2839">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6">
        <f t="shared" si="38"/>
        <v>0</v>
      </c>
      <c r="AD119" s="2856"/>
      <c r="AE119" s="2856"/>
      <c r="AF119" s="2856"/>
      <c r="AG119" s="2856"/>
      <c r="AH119" s="2856"/>
      <c r="AI119" s="2856"/>
      <c r="AJ119" s="2856"/>
      <c r="AK119" s="2856"/>
      <c r="AL119" s="2856"/>
      <c r="AM119" s="2856"/>
      <c r="AN119" s="2856"/>
      <c r="AO119" s="2856"/>
      <c r="AP119" s="2856"/>
      <c r="AQ119" s="2856"/>
      <c r="AR119" s="2856"/>
      <c r="AS119" s="2856"/>
      <c r="AT119" s="2866"/>
      <c r="AU119" s="2867"/>
      <c r="AV119" s="1182">
        <f t="shared" si="62"/>
        <v>0</v>
      </c>
      <c r="AW119" s="1182">
        <f t="shared" si="63"/>
        <v>0</v>
      </c>
      <c r="AX119" s="1182">
        <f t="shared" si="64"/>
        <v>0</v>
      </c>
      <c r="AY119" s="2881">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8">
        <f t="shared" si="60"/>
        <v>0</v>
      </c>
    </row>
    <row r="120" spans="1:72">
      <c r="A120" s="2833"/>
      <c r="B120" s="2834"/>
      <c r="C120" s="2834"/>
      <c r="D120" s="2835"/>
      <c r="E120" s="2836">
        <f t="shared" si="61"/>
        <v>0</v>
      </c>
      <c r="F120" s="2837"/>
      <c r="G120" s="2838">
        <f t="shared" si="36"/>
        <v>0</v>
      </c>
      <c r="H120" s="2839">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6">
        <f t="shared" si="38"/>
        <v>0</v>
      </c>
      <c r="AD120" s="2856"/>
      <c r="AE120" s="2856"/>
      <c r="AF120" s="2856"/>
      <c r="AG120" s="2856"/>
      <c r="AH120" s="2856"/>
      <c r="AI120" s="2856"/>
      <c r="AJ120" s="2856"/>
      <c r="AK120" s="2856"/>
      <c r="AL120" s="2856"/>
      <c r="AM120" s="2856"/>
      <c r="AN120" s="2856"/>
      <c r="AO120" s="2856"/>
      <c r="AP120" s="2856"/>
      <c r="AQ120" s="2856"/>
      <c r="AR120" s="2856"/>
      <c r="AS120" s="2856"/>
      <c r="AT120" s="2866"/>
      <c r="AU120" s="2867"/>
      <c r="AV120" s="1182">
        <f t="shared" si="62"/>
        <v>0</v>
      </c>
      <c r="AW120" s="1182">
        <f t="shared" si="63"/>
        <v>0</v>
      </c>
      <c r="AX120" s="1182">
        <f t="shared" si="64"/>
        <v>0</v>
      </c>
      <c r="AY120" s="2881">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8">
        <f t="shared" si="60"/>
        <v>0</v>
      </c>
    </row>
    <row r="121" spans="1:72">
      <c r="A121" s="2833"/>
      <c r="B121" s="2834"/>
      <c r="C121" s="2834"/>
      <c r="D121" s="2835"/>
      <c r="E121" s="2836">
        <f t="shared" si="61"/>
        <v>0</v>
      </c>
      <c r="F121" s="2837"/>
      <c r="G121" s="2838">
        <f t="shared" si="36"/>
        <v>0</v>
      </c>
      <c r="H121" s="2839">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6">
        <f t="shared" si="38"/>
        <v>0</v>
      </c>
      <c r="AD121" s="2856"/>
      <c r="AE121" s="2856"/>
      <c r="AF121" s="2856"/>
      <c r="AG121" s="2856"/>
      <c r="AH121" s="2856"/>
      <c r="AI121" s="2856"/>
      <c r="AJ121" s="2856"/>
      <c r="AK121" s="2856"/>
      <c r="AL121" s="2856"/>
      <c r="AM121" s="2856"/>
      <c r="AN121" s="2856"/>
      <c r="AO121" s="2856"/>
      <c r="AP121" s="2856"/>
      <c r="AQ121" s="2856"/>
      <c r="AR121" s="2856"/>
      <c r="AS121" s="2856"/>
      <c r="AT121" s="2866"/>
      <c r="AU121" s="2867"/>
      <c r="AV121" s="1182">
        <f t="shared" si="62"/>
        <v>0</v>
      </c>
      <c r="AW121" s="1182">
        <f t="shared" si="63"/>
        <v>0</v>
      </c>
      <c r="AX121" s="1182">
        <f t="shared" si="64"/>
        <v>0</v>
      </c>
      <c r="AY121" s="2881">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8">
        <f t="shared" si="60"/>
        <v>0</v>
      </c>
    </row>
    <row r="122" spans="1:72">
      <c r="A122" s="2833"/>
      <c r="B122" s="2834"/>
      <c r="C122" s="2834"/>
      <c r="D122" s="2835"/>
      <c r="E122" s="2836">
        <f t="shared" si="61"/>
        <v>0</v>
      </c>
      <c r="F122" s="2837"/>
      <c r="G122" s="2838">
        <f t="shared" si="36"/>
        <v>0</v>
      </c>
      <c r="H122" s="2839">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6">
        <f t="shared" si="38"/>
        <v>0</v>
      </c>
      <c r="AD122" s="2856"/>
      <c r="AE122" s="2856"/>
      <c r="AF122" s="2856"/>
      <c r="AG122" s="2856"/>
      <c r="AH122" s="2856"/>
      <c r="AI122" s="2856"/>
      <c r="AJ122" s="2856"/>
      <c r="AK122" s="2856"/>
      <c r="AL122" s="2856"/>
      <c r="AM122" s="2856"/>
      <c r="AN122" s="2856"/>
      <c r="AO122" s="2856"/>
      <c r="AP122" s="2856"/>
      <c r="AQ122" s="2856"/>
      <c r="AR122" s="2856"/>
      <c r="AS122" s="2856"/>
      <c r="AT122" s="2866"/>
      <c r="AU122" s="2867"/>
      <c r="AV122" s="1182">
        <f t="shared" si="62"/>
        <v>0</v>
      </c>
      <c r="AW122" s="1182">
        <f t="shared" si="63"/>
        <v>0</v>
      </c>
      <c r="AX122" s="1182">
        <f t="shared" si="64"/>
        <v>0</v>
      </c>
      <c r="AY122" s="2881">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8">
        <f t="shared" si="60"/>
        <v>0</v>
      </c>
    </row>
    <row r="123" spans="1:72">
      <c r="A123" s="2833"/>
      <c r="B123" s="2834"/>
      <c r="C123" s="2834"/>
      <c r="D123" s="2835"/>
      <c r="E123" s="2836">
        <f t="shared" si="61"/>
        <v>0</v>
      </c>
      <c r="F123" s="2837"/>
      <c r="G123" s="2838">
        <f t="shared" si="36"/>
        <v>0</v>
      </c>
      <c r="H123" s="2839">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6">
        <f t="shared" si="38"/>
        <v>0</v>
      </c>
      <c r="AD123" s="2856"/>
      <c r="AE123" s="2856"/>
      <c r="AF123" s="2856"/>
      <c r="AG123" s="2856"/>
      <c r="AH123" s="2856"/>
      <c r="AI123" s="2856"/>
      <c r="AJ123" s="2856"/>
      <c r="AK123" s="2856"/>
      <c r="AL123" s="2856"/>
      <c r="AM123" s="2856"/>
      <c r="AN123" s="2856"/>
      <c r="AO123" s="2856"/>
      <c r="AP123" s="2856"/>
      <c r="AQ123" s="2856"/>
      <c r="AR123" s="2856"/>
      <c r="AS123" s="2856"/>
      <c r="AT123" s="2866"/>
      <c r="AU123" s="2867"/>
      <c r="AV123" s="1182">
        <f t="shared" si="62"/>
        <v>0</v>
      </c>
      <c r="AW123" s="1182">
        <f t="shared" si="63"/>
        <v>0</v>
      </c>
      <c r="AX123" s="1182">
        <f t="shared" si="64"/>
        <v>0</v>
      </c>
      <c r="AY123" s="2881">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8">
        <f t="shared" si="60"/>
        <v>0</v>
      </c>
    </row>
    <row r="124" spans="1:72">
      <c r="A124" s="2833"/>
      <c r="B124" s="2834"/>
      <c r="C124" s="2834"/>
      <c r="D124" s="2835"/>
      <c r="E124" s="2836">
        <f t="shared" si="61"/>
        <v>0</v>
      </c>
      <c r="F124" s="2837"/>
      <c r="G124" s="2838">
        <f t="shared" si="36"/>
        <v>0</v>
      </c>
      <c r="H124" s="2839">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6">
        <f t="shared" si="38"/>
        <v>0</v>
      </c>
      <c r="AD124" s="2856"/>
      <c r="AE124" s="2856"/>
      <c r="AF124" s="2856"/>
      <c r="AG124" s="2856"/>
      <c r="AH124" s="2856"/>
      <c r="AI124" s="2856"/>
      <c r="AJ124" s="2856"/>
      <c r="AK124" s="2856"/>
      <c r="AL124" s="2856"/>
      <c r="AM124" s="2856"/>
      <c r="AN124" s="2856"/>
      <c r="AO124" s="2856"/>
      <c r="AP124" s="2856"/>
      <c r="AQ124" s="2856"/>
      <c r="AR124" s="2856"/>
      <c r="AS124" s="2856"/>
      <c r="AT124" s="2866"/>
      <c r="AU124" s="2867"/>
      <c r="AV124" s="1182">
        <f t="shared" si="62"/>
        <v>0</v>
      </c>
      <c r="AW124" s="1182">
        <f t="shared" si="63"/>
        <v>0</v>
      </c>
      <c r="AX124" s="1182">
        <f t="shared" si="64"/>
        <v>0</v>
      </c>
      <c r="AY124" s="2881">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8">
        <f t="shared" si="60"/>
        <v>0</v>
      </c>
    </row>
    <row r="125" spans="1:72">
      <c r="A125" s="2833"/>
      <c r="B125" s="2834"/>
      <c r="C125" s="2834"/>
      <c r="D125" s="2835"/>
      <c r="E125" s="2836">
        <f t="shared" si="61"/>
        <v>0</v>
      </c>
      <c r="F125" s="2837"/>
      <c r="G125" s="2838">
        <f t="shared" si="36"/>
        <v>0</v>
      </c>
      <c r="H125" s="2839">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6">
        <f t="shared" si="38"/>
        <v>0</v>
      </c>
      <c r="AD125" s="2856"/>
      <c r="AE125" s="2856"/>
      <c r="AF125" s="2856"/>
      <c r="AG125" s="2856"/>
      <c r="AH125" s="2856"/>
      <c r="AI125" s="2856"/>
      <c r="AJ125" s="2856"/>
      <c r="AK125" s="2856"/>
      <c r="AL125" s="2856"/>
      <c r="AM125" s="2856"/>
      <c r="AN125" s="2856"/>
      <c r="AO125" s="2856"/>
      <c r="AP125" s="2856"/>
      <c r="AQ125" s="2856"/>
      <c r="AR125" s="2856"/>
      <c r="AS125" s="2856"/>
      <c r="AT125" s="2866"/>
      <c r="AU125" s="2867"/>
      <c r="AV125" s="1182">
        <f t="shared" si="62"/>
        <v>0</v>
      </c>
      <c r="AW125" s="1182">
        <f t="shared" si="63"/>
        <v>0</v>
      </c>
      <c r="AX125" s="1182">
        <f t="shared" si="64"/>
        <v>0</v>
      </c>
      <c r="AY125" s="2881">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8">
        <f t="shared" si="60"/>
        <v>0</v>
      </c>
    </row>
    <row r="126" spans="1:72">
      <c r="A126" s="2833"/>
      <c r="B126" s="2834"/>
      <c r="C126" s="2834"/>
      <c r="D126" s="2835"/>
      <c r="E126" s="2836">
        <f t="shared" si="61"/>
        <v>0</v>
      </c>
      <c r="F126" s="2837"/>
      <c r="G126" s="2838">
        <f t="shared" si="36"/>
        <v>0</v>
      </c>
      <c r="H126" s="2839">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6">
        <f t="shared" si="38"/>
        <v>0</v>
      </c>
      <c r="AD126" s="2856"/>
      <c r="AE126" s="2856"/>
      <c r="AF126" s="2856"/>
      <c r="AG126" s="2856"/>
      <c r="AH126" s="2856"/>
      <c r="AI126" s="2856"/>
      <c r="AJ126" s="2856"/>
      <c r="AK126" s="2856"/>
      <c r="AL126" s="2856"/>
      <c r="AM126" s="2856"/>
      <c r="AN126" s="2856"/>
      <c r="AO126" s="2856"/>
      <c r="AP126" s="2856"/>
      <c r="AQ126" s="2856"/>
      <c r="AR126" s="2856"/>
      <c r="AS126" s="2856"/>
      <c r="AT126" s="2866"/>
      <c r="AU126" s="2867"/>
      <c r="AV126" s="1182">
        <f t="shared" si="62"/>
        <v>0</v>
      </c>
      <c r="AW126" s="1182">
        <f t="shared" si="63"/>
        <v>0</v>
      </c>
      <c r="AX126" s="1182">
        <f t="shared" si="64"/>
        <v>0</v>
      </c>
      <c r="AY126" s="2881">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8">
        <f t="shared" si="60"/>
        <v>0</v>
      </c>
    </row>
    <row r="127" spans="1:72">
      <c r="A127" s="2833"/>
      <c r="B127" s="2834"/>
      <c r="C127" s="2834"/>
      <c r="D127" s="2835"/>
      <c r="E127" s="2836">
        <f t="shared" si="61"/>
        <v>0</v>
      </c>
      <c r="F127" s="2837"/>
      <c r="G127" s="2838">
        <f t="shared" si="36"/>
        <v>0</v>
      </c>
      <c r="H127" s="2839">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6">
        <f t="shared" si="38"/>
        <v>0</v>
      </c>
      <c r="AD127" s="2856"/>
      <c r="AE127" s="2856"/>
      <c r="AF127" s="2856"/>
      <c r="AG127" s="2856"/>
      <c r="AH127" s="2856"/>
      <c r="AI127" s="2856"/>
      <c r="AJ127" s="2856"/>
      <c r="AK127" s="2856"/>
      <c r="AL127" s="2856"/>
      <c r="AM127" s="2856"/>
      <c r="AN127" s="2856"/>
      <c r="AO127" s="2856"/>
      <c r="AP127" s="2856"/>
      <c r="AQ127" s="2856"/>
      <c r="AR127" s="2856"/>
      <c r="AS127" s="2856"/>
      <c r="AT127" s="2866"/>
      <c r="AU127" s="2867"/>
      <c r="AV127" s="1182">
        <f t="shared" si="62"/>
        <v>0</v>
      </c>
      <c r="AW127" s="1182">
        <f t="shared" si="63"/>
        <v>0</v>
      </c>
      <c r="AX127" s="1182">
        <f t="shared" si="64"/>
        <v>0</v>
      </c>
      <c r="AY127" s="2881">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8">
        <f t="shared" si="60"/>
        <v>0</v>
      </c>
    </row>
    <row r="128" spans="1:72">
      <c r="A128" s="2833"/>
      <c r="B128" s="2834"/>
      <c r="C128" s="2834"/>
      <c r="D128" s="2835"/>
      <c r="E128" s="2836">
        <f t="shared" si="61"/>
        <v>0</v>
      </c>
      <c r="F128" s="2837"/>
      <c r="G128" s="2838">
        <f t="shared" si="36"/>
        <v>0</v>
      </c>
      <c r="H128" s="2839">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6">
        <f t="shared" si="38"/>
        <v>0</v>
      </c>
      <c r="AD128" s="2856"/>
      <c r="AE128" s="2856"/>
      <c r="AF128" s="2856"/>
      <c r="AG128" s="2856"/>
      <c r="AH128" s="2856"/>
      <c r="AI128" s="2856"/>
      <c r="AJ128" s="2856"/>
      <c r="AK128" s="2856"/>
      <c r="AL128" s="2856"/>
      <c r="AM128" s="2856"/>
      <c r="AN128" s="2856"/>
      <c r="AO128" s="2856"/>
      <c r="AP128" s="2856"/>
      <c r="AQ128" s="2856"/>
      <c r="AR128" s="2856"/>
      <c r="AS128" s="2856"/>
      <c r="AT128" s="2866"/>
      <c r="AU128" s="2867"/>
      <c r="AV128" s="1182">
        <f t="shared" si="62"/>
        <v>0</v>
      </c>
      <c r="AW128" s="1182">
        <f t="shared" si="63"/>
        <v>0</v>
      </c>
      <c r="AX128" s="1182">
        <f t="shared" si="64"/>
        <v>0</v>
      </c>
      <c r="AY128" s="2881">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8">
        <f t="shared" si="60"/>
        <v>0</v>
      </c>
    </row>
    <row r="129" spans="1:72">
      <c r="A129" s="2833"/>
      <c r="B129" s="2834"/>
      <c r="C129" s="2834"/>
      <c r="D129" s="2835"/>
      <c r="E129" s="2836">
        <f t="shared" si="61"/>
        <v>0</v>
      </c>
      <c r="F129" s="2837"/>
      <c r="G129" s="2838">
        <f t="shared" si="36"/>
        <v>0</v>
      </c>
      <c r="H129" s="2839">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6">
        <f t="shared" si="38"/>
        <v>0</v>
      </c>
      <c r="AD129" s="2856"/>
      <c r="AE129" s="2856"/>
      <c r="AF129" s="2856"/>
      <c r="AG129" s="2856"/>
      <c r="AH129" s="2856"/>
      <c r="AI129" s="2856"/>
      <c r="AJ129" s="2856"/>
      <c r="AK129" s="2856"/>
      <c r="AL129" s="2856"/>
      <c r="AM129" s="2856"/>
      <c r="AN129" s="2856"/>
      <c r="AO129" s="2856"/>
      <c r="AP129" s="2856"/>
      <c r="AQ129" s="2856"/>
      <c r="AR129" s="2856"/>
      <c r="AS129" s="2856"/>
      <c r="AT129" s="2866"/>
      <c r="AU129" s="2867"/>
      <c r="AV129" s="1182">
        <f t="shared" si="62"/>
        <v>0</v>
      </c>
      <c r="AW129" s="1182">
        <f t="shared" si="63"/>
        <v>0</v>
      </c>
      <c r="AX129" s="1182">
        <f t="shared" si="64"/>
        <v>0</v>
      </c>
      <c r="AY129" s="2881">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8">
        <f t="shared" si="60"/>
        <v>0</v>
      </c>
    </row>
    <row r="130" spans="1:72">
      <c r="A130" s="2833"/>
      <c r="B130" s="2834"/>
      <c r="C130" s="2834"/>
      <c r="D130" s="2835"/>
      <c r="E130" s="2836">
        <f t="shared" si="61"/>
        <v>0</v>
      </c>
      <c r="F130" s="2837"/>
      <c r="G130" s="2838">
        <f t="shared" si="36"/>
        <v>0</v>
      </c>
      <c r="H130" s="2839">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6">
        <f t="shared" si="38"/>
        <v>0</v>
      </c>
      <c r="AD130" s="2856"/>
      <c r="AE130" s="2856"/>
      <c r="AF130" s="2856"/>
      <c r="AG130" s="2856"/>
      <c r="AH130" s="2856"/>
      <c r="AI130" s="2856"/>
      <c r="AJ130" s="2856"/>
      <c r="AK130" s="2856"/>
      <c r="AL130" s="2856"/>
      <c r="AM130" s="2856"/>
      <c r="AN130" s="2856"/>
      <c r="AO130" s="2856"/>
      <c r="AP130" s="2856"/>
      <c r="AQ130" s="2856"/>
      <c r="AR130" s="2856"/>
      <c r="AS130" s="2856"/>
      <c r="AT130" s="2866"/>
      <c r="AU130" s="2867"/>
      <c r="AV130" s="1182">
        <f t="shared" si="62"/>
        <v>0</v>
      </c>
      <c r="AW130" s="1182">
        <f t="shared" si="63"/>
        <v>0</v>
      </c>
      <c r="AX130" s="1182">
        <f t="shared" si="64"/>
        <v>0</v>
      </c>
      <c r="AY130" s="2881">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8">
        <f t="shared" si="60"/>
        <v>0</v>
      </c>
    </row>
    <row r="131" spans="1:72">
      <c r="A131" s="2833"/>
      <c r="B131" s="2834"/>
      <c r="C131" s="2834"/>
      <c r="D131" s="2835"/>
      <c r="E131" s="2836">
        <f t="shared" si="61"/>
        <v>0</v>
      </c>
      <c r="F131" s="2837"/>
      <c r="G131" s="2838">
        <f t="shared" si="36"/>
        <v>0</v>
      </c>
      <c r="H131" s="2839">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6">
        <f t="shared" si="38"/>
        <v>0</v>
      </c>
      <c r="AD131" s="2856"/>
      <c r="AE131" s="2856"/>
      <c r="AF131" s="2856"/>
      <c r="AG131" s="2856"/>
      <c r="AH131" s="2856"/>
      <c r="AI131" s="2856"/>
      <c r="AJ131" s="2856"/>
      <c r="AK131" s="2856"/>
      <c r="AL131" s="2856"/>
      <c r="AM131" s="2856"/>
      <c r="AN131" s="2856"/>
      <c r="AO131" s="2856"/>
      <c r="AP131" s="2856"/>
      <c r="AQ131" s="2856"/>
      <c r="AR131" s="2856"/>
      <c r="AS131" s="2856"/>
      <c r="AT131" s="2866"/>
      <c r="AU131" s="2867"/>
      <c r="AV131" s="1182">
        <f t="shared" si="62"/>
        <v>0</v>
      </c>
      <c r="AW131" s="1182">
        <f t="shared" si="63"/>
        <v>0</v>
      </c>
      <c r="AX131" s="1182">
        <f t="shared" si="64"/>
        <v>0</v>
      </c>
      <c r="AY131" s="2881">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8">
        <f t="shared" si="60"/>
        <v>0</v>
      </c>
    </row>
    <row r="132" spans="1:72">
      <c r="A132" s="2833"/>
      <c r="B132" s="2834"/>
      <c r="C132" s="2834"/>
      <c r="D132" s="2835"/>
      <c r="E132" s="2836">
        <f t="shared" si="61"/>
        <v>0</v>
      </c>
      <c r="F132" s="2837"/>
      <c r="G132" s="2838">
        <f t="shared" si="36"/>
        <v>0</v>
      </c>
      <c r="H132" s="2839">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6">
        <f t="shared" si="38"/>
        <v>0</v>
      </c>
      <c r="AD132" s="2856"/>
      <c r="AE132" s="2856"/>
      <c r="AF132" s="2856"/>
      <c r="AG132" s="2856"/>
      <c r="AH132" s="2856"/>
      <c r="AI132" s="2856"/>
      <c r="AJ132" s="2856"/>
      <c r="AK132" s="2856"/>
      <c r="AL132" s="2856"/>
      <c r="AM132" s="2856"/>
      <c r="AN132" s="2856"/>
      <c r="AO132" s="2856"/>
      <c r="AP132" s="2856"/>
      <c r="AQ132" s="2856"/>
      <c r="AR132" s="2856"/>
      <c r="AS132" s="2856"/>
      <c r="AT132" s="2866"/>
      <c r="AU132" s="2867"/>
      <c r="AV132" s="1182">
        <f t="shared" si="62"/>
        <v>0</v>
      </c>
      <c r="AW132" s="1182">
        <f t="shared" si="63"/>
        <v>0</v>
      </c>
      <c r="AX132" s="1182">
        <f t="shared" si="64"/>
        <v>0</v>
      </c>
      <c r="AY132" s="2881">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8">
        <f t="shared" si="60"/>
        <v>0</v>
      </c>
    </row>
    <row r="133" spans="1:72">
      <c r="A133" s="2833"/>
      <c r="B133" s="2834"/>
      <c r="C133" s="2834"/>
      <c r="D133" s="2835"/>
      <c r="E133" s="2836">
        <f t="shared" si="61"/>
        <v>0</v>
      </c>
      <c r="F133" s="2837"/>
      <c r="G133" s="2838">
        <f t="shared" si="36"/>
        <v>0</v>
      </c>
      <c r="H133" s="2839">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6">
        <f t="shared" si="38"/>
        <v>0</v>
      </c>
      <c r="AD133" s="2856"/>
      <c r="AE133" s="2856"/>
      <c r="AF133" s="2856"/>
      <c r="AG133" s="2856"/>
      <c r="AH133" s="2856"/>
      <c r="AI133" s="2856"/>
      <c r="AJ133" s="2856"/>
      <c r="AK133" s="2856"/>
      <c r="AL133" s="2856"/>
      <c r="AM133" s="2856"/>
      <c r="AN133" s="2856"/>
      <c r="AO133" s="2856"/>
      <c r="AP133" s="2856"/>
      <c r="AQ133" s="2856"/>
      <c r="AR133" s="2856"/>
      <c r="AS133" s="2856"/>
      <c r="AT133" s="2866"/>
      <c r="AU133" s="2867"/>
      <c r="AV133" s="1182">
        <f t="shared" si="62"/>
        <v>0</v>
      </c>
      <c r="AW133" s="1182">
        <f t="shared" si="63"/>
        <v>0</v>
      </c>
      <c r="AX133" s="1182">
        <f t="shared" si="64"/>
        <v>0</v>
      </c>
      <c r="AY133" s="2881">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8">
        <f t="shared" si="60"/>
        <v>0</v>
      </c>
    </row>
    <row r="134" spans="1:72">
      <c r="A134" s="2833"/>
      <c r="B134" s="2834"/>
      <c r="C134" s="2834"/>
      <c r="D134" s="2835"/>
      <c r="E134" s="2836">
        <f t="shared" si="61"/>
        <v>0</v>
      </c>
      <c r="F134" s="2837"/>
      <c r="G134" s="2838">
        <f t="shared" si="36"/>
        <v>0</v>
      </c>
      <c r="H134" s="2839">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6">
        <f t="shared" si="38"/>
        <v>0</v>
      </c>
      <c r="AD134" s="2856"/>
      <c r="AE134" s="2856"/>
      <c r="AF134" s="2856"/>
      <c r="AG134" s="2856"/>
      <c r="AH134" s="2856"/>
      <c r="AI134" s="2856"/>
      <c r="AJ134" s="2856"/>
      <c r="AK134" s="2856"/>
      <c r="AL134" s="2856"/>
      <c r="AM134" s="2856"/>
      <c r="AN134" s="2856"/>
      <c r="AO134" s="2856"/>
      <c r="AP134" s="2856"/>
      <c r="AQ134" s="2856"/>
      <c r="AR134" s="2856"/>
      <c r="AS134" s="2856"/>
      <c r="AT134" s="2866"/>
      <c r="AU134" s="2867"/>
      <c r="AV134" s="1182">
        <f t="shared" si="62"/>
        <v>0</v>
      </c>
      <c r="AW134" s="1182">
        <f t="shared" si="63"/>
        <v>0</v>
      </c>
      <c r="AX134" s="1182">
        <f t="shared" si="64"/>
        <v>0</v>
      </c>
      <c r="AY134" s="2881">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8">
        <f t="shared" si="60"/>
        <v>0</v>
      </c>
    </row>
    <row r="135" spans="1:72">
      <c r="A135" s="2833"/>
      <c r="B135" s="2834"/>
      <c r="C135" s="2834"/>
      <c r="D135" s="2835"/>
      <c r="E135" s="2836">
        <f t="shared" si="61"/>
        <v>0</v>
      </c>
      <c r="F135" s="2837"/>
      <c r="G135" s="2838">
        <f t="shared" si="36"/>
        <v>0</v>
      </c>
      <c r="H135" s="2839">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6">
        <f t="shared" si="38"/>
        <v>0</v>
      </c>
      <c r="AD135" s="2856"/>
      <c r="AE135" s="2856"/>
      <c r="AF135" s="2856"/>
      <c r="AG135" s="2856"/>
      <c r="AH135" s="2856"/>
      <c r="AI135" s="2856"/>
      <c r="AJ135" s="2856"/>
      <c r="AK135" s="2856"/>
      <c r="AL135" s="2856"/>
      <c r="AM135" s="2856"/>
      <c r="AN135" s="2856"/>
      <c r="AO135" s="2856"/>
      <c r="AP135" s="2856"/>
      <c r="AQ135" s="2856"/>
      <c r="AR135" s="2856"/>
      <c r="AS135" s="2856"/>
      <c r="AT135" s="2866"/>
      <c r="AU135" s="2867"/>
      <c r="AV135" s="1182">
        <f t="shared" si="62"/>
        <v>0</v>
      </c>
      <c r="AW135" s="1182">
        <f t="shared" si="63"/>
        <v>0</v>
      </c>
      <c r="AX135" s="1182">
        <f t="shared" si="64"/>
        <v>0</v>
      </c>
      <c r="AY135" s="2881">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8">
        <f t="shared" si="60"/>
        <v>0</v>
      </c>
    </row>
    <row r="136" spans="1:72">
      <c r="A136" s="2833"/>
      <c r="B136" s="2834"/>
      <c r="C136" s="2834"/>
      <c r="D136" s="2835"/>
      <c r="E136" s="2836">
        <f t="shared" si="61"/>
        <v>0</v>
      </c>
      <c r="F136" s="2837"/>
      <c r="G136" s="2838">
        <f t="shared" si="36"/>
        <v>0</v>
      </c>
      <c r="H136" s="2839">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6">
        <f t="shared" si="38"/>
        <v>0</v>
      </c>
      <c r="AD136" s="2856"/>
      <c r="AE136" s="2856"/>
      <c r="AF136" s="2856"/>
      <c r="AG136" s="2856"/>
      <c r="AH136" s="2856"/>
      <c r="AI136" s="2856"/>
      <c r="AJ136" s="2856"/>
      <c r="AK136" s="2856"/>
      <c r="AL136" s="2856"/>
      <c r="AM136" s="2856"/>
      <c r="AN136" s="2856"/>
      <c r="AO136" s="2856"/>
      <c r="AP136" s="2856"/>
      <c r="AQ136" s="2856"/>
      <c r="AR136" s="2856"/>
      <c r="AS136" s="2856"/>
      <c r="AT136" s="2866"/>
      <c r="AU136" s="2867"/>
      <c r="AV136" s="1182">
        <f t="shared" si="62"/>
        <v>0</v>
      </c>
      <c r="AW136" s="1182">
        <f t="shared" si="63"/>
        <v>0</v>
      </c>
      <c r="AX136" s="1182">
        <f t="shared" si="64"/>
        <v>0</v>
      </c>
      <c r="AY136" s="2881">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8">
        <f t="shared" si="60"/>
        <v>0</v>
      </c>
    </row>
    <row r="137" spans="1:72">
      <c r="A137" s="2833"/>
      <c r="B137" s="2834"/>
      <c r="C137" s="2834"/>
      <c r="D137" s="2835"/>
      <c r="E137" s="2836">
        <f t="shared" si="61"/>
        <v>0</v>
      </c>
      <c r="F137" s="2837"/>
      <c r="G137" s="2838">
        <f t="shared" si="36"/>
        <v>0</v>
      </c>
      <c r="H137" s="2839">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6">
        <f t="shared" si="38"/>
        <v>0</v>
      </c>
      <c r="AD137" s="2856"/>
      <c r="AE137" s="2856"/>
      <c r="AF137" s="2856"/>
      <c r="AG137" s="2856"/>
      <c r="AH137" s="2856"/>
      <c r="AI137" s="2856"/>
      <c r="AJ137" s="2856"/>
      <c r="AK137" s="2856"/>
      <c r="AL137" s="2856"/>
      <c r="AM137" s="2856"/>
      <c r="AN137" s="2856"/>
      <c r="AO137" s="2856"/>
      <c r="AP137" s="2856"/>
      <c r="AQ137" s="2856"/>
      <c r="AR137" s="2856"/>
      <c r="AS137" s="2856"/>
      <c r="AT137" s="2866"/>
      <c r="AU137" s="2867"/>
      <c r="AV137" s="1182">
        <f t="shared" si="62"/>
        <v>0</v>
      </c>
      <c r="AW137" s="1182">
        <f t="shared" si="63"/>
        <v>0</v>
      </c>
      <c r="AX137" s="1182">
        <f t="shared" si="64"/>
        <v>0</v>
      </c>
      <c r="AY137" s="2881">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8">
        <f t="shared" si="60"/>
        <v>0</v>
      </c>
    </row>
    <row r="138" spans="1:72">
      <c r="A138" s="2833"/>
      <c r="B138" s="2834"/>
      <c r="C138" s="2834"/>
      <c r="D138" s="2835"/>
      <c r="E138" s="2836">
        <f t="shared" si="61"/>
        <v>0</v>
      </c>
      <c r="F138" s="2837"/>
      <c r="G138" s="2838">
        <f t="shared" si="36"/>
        <v>0</v>
      </c>
      <c r="H138" s="2839">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6">
        <f t="shared" si="38"/>
        <v>0</v>
      </c>
      <c r="AD138" s="2856"/>
      <c r="AE138" s="2856"/>
      <c r="AF138" s="2856"/>
      <c r="AG138" s="2856"/>
      <c r="AH138" s="2856"/>
      <c r="AI138" s="2856"/>
      <c r="AJ138" s="2856"/>
      <c r="AK138" s="2856"/>
      <c r="AL138" s="2856"/>
      <c r="AM138" s="2856"/>
      <c r="AN138" s="2856"/>
      <c r="AO138" s="2856"/>
      <c r="AP138" s="2856"/>
      <c r="AQ138" s="2856"/>
      <c r="AR138" s="2856"/>
      <c r="AS138" s="2856"/>
      <c r="AT138" s="2866"/>
      <c r="AU138" s="2867"/>
      <c r="AV138" s="1182">
        <f t="shared" si="62"/>
        <v>0</v>
      </c>
      <c r="AW138" s="1182">
        <f t="shared" si="63"/>
        <v>0</v>
      </c>
      <c r="AX138" s="1182">
        <f t="shared" si="64"/>
        <v>0</v>
      </c>
      <c r="AY138" s="2881">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8">
        <f t="shared" si="60"/>
        <v>0</v>
      </c>
    </row>
    <row r="139" spans="1:72">
      <c r="A139" s="2833"/>
      <c r="B139" s="2834"/>
      <c r="C139" s="2834"/>
      <c r="D139" s="2835"/>
      <c r="E139" s="2836">
        <f t="shared" si="61"/>
        <v>0</v>
      </c>
      <c r="F139" s="2837"/>
      <c r="G139" s="2838">
        <f t="shared" si="36"/>
        <v>0</v>
      </c>
      <c r="H139" s="2839">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6">
        <f t="shared" si="38"/>
        <v>0</v>
      </c>
      <c r="AD139" s="2856"/>
      <c r="AE139" s="2856"/>
      <c r="AF139" s="2856"/>
      <c r="AG139" s="2856"/>
      <c r="AH139" s="2856"/>
      <c r="AI139" s="2856"/>
      <c r="AJ139" s="2856"/>
      <c r="AK139" s="2856"/>
      <c r="AL139" s="2856"/>
      <c r="AM139" s="2856"/>
      <c r="AN139" s="2856"/>
      <c r="AO139" s="2856"/>
      <c r="AP139" s="2856"/>
      <c r="AQ139" s="2856"/>
      <c r="AR139" s="2856"/>
      <c r="AS139" s="2856"/>
      <c r="AT139" s="2866"/>
      <c r="AU139" s="2867"/>
      <c r="AV139" s="1182">
        <f t="shared" si="62"/>
        <v>0</v>
      </c>
      <c r="AW139" s="1182">
        <f t="shared" si="63"/>
        <v>0</v>
      </c>
      <c r="AX139" s="1182">
        <f t="shared" si="64"/>
        <v>0</v>
      </c>
      <c r="AY139" s="2881">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8">
        <f t="shared" si="60"/>
        <v>0</v>
      </c>
    </row>
    <row r="140" spans="1:72">
      <c r="A140" s="2833"/>
      <c r="B140" s="2834"/>
      <c r="C140" s="2834"/>
      <c r="D140" s="2835"/>
      <c r="E140" s="2836">
        <f t="shared" si="61"/>
        <v>0</v>
      </c>
      <c r="F140" s="2837"/>
      <c r="G140" s="2838">
        <f t="shared" si="36"/>
        <v>0</v>
      </c>
      <c r="H140" s="2839">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6">
        <f t="shared" si="38"/>
        <v>0</v>
      </c>
      <c r="AD140" s="2856"/>
      <c r="AE140" s="2856"/>
      <c r="AF140" s="2856"/>
      <c r="AG140" s="2856"/>
      <c r="AH140" s="2856"/>
      <c r="AI140" s="2856"/>
      <c r="AJ140" s="2856"/>
      <c r="AK140" s="2856"/>
      <c r="AL140" s="2856"/>
      <c r="AM140" s="2856"/>
      <c r="AN140" s="2856"/>
      <c r="AO140" s="2856"/>
      <c r="AP140" s="2856"/>
      <c r="AQ140" s="2856"/>
      <c r="AR140" s="2856"/>
      <c r="AS140" s="2856"/>
      <c r="AT140" s="2866"/>
      <c r="AU140" s="2867"/>
      <c r="AV140" s="1182">
        <f t="shared" si="62"/>
        <v>0</v>
      </c>
      <c r="AW140" s="1182">
        <f t="shared" si="63"/>
        <v>0</v>
      </c>
      <c r="AX140" s="1182">
        <f t="shared" si="64"/>
        <v>0</v>
      </c>
      <c r="AY140" s="2881">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8">
        <f t="shared" si="60"/>
        <v>0</v>
      </c>
    </row>
    <row r="141" spans="1:72">
      <c r="A141" s="2833"/>
      <c r="B141" s="2834"/>
      <c r="C141" s="2834"/>
      <c r="D141" s="2835"/>
      <c r="E141" s="2836">
        <f t="shared" si="61"/>
        <v>0</v>
      </c>
      <c r="F141" s="2837"/>
      <c r="G141" s="2838">
        <f t="shared" si="36"/>
        <v>0</v>
      </c>
      <c r="H141" s="2839">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6">
        <f t="shared" si="38"/>
        <v>0</v>
      </c>
      <c r="AD141" s="2856"/>
      <c r="AE141" s="2856"/>
      <c r="AF141" s="2856"/>
      <c r="AG141" s="2856"/>
      <c r="AH141" s="2856"/>
      <c r="AI141" s="2856"/>
      <c r="AJ141" s="2856"/>
      <c r="AK141" s="2856"/>
      <c r="AL141" s="2856"/>
      <c r="AM141" s="2856"/>
      <c r="AN141" s="2856"/>
      <c r="AO141" s="2856"/>
      <c r="AP141" s="2856"/>
      <c r="AQ141" s="2856"/>
      <c r="AR141" s="2856"/>
      <c r="AS141" s="2856"/>
      <c r="AT141" s="2866"/>
      <c r="AU141" s="2867"/>
      <c r="AV141" s="1182">
        <f t="shared" si="62"/>
        <v>0</v>
      </c>
      <c r="AW141" s="1182">
        <f t="shared" si="63"/>
        <v>0</v>
      </c>
      <c r="AX141" s="1182">
        <f t="shared" si="64"/>
        <v>0</v>
      </c>
      <c r="AY141" s="2881">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8">
        <f t="shared" si="60"/>
        <v>0</v>
      </c>
    </row>
    <row r="142" spans="1:72">
      <c r="A142" s="2833"/>
      <c r="B142" s="2834"/>
      <c r="C142" s="2834"/>
      <c r="D142" s="2835"/>
      <c r="E142" s="2836">
        <f t="shared" si="61"/>
        <v>0</v>
      </c>
      <c r="F142" s="2837"/>
      <c r="G142" s="2838">
        <f t="shared" ref="G142:G173" si="65">H142+AC142+AT142</f>
        <v>0</v>
      </c>
      <c r="H142" s="2839">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6">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66"/>
      <c r="AU142" s="2867"/>
      <c r="AV142" s="1182">
        <f t="shared" si="62"/>
        <v>0</v>
      </c>
      <c r="AW142" s="1182">
        <f t="shared" si="63"/>
        <v>0</v>
      </c>
      <c r="AX142" s="1182">
        <f t="shared" si="64"/>
        <v>0</v>
      </c>
      <c r="AY142" s="2881">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8">
        <f t="shared" ref="BT142:BT173" si="89">IF($D142="是",AR142-AS142,0)</f>
        <v>0</v>
      </c>
    </row>
    <row r="143" spans="1:72">
      <c r="A143" s="2833"/>
      <c r="B143" s="2834"/>
      <c r="C143" s="2834"/>
      <c r="D143" s="2835"/>
      <c r="E143" s="2836">
        <f t="shared" si="61"/>
        <v>0</v>
      </c>
      <c r="F143" s="2837"/>
      <c r="G143" s="2838">
        <f t="shared" si="65"/>
        <v>0</v>
      </c>
      <c r="H143" s="2839">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6">
        <f t="shared" si="67"/>
        <v>0</v>
      </c>
      <c r="AD143" s="2856"/>
      <c r="AE143" s="2856"/>
      <c r="AF143" s="2856"/>
      <c r="AG143" s="2856"/>
      <c r="AH143" s="2856"/>
      <c r="AI143" s="2856"/>
      <c r="AJ143" s="2856"/>
      <c r="AK143" s="2856"/>
      <c r="AL143" s="2856"/>
      <c r="AM143" s="2856"/>
      <c r="AN143" s="2856"/>
      <c r="AO143" s="2856"/>
      <c r="AP143" s="2856"/>
      <c r="AQ143" s="2856"/>
      <c r="AR143" s="2856"/>
      <c r="AS143" s="2856"/>
      <c r="AT143" s="2866"/>
      <c r="AU143" s="2867"/>
      <c r="AV143" s="1182">
        <f t="shared" si="62"/>
        <v>0</v>
      </c>
      <c r="AW143" s="1182">
        <f t="shared" si="63"/>
        <v>0</v>
      </c>
      <c r="AX143" s="1182">
        <f t="shared" si="64"/>
        <v>0</v>
      </c>
      <c r="AY143" s="2881">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8">
        <f t="shared" si="89"/>
        <v>0</v>
      </c>
    </row>
    <row r="144" spans="1:72">
      <c r="A144" s="2833"/>
      <c r="B144" s="2834"/>
      <c r="C144" s="2834"/>
      <c r="D144" s="2835"/>
      <c r="E144" s="2836">
        <f t="shared" si="61"/>
        <v>0</v>
      </c>
      <c r="F144" s="2837"/>
      <c r="G144" s="2838">
        <f t="shared" si="65"/>
        <v>0</v>
      </c>
      <c r="H144" s="2839">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6">
        <f t="shared" si="67"/>
        <v>0</v>
      </c>
      <c r="AD144" s="2856"/>
      <c r="AE144" s="2856"/>
      <c r="AF144" s="2856"/>
      <c r="AG144" s="2856"/>
      <c r="AH144" s="2856"/>
      <c r="AI144" s="2856"/>
      <c r="AJ144" s="2856"/>
      <c r="AK144" s="2856"/>
      <c r="AL144" s="2856"/>
      <c r="AM144" s="2856"/>
      <c r="AN144" s="2856"/>
      <c r="AO144" s="2856"/>
      <c r="AP144" s="2856"/>
      <c r="AQ144" s="2856"/>
      <c r="AR144" s="2856"/>
      <c r="AS144" s="2856"/>
      <c r="AT144" s="2866"/>
      <c r="AU144" s="2867"/>
      <c r="AV144" s="1182">
        <f t="shared" si="62"/>
        <v>0</v>
      </c>
      <c r="AW144" s="1182">
        <f t="shared" si="63"/>
        <v>0</v>
      </c>
      <c r="AX144" s="1182">
        <f t="shared" si="64"/>
        <v>0</v>
      </c>
      <c r="AY144" s="2881">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8">
        <f t="shared" si="89"/>
        <v>0</v>
      </c>
    </row>
    <row r="145" spans="1:72">
      <c r="A145" s="2833"/>
      <c r="B145" s="2834"/>
      <c r="C145" s="2834"/>
      <c r="D145" s="2835"/>
      <c r="E145" s="2836">
        <f t="shared" ref="E145:E176" si="90">IF($C$3="是",ROUND($A$3*G145/$B$3,2),ROUND($A$3*(G145-AT145)/$B$3,2))</f>
        <v>0</v>
      </c>
      <c r="F145" s="2837"/>
      <c r="G145" s="2838">
        <f t="shared" si="65"/>
        <v>0</v>
      </c>
      <c r="H145" s="2839">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6">
        <f t="shared" si="67"/>
        <v>0</v>
      </c>
      <c r="AD145" s="2856"/>
      <c r="AE145" s="2856"/>
      <c r="AF145" s="2856"/>
      <c r="AG145" s="2856"/>
      <c r="AH145" s="2856"/>
      <c r="AI145" s="2856"/>
      <c r="AJ145" s="2856"/>
      <c r="AK145" s="2856"/>
      <c r="AL145" s="2856"/>
      <c r="AM145" s="2856"/>
      <c r="AN145" s="2856"/>
      <c r="AO145" s="2856"/>
      <c r="AP145" s="2856"/>
      <c r="AQ145" s="2856"/>
      <c r="AR145" s="2856"/>
      <c r="AS145" s="2856"/>
      <c r="AT145" s="2866"/>
      <c r="AU145" s="2867"/>
      <c r="AV145" s="1182">
        <f t="shared" ref="AV145:AV176" si="91">A145</f>
        <v>0</v>
      </c>
      <c r="AW145" s="1182">
        <f t="shared" ref="AW145:AW176" si="92">B145</f>
        <v>0</v>
      </c>
      <c r="AX145" s="1182">
        <f t="shared" ref="AX145:AX176" si="93">C145</f>
        <v>0</v>
      </c>
      <c r="AY145" s="2881">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8">
        <f t="shared" si="89"/>
        <v>0</v>
      </c>
    </row>
    <row r="146" spans="1:72">
      <c r="A146" s="2833"/>
      <c r="B146" s="2834"/>
      <c r="C146" s="2834"/>
      <c r="D146" s="2835"/>
      <c r="E146" s="2836">
        <f t="shared" si="90"/>
        <v>0</v>
      </c>
      <c r="F146" s="2837"/>
      <c r="G146" s="2838">
        <f t="shared" si="65"/>
        <v>0</v>
      </c>
      <c r="H146" s="2839">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6">
        <f t="shared" si="67"/>
        <v>0</v>
      </c>
      <c r="AD146" s="2856"/>
      <c r="AE146" s="2856"/>
      <c r="AF146" s="2856"/>
      <c r="AG146" s="2856"/>
      <c r="AH146" s="2856"/>
      <c r="AI146" s="2856"/>
      <c r="AJ146" s="2856"/>
      <c r="AK146" s="2856"/>
      <c r="AL146" s="2856"/>
      <c r="AM146" s="2856"/>
      <c r="AN146" s="2856"/>
      <c r="AO146" s="2856"/>
      <c r="AP146" s="2856"/>
      <c r="AQ146" s="2856"/>
      <c r="AR146" s="2856"/>
      <c r="AS146" s="2856"/>
      <c r="AT146" s="2866"/>
      <c r="AU146" s="2867"/>
      <c r="AV146" s="1182">
        <f t="shared" si="91"/>
        <v>0</v>
      </c>
      <c r="AW146" s="1182">
        <f t="shared" si="92"/>
        <v>0</v>
      </c>
      <c r="AX146" s="1182">
        <f t="shared" si="93"/>
        <v>0</v>
      </c>
      <c r="AY146" s="2881">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8">
        <f t="shared" si="89"/>
        <v>0</v>
      </c>
    </row>
    <row r="147" spans="1:72">
      <c r="A147" s="2833"/>
      <c r="B147" s="2834"/>
      <c r="C147" s="2834"/>
      <c r="D147" s="2835"/>
      <c r="E147" s="2836">
        <f t="shared" si="90"/>
        <v>0</v>
      </c>
      <c r="F147" s="2837"/>
      <c r="G147" s="2838">
        <f t="shared" si="65"/>
        <v>0</v>
      </c>
      <c r="H147" s="2839">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6">
        <f t="shared" si="67"/>
        <v>0</v>
      </c>
      <c r="AD147" s="2856"/>
      <c r="AE147" s="2856"/>
      <c r="AF147" s="2856"/>
      <c r="AG147" s="2856"/>
      <c r="AH147" s="2856"/>
      <c r="AI147" s="2856"/>
      <c r="AJ147" s="2856"/>
      <c r="AK147" s="2856"/>
      <c r="AL147" s="2856"/>
      <c r="AM147" s="2856"/>
      <c r="AN147" s="2856"/>
      <c r="AO147" s="2856"/>
      <c r="AP147" s="2856"/>
      <c r="AQ147" s="2856"/>
      <c r="AR147" s="2856"/>
      <c r="AS147" s="2856"/>
      <c r="AT147" s="2866"/>
      <c r="AU147" s="2867"/>
      <c r="AV147" s="1182">
        <f t="shared" si="91"/>
        <v>0</v>
      </c>
      <c r="AW147" s="1182">
        <f t="shared" si="92"/>
        <v>0</v>
      </c>
      <c r="AX147" s="1182">
        <f t="shared" si="93"/>
        <v>0</v>
      </c>
      <c r="AY147" s="2881">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8">
        <f t="shared" si="89"/>
        <v>0</v>
      </c>
    </row>
    <row r="148" spans="1:72">
      <c r="A148" s="2833"/>
      <c r="B148" s="2834"/>
      <c r="C148" s="2834"/>
      <c r="D148" s="2835"/>
      <c r="E148" s="2836">
        <f t="shared" si="90"/>
        <v>0</v>
      </c>
      <c r="F148" s="2837"/>
      <c r="G148" s="2838">
        <f t="shared" si="65"/>
        <v>0</v>
      </c>
      <c r="H148" s="2839">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6">
        <f t="shared" si="67"/>
        <v>0</v>
      </c>
      <c r="AD148" s="2856"/>
      <c r="AE148" s="2856"/>
      <c r="AF148" s="2856"/>
      <c r="AG148" s="2856"/>
      <c r="AH148" s="2856"/>
      <c r="AI148" s="2856"/>
      <c r="AJ148" s="2856"/>
      <c r="AK148" s="2856"/>
      <c r="AL148" s="2856"/>
      <c r="AM148" s="2856"/>
      <c r="AN148" s="2856"/>
      <c r="AO148" s="2856"/>
      <c r="AP148" s="2856"/>
      <c r="AQ148" s="2856"/>
      <c r="AR148" s="2856"/>
      <c r="AS148" s="2856"/>
      <c r="AT148" s="2866"/>
      <c r="AU148" s="2867"/>
      <c r="AV148" s="1182">
        <f t="shared" si="91"/>
        <v>0</v>
      </c>
      <c r="AW148" s="1182">
        <f t="shared" si="92"/>
        <v>0</v>
      </c>
      <c r="AX148" s="1182">
        <f t="shared" si="93"/>
        <v>0</v>
      </c>
      <c r="AY148" s="2881">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8">
        <f t="shared" si="89"/>
        <v>0</v>
      </c>
    </row>
    <row r="149" spans="1:72">
      <c r="A149" s="2833"/>
      <c r="B149" s="2834"/>
      <c r="C149" s="2834"/>
      <c r="D149" s="2835"/>
      <c r="E149" s="2836">
        <f t="shared" si="90"/>
        <v>0</v>
      </c>
      <c r="F149" s="2837"/>
      <c r="G149" s="2838">
        <f t="shared" si="65"/>
        <v>0</v>
      </c>
      <c r="H149" s="2839">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6">
        <f t="shared" si="67"/>
        <v>0</v>
      </c>
      <c r="AD149" s="2856"/>
      <c r="AE149" s="2856"/>
      <c r="AF149" s="2856"/>
      <c r="AG149" s="2856"/>
      <c r="AH149" s="2856"/>
      <c r="AI149" s="2856"/>
      <c r="AJ149" s="2856"/>
      <c r="AK149" s="2856"/>
      <c r="AL149" s="2856"/>
      <c r="AM149" s="2856"/>
      <c r="AN149" s="2856"/>
      <c r="AO149" s="2856"/>
      <c r="AP149" s="2856"/>
      <c r="AQ149" s="2856"/>
      <c r="AR149" s="2856"/>
      <c r="AS149" s="2856"/>
      <c r="AT149" s="2866"/>
      <c r="AU149" s="2867"/>
      <c r="AV149" s="1182">
        <f t="shared" si="91"/>
        <v>0</v>
      </c>
      <c r="AW149" s="1182">
        <f t="shared" si="92"/>
        <v>0</v>
      </c>
      <c r="AX149" s="1182">
        <f t="shared" si="93"/>
        <v>0</v>
      </c>
      <c r="AY149" s="2881">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8">
        <f t="shared" si="89"/>
        <v>0</v>
      </c>
    </row>
    <row r="150" spans="1:72">
      <c r="A150" s="2833"/>
      <c r="B150" s="2834"/>
      <c r="C150" s="2834"/>
      <c r="D150" s="2835"/>
      <c r="E150" s="2836">
        <f t="shared" si="90"/>
        <v>0</v>
      </c>
      <c r="F150" s="2837"/>
      <c r="G150" s="2838">
        <f t="shared" si="65"/>
        <v>0</v>
      </c>
      <c r="H150" s="2839">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6">
        <f t="shared" si="67"/>
        <v>0</v>
      </c>
      <c r="AD150" s="2856"/>
      <c r="AE150" s="2856"/>
      <c r="AF150" s="2856"/>
      <c r="AG150" s="2856"/>
      <c r="AH150" s="2856"/>
      <c r="AI150" s="2856"/>
      <c r="AJ150" s="2856"/>
      <c r="AK150" s="2856"/>
      <c r="AL150" s="2856"/>
      <c r="AM150" s="2856"/>
      <c r="AN150" s="2856"/>
      <c r="AO150" s="2856"/>
      <c r="AP150" s="2856"/>
      <c r="AQ150" s="2856"/>
      <c r="AR150" s="2856"/>
      <c r="AS150" s="2856"/>
      <c r="AT150" s="2866"/>
      <c r="AU150" s="2867"/>
      <c r="AV150" s="1182">
        <f t="shared" si="91"/>
        <v>0</v>
      </c>
      <c r="AW150" s="1182">
        <f t="shared" si="92"/>
        <v>0</v>
      </c>
      <c r="AX150" s="1182">
        <f t="shared" si="93"/>
        <v>0</v>
      </c>
      <c r="AY150" s="2881">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8">
        <f t="shared" si="89"/>
        <v>0</v>
      </c>
    </row>
    <row r="151" spans="1:72">
      <c r="A151" s="2833"/>
      <c r="B151" s="2834"/>
      <c r="C151" s="2834"/>
      <c r="D151" s="2835"/>
      <c r="E151" s="2836">
        <f t="shared" si="90"/>
        <v>0</v>
      </c>
      <c r="F151" s="2837"/>
      <c r="G151" s="2838">
        <f t="shared" si="65"/>
        <v>0</v>
      </c>
      <c r="H151" s="2839">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6">
        <f t="shared" si="67"/>
        <v>0</v>
      </c>
      <c r="AD151" s="2856"/>
      <c r="AE151" s="2856"/>
      <c r="AF151" s="2856"/>
      <c r="AG151" s="2856"/>
      <c r="AH151" s="2856"/>
      <c r="AI151" s="2856"/>
      <c r="AJ151" s="2856"/>
      <c r="AK151" s="2856"/>
      <c r="AL151" s="2856"/>
      <c r="AM151" s="2856"/>
      <c r="AN151" s="2856"/>
      <c r="AO151" s="2856"/>
      <c r="AP151" s="2856"/>
      <c r="AQ151" s="2856"/>
      <c r="AR151" s="2856"/>
      <c r="AS151" s="2856"/>
      <c r="AT151" s="2866"/>
      <c r="AU151" s="2867"/>
      <c r="AV151" s="1182">
        <f t="shared" si="91"/>
        <v>0</v>
      </c>
      <c r="AW151" s="1182">
        <f t="shared" si="92"/>
        <v>0</v>
      </c>
      <c r="AX151" s="1182">
        <f t="shared" si="93"/>
        <v>0</v>
      </c>
      <c r="AY151" s="2881">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8">
        <f t="shared" si="89"/>
        <v>0</v>
      </c>
    </row>
    <row r="152" spans="1:72">
      <c r="A152" s="2833"/>
      <c r="B152" s="2834"/>
      <c r="C152" s="2834"/>
      <c r="D152" s="2835"/>
      <c r="E152" s="2836">
        <f t="shared" si="90"/>
        <v>0</v>
      </c>
      <c r="F152" s="2837"/>
      <c r="G152" s="2838">
        <f t="shared" si="65"/>
        <v>0</v>
      </c>
      <c r="H152" s="2839">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6">
        <f t="shared" si="67"/>
        <v>0</v>
      </c>
      <c r="AD152" s="2856"/>
      <c r="AE152" s="2856"/>
      <c r="AF152" s="2856"/>
      <c r="AG152" s="2856"/>
      <c r="AH152" s="2856"/>
      <c r="AI152" s="2856"/>
      <c r="AJ152" s="2856"/>
      <c r="AK152" s="2856"/>
      <c r="AL152" s="2856"/>
      <c r="AM152" s="2856"/>
      <c r="AN152" s="2856"/>
      <c r="AO152" s="2856"/>
      <c r="AP152" s="2856"/>
      <c r="AQ152" s="2856"/>
      <c r="AR152" s="2856"/>
      <c r="AS152" s="2856"/>
      <c r="AT152" s="2866"/>
      <c r="AU152" s="2867"/>
      <c r="AV152" s="1182">
        <f t="shared" si="91"/>
        <v>0</v>
      </c>
      <c r="AW152" s="1182">
        <f t="shared" si="92"/>
        <v>0</v>
      </c>
      <c r="AX152" s="1182">
        <f t="shared" si="93"/>
        <v>0</v>
      </c>
      <c r="AY152" s="2881">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8">
        <f t="shared" si="89"/>
        <v>0</v>
      </c>
    </row>
    <row r="153" spans="1:72">
      <c r="A153" s="2833"/>
      <c r="B153" s="2834"/>
      <c r="C153" s="2834"/>
      <c r="D153" s="2835"/>
      <c r="E153" s="2836">
        <f t="shared" si="90"/>
        <v>0</v>
      </c>
      <c r="F153" s="2837"/>
      <c r="G153" s="2838">
        <f t="shared" si="65"/>
        <v>0</v>
      </c>
      <c r="H153" s="2839">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6">
        <f t="shared" si="67"/>
        <v>0</v>
      </c>
      <c r="AD153" s="2856"/>
      <c r="AE153" s="2856"/>
      <c r="AF153" s="2856"/>
      <c r="AG153" s="2856"/>
      <c r="AH153" s="2856"/>
      <c r="AI153" s="2856"/>
      <c r="AJ153" s="2856"/>
      <c r="AK153" s="2856"/>
      <c r="AL153" s="2856"/>
      <c r="AM153" s="2856"/>
      <c r="AN153" s="2856"/>
      <c r="AO153" s="2856"/>
      <c r="AP153" s="2856"/>
      <c r="AQ153" s="2856"/>
      <c r="AR153" s="2856"/>
      <c r="AS153" s="2856"/>
      <c r="AT153" s="2866"/>
      <c r="AU153" s="2867"/>
      <c r="AV153" s="1182">
        <f t="shared" si="91"/>
        <v>0</v>
      </c>
      <c r="AW153" s="1182">
        <f t="shared" si="92"/>
        <v>0</v>
      </c>
      <c r="AX153" s="1182">
        <f t="shared" si="93"/>
        <v>0</v>
      </c>
      <c r="AY153" s="2881">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8">
        <f t="shared" si="89"/>
        <v>0</v>
      </c>
    </row>
    <row r="154" spans="1:72">
      <c r="A154" s="2833"/>
      <c r="B154" s="2834"/>
      <c r="C154" s="2834"/>
      <c r="D154" s="2835"/>
      <c r="E154" s="2836">
        <f t="shared" si="90"/>
        <v>0</v>
      </c>
      <c r="F154" s="2837"/>
      <c r="G154" s="2838">
        <f t="shared" si="65"/>
        <v>0</v>
      </c>
      <c r="H154" s="2839">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6">
        <f t="shared" si="67"/>
        <v>0</v>
      </c>
      <c r="AD154" s="2856"/>
      <c r="AE154" s="2856"/>
      <c r="AF154" s="2856"/>
      <c r="AG154" s="2856"/>
      <c r="AH154" s="2856"/>
      <c r="AI154" s="2856"/>
      <c r="AJ154" s="2856"/>
      <c r="AK154" s="2856"/>
      <c r="AL154" s="2856"/>
      <c r="AM154" s="2856"/>
      <c r="AN154" s="2856"/>
      <c r="AO154" s="2856"/>
      <c r="AP154" s="2856"/>
      <c r="AQ154" s="2856"/>
      <c r="AR154" s="2856"/>
      <c r="AS154" s="2856"/>
      <c r="AT154" s="2866"/>
      <c r="AU154" s="2867"/>
      <c r="AV154" s="1182">
        <f t="shared" si="91"/>
        <v>0</v>
      </c>
      <c r="AW154" s="1182">
        <f t="shared" si="92"/>
        <v>0</v>
      </c>
      <c r="AX154" s="1182">
        <f t="shared" si="93"/>
        <v>0</v>
      </c>
      <c r="AY154" s="2881">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8">
        <f t="shared" si="89"/>
        <v>0</v>
      </c>
    </row>
    <row r="155" spans="1:72">
      <c r="A155" s="2833"/>
      <c r="B155" s="2834"/>
      <c r="C155" s="2834"/>
      <c r="D155" s="2835"/>
      <c r="E155" s="2836">
        <f t="shared" si="90"/>
        <v>0</v>
      </c>
      <c r="F155" s="2837"/>
      <c r="G155" s="2838">
        <f t="shared" si="65"/>
        <v>0</v>
      </c>
      <c r="H155" s="2839">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6">
        <f t="shared" si="67"/>
        <v>0</v>
      </c>
      <c r="AD155" s="2856"/>
      <c r="AE155" s="2856"/>
      <c r="AF155" s="2856"/>
      <c r="AG155" s="2856"/>
      <c r="AH155" s="2856"/>
      <c r="AI155" s="2856"/>
      <c r="AJ155" s="2856"/>
      <c r="AK155" s="2856"/>
      <c r="AL155" s="2856"/>
      <c r="AM155" s="2856"/>
      <c r="AN155" s="2856"/>
      <c r="AO155" s="2856"/>
      <c r="AP155" s="2856"/>
      <c r="AQ155" s="2856"/>
      <c r="AR155" s="2856"/>
      <c r="AS155" s="2856"/>
      <c r="AT155" s="2866"/>
      <c r="AU155" s="2867"/>
      <c r="AV155" s="1182">
        <f t="shared" si="91"/>
        <v>0</v>
      </c>
      <c r="AW155" s="1182">
        <f t="shared" si="92"/>
        <v>0</v>
      </c>
      <c r="AX155" s="1182">
        <f t="shared" si="93"/>
        <v>0</v>
      </c>
      <c r="AY155" s="2881">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8">
        <f t="shared" si="89"/>
        <v>0</v>
      </c>
    </row>
    <row r="156" spans="1:72">
      <c r="A156" s="2833"/>
      <c r="B156" s="2834"/>
      <c r="C156" s="2834"/>
      <c r="D156" s="2835"/>
      <c r="E156" s="2836">
        <f t="shared" si="90"/>
        <v>0</v>
      </c>
      <c r="F156" s="2837"/>
      <c r="G156" s="2838">
        <f t="shared" si="65"/>
        <v>0</v>
      </c>
      <c r="H156" s="2839">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6">
        <f t="shared" si="67"/>
        <v>0</v>
      </c>
      <c r="AD156" s="2856"/>
      <c r="AE156" s="2856"/>
      <c r="AF156" s="2856"/>
      <c r="AG156" s="2856"/>
      <c r="AH156" s="2856"/>
      <c r="AI156" s="2856"/>
      <c r="AJ156" s="2856"/>
      <c r="AK156" s="2856"/>
      <c r="AL156" s="2856"/>
      <c r="AM156" s="2856"/>
      <c r="AN156" s="2856"/>
      <c r="AO156" s="2856"/>
      <c r="AP156" s="2856"/>
      <c r="AQ156" s="2856"/>
      <c r="AR156" s="2856"/>
      <c r="AS156" s="2856"/>
      <c r="AT156" s="2866"/>
      <c r="AU156" s="2867"/>
      <c r="AV156" s="1182">
        <f t="shared" si="91"/>
        <v>0</v>
      </c>
      <c r="AW156" s="1182">
        <f t="shared" si="92"/>
        <v>0</v>
      </c>
      <c r="AX156" s="1182">
        <f t="shared" si="93"/>
        <v>0</v>
      </c>
      <c r="AY156" s="2881">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8">
        <f t="shared" si="89"/>
        <v>0</v>
      </c>
    </row>
    <row r="157" spans="1:72">
      <c r="A157" s="2833"/>
      <c r="B157" s="2834"/>
      <c r="C157" s="2834"/>
      <c r="D157" s="2835"/>
      <c r="E157" s="2836">
        <f t="shared" si="90"/>
        <v>0</v>
      </c>
      <c r="F157" s="2837"/>
      <c r="G157" s="2838">
        <f t="shared" si="65"/>
        <v>0</v>
      </c>
      <c r="H157" s="2839">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6">
        <f t="shared" si="67"/>
        <v>0</v>
      </c>
      <c r="AD157" s="2856"/>
      <c r="AE157" s="2856"/>
      <c r="AF157" s="2856"/>
      <c r="AG157" s="2856"/>
      <c r="AH157" s="2856"/>
      <c r="AI157" s="2856"/>
      <c r="AJ157" s="2856"/>
      <c r="AK157" s="2856"/>
      <c r="AL157" s="2856"/>
      <c r="AM157" s="2856"/>
      <c r="AN157" s="2856"/>
      <c r="AO157" s="2856"/>
      <c r="AP157" s="2856"/>
      <c r="AQ157" s="2856"/>
      <c r="AR157" s="2856"/>
      <c r="AS157" s="2856"/>
      <c r="AT157" s="2866"/>
      <c r="AU157" s="2867"/>
      <c r="AV157" s="1182">
        <f t="shared" si="91"/>
        <v>0</v>
      </c>
      <c r="AW157" s="1182">
        <f t="shared" si="92"/>
        <v>0</v>
      </c>
      <c r="AX157" s="1182">
        <f t="shared" si="93"/>
        <v>0</v>
      </c>
      <c r="AY157" s="2881">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8">
        <f t="shared" si="89"/>
        <v>0</v>
      </c>
    </row>
    <row r="158" spans="1:72">
      <c r="A158" s="2833"/>
      <c r="B158" s="2834"/>
      <c r="C158" s="2834"/>
      <c r="D158" s="2835"/>
      <c r="E158" s="2836">
        <f t="shared" si="90"/>
        <v>0</v>
      </c>
      <c r="F158" s="2837"/>
      <c r="G158" s="2838">
        <f t="shared" si="65"/>
        <v>0</v>
      </c>
      <c r="H158" s="2839">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6">
        <f t="shared" si="67"/>
        <v>0</v>
      </c>
      <c r="AD158" s="2856"/>
      <c r="AE158" s="2856"/>
      <c r="AF158" s="2856"/>
      <c r="AG158" s="2856"/>
      <c r="AH158" s="2856"/>
      <c r="AI158" s="2856"/>
      <c r="AJ158" s="2856"/>
      <c r="AK158" s="2856"/>
      <c r="AL158" s="2856"/>
      <c r="AM158" s="2856"/>
      <c r="AN158" s="2856"/>
      <c r="AO158" s="2856"/>
      <c r="AP158" s="2856"/>
      <c r="AQ158" s="2856"/>
      <c r="AR158" s="2856"/>
      <c r="AS158" s="2856"/>
      <c r="AT158" s="2866"/>
      <c r="AU158" s="2867"/>
      <c r="AV158" s="1182">
        <f t="shared" si="91"/>
        <v>0</v>
      </c>
      <c r="AW158" s="1182">
        <f t="shared" si="92"/>
        <v>0</v>
      </c>
      <c r="AX158" s="1182">
        <f t="shared" si="93"/>
        <v>0</v>
      </c>
      <c r="AY158" s="2881">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8">
        <f t="shared" si="89"/>
        <v>0</v>
      </c>
    </row>
    <row r="159" spans="1:72">
      <c r="A159" s="2833"/>
      <c r="B159" s="2834"/>
      <c r="C159" s="2834"/>
      <c r="D159" s="2835"/>
      <c r="E159" s="2836">
        <f t="shared" si="90"/>
        <v>0</v>
      </c>
      <c r="F159" s="2837"/>
      <c r="G159" s="2838">
        <f t="shared" si="65"/>
        <v>0</v>
      </c>
      <c r="H159" s="2839">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6">
        <f t="shared" si="67"/>
        <v>0</v>
      </c>
      <c r="AD159" s="2856"/>
      <c r="AE159" s="2856"/>
      <c r="AF159" s="2856"/>
      <c r="AG159" s="2856"/>
      <c r="AH159" s="2856"/>
      <c r="AI159" s="2856"/>
      <c r="AJ159" s="2856"/>
      <c r="AK159" s="2856"/>
      <c r="AL159" s="2856"/>
      <c r="AM159" s="2856"/>
      <c r="AN159" s="2856"/>
      <c r="AO159" s="2856"/>
      <c r="AP159" s="2856"/>
      <c r="AQ159" s="2856"/>
      <c r="AR159" s="2856"/>
      <c r="AS159" s="2856"/>
      <c r="AT159" s="2866"/>
      <c r="AU159" s="2867"/>
      <c r="AV159" s="1182">
        <f t="shared" si="91"/>
        <v>0</v>
      </c>
      <c r="AW159" s="1182">
        <f t="shared" si="92"/>
        <v>0</v>
      </c>
      <c r="AX159" s="1182">
        <f t="shared" si="93"/>
        <v>0</v>
      </c>
      <c r="AY159" s="2881">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8">
        <f t="shared" si="89"/>
        <v>0</v>
      </c>
    </row>
    <row r="160" spans="1:72">
      <c r="A160" s="2833"/>
      <c r="B160" s="2834"/>
      <c r="C160" s="2834"/>
      <c r="D160" s="2835"/>
      <c r="E160" s="2836">
        <f t="shared" si="90"/>
        <v>0</v>
      </c>
      <c r="F160" s="2837"/>
      <c r="G160" s="2838">
        <f t="shared" si="65"/>
        <v>0</v>
      </c>
      <c r="H160" s="2839">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6">
        <f t="shared" si="67"/>
        <v>0</v>
      </c>
      <c r="AD160" s="2856"/>
      <c r="AE160" s="2856"/>
      <c r="AF160" s="2856"/>
      <c r="AG160" s="2856"/>
      <c r="AH160" s="2856"/>
      <c r="AI160" s="2856"/>
      <c r="AJ160" s="2856"/>
      <c r="AK160" s="2856"/>
      <c r="AL160" s="2856"/>
      <c r="AM160" s="2856"/>
      <c r="AN160" s="2856"/>
      <c r="AO160" s="2856"/>
      <c r="AP160" s="2856"/>
      <c r="AQ160" s="2856"/>
      <c r="AR160" s="2856"/>
      <c r="AS160" s="2856"/>
      <c r="AT160" s="2866"/>
      <c r="AU160" s="2867"/>
      <c r="AV160" s="1182">
        <f t="shared" si="91"/>
        <v>0</v>
      </c>
      <c r="AW160" s="1182">
        <f t="shared" si="92"/>
        <v>0</v>
      </c>
      <c r="AX160" s="1182">
        <f t="shared" si="93"/>
        <v>0</v>
      </c>
      <c r="AY160" s="2881">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8">
        <f t="shared" si="89"/>
        <v>0</v>
      </c>
    </row>
    <row r="161" spans="1:72">
      <c r="A161" s="2833"/>
      <c r="B161" s="2834"/>
      <c r="C161" s="2834"/>
      <c r="D161" s="2835"/>
      <c r="E161" s="2836">
        <f t="shared" si="90"/>
        <v>0</v>
      </c>
      <c r="F161" s="2837"/>
      <c r="G161" s="2838">
        <f t="shared" si="65"/>
        <v>0</v>
      </c>
      <c r="H161" s="2839">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6">
        <f t="shared" si="67"/>
        <v>0</v>
      </c>
      <c r="AD161" s="2856"/>
      <c r="AE161" s="2856"/>
      <c r="AF161" s="2856"/>
      <c r="AG161" s="2856"/>
      <c r="AH161" s="2856"/>
      <c r="AI161" s="2856"/>
      <c r="AJ161" s="2856"/>
      <c r="AK161" s="2856"/>
      <c r="AL161" s="2856"/>
      <c r="AM161" s="2856"/>
      <c r="AN161" s="2856"/>
      <c r="AO161" s="2856"/>
      <c r="AP161" s="2856"/>
      <c r="AQ161" s="2856"/>
      <c r="AR161" s="2856"/>
      <c r="AS161" s="2856"/>
      <c r="AT161" s="2866"/>
      <c r="AU161" s="2867"/>
      <c r="AV161" s="1182">
        <f t="shared" si="91"/>
        <v>0</v>
      </c>
      <c r="AW161" s="1182">
        <f t="shared" si="92"/>
        <v>0</v>
      </c>
      <c r="AX161" s="1182">
        <f t="shared" si="93"/>
        <v>0</v>
      </c>
      <c r="AY161" s="2881">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8">
        <f t="shared" si="89"/>
        <v>0</v>
      </c>
    </row>
    <row r="162" spans="1:72">
      <c r="A162" s="2833"/>
      <c r="B162" s="2834"/>
      <c r="C162" s="2834"/>
      <c r="D162" s="2835"/>
      <c r="E162" s="2836">
        <f t="shared" si="90"/>
        <v>0</v>
      </c>
      <c r="F162" s="2837"/>
      <c r="G162" s="2838">
        <f t="shared" si="65"/>
        <v>0</v>
      </c>
      <c r="H162" s="2839">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6">
        <f t="shared" si="67"/>
        <v>0</v>
      </c>
      <c r="AD162" s="2856"/>
      <c r="AE162" s="2856"/>
      <c r="AF162" s="2856"/>
      <c r="AG162" s="2856"/>
      <c r="AH162" s="2856"/>
      <c r="AI162" s="2856"/>
      <c r="AJ162" s="2856"/>
      <c r="AK162" s="2856"/>
      <c r="AL162" s="2856"/>
      <c r="AM162" s="2856"/>
      <c r="AN162" s="2856"/>
      <c r="AO162" s="2856"/>
      <c r="AP162" s="2856"/>
      <c r="AQ162" s="2856"/>
      <c r="AR162" s="2856"/>
      <c r="AS162" s="2856"/>
      <c r="AT162" s="2866"/>
      <c r="AU162" s="2867"/>
      <c r="AV162" s="1182">
        <f t="shared" si="91"/>
        <v>0</v>
      </c>
      <c r="AW162" s="1182">
        <f t="shared" si="92"/>
        <v>0</v>
      </c>
      <c r="AX162" s="1182">
        <f t="shared" si="93"/>
        <v>0</v>
      </c>
      <c r="AY162" s="2881">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8">
        <f t="shared" si="89"/>
        <v>0</v>
      </c>
    </row>
    <row r="163" spans="1:72">
      <c r="A163" s="2833"/>
      <c r="B163" s="2834"/>
      <c r="C163" s="2834"/>
      <c r="D163" s="2835"/>
      <c r="E163" s="2836">
        <f t="shared" si="90"/>
        <v>0</v>
      </c>
      <c r="F163" s="2837"/>
      <c r="G163" s="2838">
        <f t="shared" si="65"/>
        <v>0</v>
      </c>
      <c r="H163" s="2839">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6">
        <f t="shared" si="67"/>
        <v>0</v>
      </c>
      <c r="AD163" s="2856"/>
      <c r="AE163" s="2856"/>
      <c r="AF163" s="2856"/>
      <c r="AG163" s="2856"/>
      <c r="AH163" s="2856"/>
      <c r="AI163" s="2856"/>
      <c r="AJ163" s="2856"/>
      <c r="AK163" s="2856"/>
      <c r="AL163" s="2856"/>
      <c r="AM163" s="2856"/>
      <c r="AN163" s="2856"/>
      <c r="AO163" s="2856"/>
      <c r="AP163" s="2856"/>
      <c r="AQ163" s="2856"/>
      <c r="AR163" s="2856"/>
      <c r="AS163" s="2856"/>
      <c r="AT163" s="2866"/>
      <c r="AU163" s="2867"/>
      <c r="AV163" s="1182">
        <f t="shared" si="91"/>
        <v>0</v>
      </c>
      <c r="AW163" s="1182">
        <f t="shared" si="92"/>
        <v>0</v>
      </c>
      <c r="AX163" s="1182">
        <f t="shared" si="93"/>
        <v>0</v>
      </c>
      <c r="AY163" s="2881">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8">
        <f t="shared" si="89"/>
        <v>0</v>
      </c>
    </row>
    <row r="164" spans="1:72">
      <c r="A164" s="2833"/>
      <c r="B164" s="2834"/>
      <c r="C164" s="2834"/>
      <c r="D164" s="2835"/>
      <c r="E164" s="2836">
        <f t="shared" si="90"/>
        <v>0</v>
      </c>
      <c r="F164" s="2837"/>
      <c r="G164" s="2838">
        <f t="shared" si="65"/>
        <v>0</v>
      </c>
      <c r="H164" s="2839">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6">
        <f t="shared" si="67"/>
        <v>0</v>
      </c>
      <c r="AD164" s="2856"/>
      <c r="AE164" s="2856"/>
      <c r="AF164" s="2856"/>
      <c r="AG164" s="2856"/>
      <c r="AH164" s="2856"/>
      <c r="AI164" s="2856"/>
      <c r="AJ164" s="2856"/>
      <c r="AK164" s="2856"/>
      <c r="AL164" s="2856"/>
      <c r="AM164" s="2856"/>
      <c r="AN164" s="2856"/>
      <c r="AO164" s="2856"/>
      <c r="AP164" s="2856"/>
      <c r="AQ164" s="2856"/>
      <c r="AR164" s="2856"/>
      <c r="AS164" s="2856"/>
      <c r="AT164" s="2866"/>
      <c r="AU164" s="2867"/>
      <c r="AV164" s="1182">
        <f t="shared" si="91"/>
        <v>0</v>
      </c>
      <c r="AW164" s="1182">
        <f t="shared" si="92"/>
        <v>0</v>
      </c>
      <c r="AX164" s="1182">
        <f t="shared" si="93"/>
        <v>0</v>
      </c>
      <c r="AY164" s="2881">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8">
        <f t="shared" si="89"/>
        <v>0</v>
      </c>
    </row>
    <row r="165" spans="1:72">
      <c r="A165" s="2833"/>
      <c r="B165" s="2834"/>
      <c r="C165" s="2834"/>
      <c r="D165" s="2835"/>
      <c r="E165" s="2836">
        <f t="shared" si="90"/>
        <v>0</v>
      </c>
      <c r="F165" s="2837"/>
      <c r="G165" s="2838">
        <f t="shared" si="65"/>
        <v>0</v>
      </c>
      <c r="H165" s="2839">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6">
        <f t="shared" si="67"/>
        <v>0</v>
      </c>
      <c r="AD165" s="2856"/>
      <c r="AE165" s="2856"/>
      <c r="AF165" s="2856"/>
      <c r="AG165" s="2856"/>
      <c r="AH165" s="2856"/>
      <c r="AI165" s="2856"/>
      <c r="AJ165" s="2856"/>
      <c r="AK165" s="2856"/>
      <c r="AL165" s="2856"/>
      <c r="AM165" s="2856"/>
      <c r="AN165" s="2856"/>
      <c r="AO165" s="2856"/>
      <c r="AP165" s="2856"/>
      <c r="AQ165" s="2856"/>
      <c r="AR165" s="2856"/>
      <c r="AS165" s="2856"/>
      <c r="AT165" s="2866"/>
      <c r="AU165" s="2867"/>
      <c r="AV165" s="1182">
        <f t="shared" si="91"/>
        <v>0</v>
      </c>
      <c r="AW165" s="1182">
        <f t="shared" si="92"/>
        <v>0</v>
      </c>
      <c r="AX165" s="1182">
        <f t="shared" si="93"/>
        <v>0</v>
      </c>
      <c r="AY165" s="2881">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8">
        <f t="shared" si="89"/>
        <v>0</v>
      </c>
    </row>
    <row r="166" spans="1:72">
      <c r="A166" s="2833"/>
      <c r="B166" s="2834"/>
      <c r="C166" s="2834"/>
      <c r="D166" s="2835"/>
      <c r="E166" s="2836">
        <f t="shared" si="90"/>
        <v>0</v>
      </c>
      <c r="F166" s="2837"/>
      <c r="G166" s="2838">
        <f t="shared" si="65"/>
        <v>0</v>
      </c>
      <c r="H166" s="2839">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6">
        <f t="shared" si="67"/>
        <v>0</v>
      </c>
      <c r="AD166" s="2856"/>
      <c r="AE166" s="2856"/>
      <c r="AF166" s="2856"/>
      <c r="AG166" s="2856"/>
      <c r="AH166" s="2856"/>
      <c r="AI166" s="2856"/>
      <c r="AJ166" s="2856"/>
      <c r="AK166" s="2856"/>
      <c r="AL166" s="2856"/>
      <c r="AM166" s="2856"/>
      <c r="AN166" s="2856"/>
      <c r="AO166" s="2856"/>
      <c r="AP166" s="2856"/>
      <c r="AQ166" s="2856"/>
      <c r="AR166" s="2856"/>
      <c r="AS166" s="2856"/>
      <c r="AT166" s="2866"/>
      <c r="AU166" s="2867"/>
      <c r="AV166" s="1182">
        <f t="shared" si="91"/>
        <v>0</v>
      </c>
      <c r="AW166" s="1182">
        <f t="shared" si="92"/>
        <v>0</v>
      </c>
      <c r="AX166" s="1182">
        <f t="shared" si="93"/>
        <v>0</v>
      </c>
      <c r="AY166" s="2881">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8">
        <f t="shared" si="89"/>
        <v>0</v>
      </c>
    </row>
    <row r="167" spans="1:72">
      <c r="A167" s="2833"/>
      <c r="B167" s="2834"/>
      <c r="C167" s="2834"/>
      <c r="D167" s="2835"/>
      <c r="E167" s="2836">
        <f t="shared" si="90"/>
        <v>0</v>
      </c>
      <c r="F167" s="2837"/>
      <c r="G167" s="2838">
        <f t="shared" si="65"/>
        <v>0</v>
      </c>
      <c r="H167" s="2839">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6">
        <f t="shared" si="67"/>
        <v>0</v>
      </c>
      <c r="AD167" s="2856"/>
      <c r="AE167" s="2856"/>
      <c r="AF167" s="2856"/>
      <c r="AG167" s="2856"/>
      <c r="AH167" s="2856"/>
      <c r="AI167" s="2856"/>
      <c r="AJ167" s="2856"/>
      <c r="AK167" s="2856"/>
      <c r="AL167" s="2856"/>
      <c r="AM167" s="2856"/>
      <c r="AN167" s="2856"/>
      <c r="AO167" s="2856"/>
      <c r="AP167" s="2856"/>
      <c r="AQ167" s="2856"/>
      <c r="AR167" s="2856"/>
      <c r="AS167" s="2856"/>
      <c r="AT167" s="2866"/>
      <c r="AU167" s="2867"/>
      <c r="AV167" s="1182">
        <f t="shared" si="91"/>
        <v>0</v>
      </c>
      <c r="AW167" s="1182">
        <f t="shared" si="92"/>
        <v>0</v>
      </c>
      <c r="AX167" s="1182">
        <f t="shared" si="93"/>
        <v>0</v>
      </c>
      <c r="AY167" s="2881">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8">
        <f t="shared" si="89"/>
        <v>0</v>
      </c>
    </row>
    <row r="168" spans="1:72">
      <c r="A168" s="2833"/>
      <c r="B168" s="2834"/>
      <c r="C168" s="2834"/>
      <c r="D168" s="2835"/>
      <c r="E168" s="2836">
        <f t="shared" si="90"/>
        <v>0</v>
      </c>
      <c r="F168" s="2837"/>
      <c r="G168" s="2838">
        <f t="shared" si="65"/>
        <v>0</v>
      </c>
      <c r="H168" s="2839">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6">
        <f t="shared" si="67"/>
        <v>0</v>
      </c>
      <c r="AD168" s="2856"/>
      <c r="AE168" s="2856"/>
      <c r="AF168" s="2856"/>
      <c r="AG168" s="2856"/>
      <c r="AH168" s="2856"/>
      <c r="AI168" s="2856"/>
      <c r="AJ168" s="2856"/>
      <c r="AK168" s="2856"/>
      <c r="AL168" s="2856"/>
      <c r="AM168" s="2856"/>
      <c r="AN168" s="2856"/>
      <c r="AO168" s="2856"/>
      <c r="AP168" s="2856"/>
      <c r="AQ168" s="2856"/>
      <c r="AR168" s="2856"/>
      <c r="AS168" s="2856"/>
      <c r="AT168" s="2866"/>
      <c r="AU168" s="2867"/>
      <c r="AV168" s="1182">
        <f t="shared" si="91"/>
        <v>0</v>
      </c>
      <c r="AW168" s="1182">
        <f t="shared" si="92"/>
        <v>0</v>
      </c>
      <c r="AX168" s="1182">
        <f t="shared" si="93"/>
        <v>0</v>
      </c>
      <c r="AY168" s="2881">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8">
        <f t="shared" si="89"/>
        <v>0</v>
      </c>
    </row>
    <row r="169" spans="1:72">
      <c r="A169" s="2833"/>
      <c r="B169" s="2834"/>
      <c r="C169" s="2834"/>
      <c r="D169" s="2835"/>
      <c r="E169" s="2836">
        <f t="shared" si="90"/>
        <v>0</v>
      </c>
      <c r="F169" s="2837"/>
      <c r="G169" s="2838">
        <f t="shared" si="65"/>
        <v>0</v>
      </c>
      <c r="H169" s="2839">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6">
        <f t="shared" si="67"/>
        <v>0</v>
      </c>
      <c r="AD169" s="2856"/>
      <c r="AE169" s="2856"/>
      <c r="AF169" s="2856"/>
      <c r="AG169" s="2856"/>
      <c r="AH169" s="2856"/>
      <c r="AI169" s="2856"/>
      <c r="AJ169" s="2856"/>
      <c r="AK169" s="2856"/>
      <c r="AL169" s="2856"/>
      <c r="AM169" s="2856"/>
      <c r="AN169" s="2856"/>
      <c r="AO169" s="2856"/>
      <c r="AP169" s="2856"/>
      <c r="AQ169" s="2856"/>
      <c r="AR169" s="2856"/>
      <c r="AS169" s="2856"/>
      <c r="AT169" s="2866"/>
      <c r="AU169" s="2867"/>
      <c r="AV169" s="1182">
        <f t="shared" si="91"/>
        <v>0</v>
      </c>
      <c r="AW169" s="1182">
        <f t="shared" si="92"/>
        <v>0</v>
      </c>
      <c r="AX169" s="1182">
        <f t="shared" si="93"/>
        <v>0</v>
      </c>
      <c r="AY169" s="2881">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8">
        <f t="shared" si="89"/>
        <v>0</v>
      </c>
    </row>
    <row r="170" spans="1:72">
      <c r="A170" s="2833"/>
      <c r="B170" s="2834"/>
      <c r="C170" s="2834"/>
      <c r="D170" s="2835"/>
      <c r="E170" s="2836">
        <f t="shared" si="90"/>
        <v>0</v>
      </c>
      <c r="F170" s="2837"/>
      <c r="G170" s="2838">
        <f t="shared" si="65"/>
        <v>0</v>
      </c>
      <c r="H170" s="2839">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6">
        <f t="shared" si="67"/>
        <v>0</v>
      </c>
      <c r="AD170" s="2856"/>
      <c r="AE170" s="2856"/>
      <c r="AF170" s="2856"/>
      <c r="AG170" s="2856"/>
      <c r="AH170" s="2856"/>
      <c r="AI170" s="2856"/>
      <c r="AJ170" s="2856"/>
      <c r="AK170" s="2856"/>
      <c r="AL170" s="2856"/>
      <c r="AM170" s="2856"/>
      <c r="AN170" s="2856"/>
      <c r="AO170" s="2856"/>
      <c r="AP170" s="2856"/>
      <c r="AQ170" s="2856"/>
      <c r="AR170" s="2856"/>
      <c r="AS170" s="2856"/>
      <c r="AT170" s="2866"/>
      <c r="AU170" s="2867"/>
      <c r="AV170" s="1182">
        <f t="shared" si="91"/>
        <v>0</v>
      </c>
      <c r="AW170" s="1182">
        <f t="shared" si="92"/>
        <v>0</v>
      </c>
      <c r="AX170" s="1182">
        <f t="shared" si="93"/>
        <v>0</v>
      </c>
      <c r="AY170" s="2881">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8">
        <f t="shared" si="89"/>
        <v>0</v>
      </c>
    </row>
    <row r="171" spans="1:72">
      <c r="A171" s="2833"/>
      <c r="B171" s="2834"/>
      <c r="C171" s="2834"/>
      <c r="D171" s="2835"/>
      <c r="E171" s="2836">
        <f t="shared" si="90"/>
        <v>0</v>
      </c>
      <c r="F171" s="2837"/>
      <c r="G171" s="2838">
        <f t="shared" si="65"/>
        <v>0</v>
      </c>
      <c r="H171" s="2839">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6">
        <f t="shared" si="67"/>
        <v>0</v>
      </c>
      <c r="AD171" s="2856"/>
      <c r="AE171" s="2856"/>
      <c r="AF171" s="2856"/>
      <c r="AG171" s="2856"/>
      <c r="AH171" s="2856"/>
      <c r="AI171" s="2856"/>
      <c r="AJ171" s="2856"/>
      <c r="AK171" s="2856"/>
      <c r="AL171" s="2856"/>
      <c r="AM171" s="2856"/>
      <c r="AN171" s="2856"/>
      <c r="AO171" s="2856"/>
      <c r="AP171" s="2856"/>
      <c r="AQ171" s="2856"/>
      <c r="AR171" s="2856"/>
      <c r="AS171" s="2856"/>
      <c r="AT171" s="2866"/>
      <c r="AU171" s="2867"/>
      <c r="AV171" s="1182">
        <f t="shared" si="91"/>
        <v>0</v>
      </c>
      <c r="AW171" s="1182">
        <f t="shared" si="92"/>
        <v>0</v>
      </c>
      <c r="AX171" s="1182">
        <f t="shared" si="93"/>
        <v>0</v>
      </c>
      <c r="AY171" s="2881">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8">
        <f t="shared" si="89"/>
        <v>0</v>
      </c>
    </row>
    <row r="172" spans="1:72">
      <c r="A172" s="2833"/>
      <c r="B172" s="2834"/>
      <c r="C172" s="2834"/>
      <c r="D172" s="2835"/>
      <c r="E172" s="2836">
        <f t="shared" si="90"/>
        <v>0</v>
      </c>
      <c r="F172" s="2837"/>
      <c r="G172" s="2838">
        <f t="shared" si="65"/>
        <v>0</v>
      </c>
      <c r="H172" s="2839">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6">
        <f t="shared" si="67"/>
        <v>0</v>
      </c>
      <c r="AD172" s="2856"/>
      <c r="AE172" s="2856"/>
      <c r="AF172" s="2856"/>
      <c r="AG172" s="2856"/>
      <c r="AH172" s="2856"/>
      <c r="AI172" s="2856"/>
      <c r="AJ172" s="2856"/>
      <c r="AK172" s="2856"/>
      <c r="AL172" s="2856"/>
      <c r="AM172" s="2856"/>
      <c r="AN172" s="2856"/>
      <c r="AO172" s="2856"/>
      <c r="AP172" s="2856"/>
      <c r="AQ172" s="2856"/>
      <c r="AR172" s="2856"/>
      <c r="AS172" s="2856"/>
      <c r="AT172" s="2866"/>
      <c r="AU172" s="2867"/>
      <c r="AV172" s="1182">
        <f t="shared" si="91"/>
        <v>0</v>
      </c>
      <c r="AW172" s="1182">
        <f t="shared" si="92"/>
        <v>0</v>
      </c>
      <c r="AX172" s="1182">
        <f t="shared" si="93"/>
        <v>0</v>
      </c>
      <c r="AY172" s="2881">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8">
        <f t="shared" si="89"/>
        <v>0</v>
      </c>
    </row>
    <row r="173" spans="1:72">
      <c r="A173" s="2833"/>
      <c r="B173" s="2834"/>
      <c r="C173" s="2834"/>
      <c r="D173" s="2835"/>
      <c r="E173" s="2836">
        <f t="shared" si="90"/>
        <v>0</v>
      </c>
      <c r="F173" s="2837"/>
      <c r="G173" s="2838">
        <f t="shared" si="65"/>
        <v>0</v>
      </c>
      <c r="H173" s="2839">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6">
        <f t="shared" si="67"/>
        <v>0</v>
      </c>
      <c r="AD173" s="2856"/>
      <c r="AE173" s="2856"/>
      <c r="AF173" s="2856"/>
      <c r="AG173" s="2856"/>
      <c r="AH173" s="2856"/>
      <c r="AI173" s="2856"/>
      <c r="AJ173" s="2856"/>
      <c r="AK173" s="2856"/>
      <c r="AL173" s="2856"/>
      <c r="AM173" s="2856"/>
      <c r="AN173" s="2856"/>
      <c r="AO173" s="2856"/>
      <c r="AP173" s="2856"/>
      <c r="AQ173" s="2856"/>
      <c r="AR173" s="2856"/>
      <c r="AS173" s="2856"/>
      <c r="AT173" s="2866"/>
      <c r="AU173" s="2867"/>
      <c r="AV173" s="1182">
        <f t="shared" si="91"/>
        <v>0</v>
      </c>
      <c r="AW173" s="1182">
        <f t="shared" si="92"/>
        <v>0</v>
      </c>
      <c r="AX173" s="1182">
        <f t="shared" si="93"/>
        <v>0</v>
      </c>
      <c r="AY173" s="2881">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8">
        <f t="shared" si="89"/>
        <v>0</v>
      </c>
    </row>
    <row r="174" spans="1:72">
      <c r="A174" s="2833"/>
      <c r="B174" s="2834"/>
      <c r="C174" s="2834"/>
      <c r="D174" s="2835"/>
      <c r="E174" s="2836">
        <f t="shared" si="90"/>
        <v>0</v>
      </c>
      <c r="F174" s="2837"/>
      <c r="G174" s="2838">
        <f t="shared" ref="G174:G207" si="94">H174+AC174+AT174</f>
        <v>0</v>
      </c>
      <c r="H174" s="2839">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6">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66"/>
      <c r="AU174" s="2867"/>
      <c r="AV174" s="1182">
        <f t="shared" si="91"/>
        <v>0</v>
      </c>
      <c r="AW174" s="1182">
        <f t="shared" si="92"/>
        <v>0</v>
      </c>
      <c r="AX174" s="1182">
        <f t="shared" si="93"/>
        <v>0</v>
      </c>
      <c r="AY174" s="2881">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8">
        <f t="shared" ref="BT174:BT207" si="118">IF($D174="是",AR174-AS174,0)</f>
        <v>0</v>
      </c>
    </row>
    <row r="175" spans="1:72">
      <c r="A175" s="2833"/>
      <c r="B175" s="2834"/>
      <c r="C175" s="2834"/>
      <c r="D175" s="2835"/>
      <c r="E175" s="2836">
        <f t="shared" si="90"/>
        <v>0</v>
      </c>
      <c r="F175" s="2837"/>
      <c r="G175" s="2838">
        <f t="shared" si="94"/>
        <v>0</v>
      </c>
      <c r="H175" s="2839">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6">
        <f t="shared" si="96"/>
        <v>0</v>
      </c>
      <c r="AD175" s="2856"/>
      <c r="AE175" s="2856"/>
      <c r="AF175" s="2856"/>
      <c r="AG175" s="2856"/>
      <c r="AH175" s="2856"/>
      <c r="AI175" s="2856"/>
      <c r="AJ175" s="2856"/>
      <c r="AK175" s="2856"/>
      <c r="AL175" s="2856"/>
      <c r="AM175" s="2856"/>
      <c r="AN175" s="2856"/>
      <c r="AO175" s="2856"/>
      <c r="AP175" s="2856"/>
      <c r="AQ175" s="2856"/>
      <c r="AR175" s="2856"/>
      <c r="AS175" s="2856"/>
      <c r="AT175" s="2866"/>
      <c r="AU175" s="2867"/>
      <c r="AV175" s="1182">
        <f t="shared" si="91"/>
        <v>0</v>
      </c>
      <c r="AW175" s="1182">
        <f t="shared" si="92"/>
        <v>0</v>
      </c>
      <c r="AX175" s="1182">
        <f t="shared" si="93"/>
        <v>0</v>
      </c>
      <c r="AY175" s="2881">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8">
        <f t="shared" si="118"/>
        <v>0</v>
      </c>
    </row>
    <row r="176" spans="1:72">
      <c r="A176" s="2833"/>
      <c r="B176" s="2834"/>
      <c r="C176" s="2834"/>
      <c r="D176" s="2835"/>
      <c r="E176" s="2836">
        <f t="shared" si="90"/>
        <v>0</v>
      </c>
      <c r="F176" s="2837"/>
      <c r="G176" s="2838">
        <f t="shared" si="94"/>
        <v>0</v>
      </c>
      <c r="H176" s="2839">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6">
        <f t="shared" si="96"/>
        <v>0</v>
      </c>
      <c r="AD176" s="2856"/>
      <c r="AE176" s="2856"/>
      <c r="AF176" s="2856"/>
      <c r="AG176" s="2856"/>
      <c r="AH176" s="2856"/>
      <c r="AI176" s="2856"/>
      <c r="AJ176" s="2856"/>
      <c r="AK176" s="2856"/>
      <c r="AL176" s="2856"/>
      <c r="AM176" s="2856"/>
      <c r="AN176" s="2856"/>
      <c r="AO176" s="2856"/>
      <c r="AP176" s="2856"/>
      <c r="AQ176" s="2856"/>
      <c r="AR176" s="2856"/>
      <c r="AS176" s="2856"/>
      <c r="AT176" s="2866"/>
      <c r="AU176" s="2867"/>
      <c r="AV176" s="1182">
        <f t="shared" si="91"/>
        <v>0</v>
      </c>
      <c r="AW176" s="1182">
        <f t="shared" si="92"/>
        <v>0</v>
      </c>
      <c r="AX176" s="1182">
        <f t="shared" si="93"/>
        <v>0</v>
      </c>
      <c r="AY176" s="2881">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8">
        <f t="shared" si="118"/>
        <v>0</v>
      </c>
    </row>
    <row r="177" spans="1:72">
      <c r="A177" s="2833"/>
      <c r="B177" s="2834"/>
      <c r="C177" s="2834"/>
      <c r="D177" s="2835"/>
      <c r="E177" s="2836">
        <f t="shared" ref="E177:E207" si="119">IF($C$3="是",ROUND($A$3*G177/$B$3,2),ROUND($A$3*(G177-AT177)/$B$3,2))</f>
        <v>0</v>
      </c>
      <c r="F177" s="2837"/>
      <c r="G177" s="2838">
        <f t="shared" si="94"/>
        <v>0</v>
      </c>
      <c r="H177" s="2839">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6">
        <f t="shared" si="96"/>
        <v>0</v>
      </c>
      <c r="AD177" s="2856"/>
      <c r="AE177" s="2856"/>
      <c r="AF177" s="2856"/>
      <c r="AG177" s="2856"/>
      <c r="AH177" s="2856"/>
      <c r="AI177" s="2856"/>
      <c r="AJ177" s="2856"/>
      <c r="AK177" s="2856"/>
      <c r="AL177" s="2856"/>
      <c r="AM177" s="2856"/>
      <c r="AN177" s="2856"/>
      <c r="AO177" s="2856"/>
      <c r="AP177" s="2856"/>
      <c r="AQ177" s="2856"/>
      <c r="AR177" s="2856"/>
      <c r="AS177" s="2856"/>
      <c r="AT177" s="2866"/>
      <c r="AU177" s="2867"/>
      <c r="AV177" s="1182">
        <f t="shared" ref="AV177:AV207" si="120">A177</f>
        <v>0</v>
      </c>
      <c r="AW177" s="1182">
        <f t="shared" ref="AW177:AW207" si="121">B177</f>
        <v>0</v>
      </c>
      <c r="AX177" s="1182">
        <f t="shared" ref="AX177:AX207" si="122">C177</f>
        <v>0</v>
      </c>
      <c r="AY177" s="2881">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8">
        <f t="shared" si="118"/>
        <v>0</v>
      </c>
    </row>
    <row r="178" spans="1:72">
      <c r="A178" s="2833"/>
      <c r="B178" s="2834"/>
      <c r="C178" s="2834"/>
      <c r="D178" s="2835"/>
      <c r="E178" s="2836">
        <f t="shared" si="119"/>
        <v>0</v>
      </c>
      <c r="F178" s="2837"/>
      <c r="G178" s="2838">
        <f t="shared" si="94"/>
        <v>0</v>
      </c>
      <c r="H178" s="2839">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6">
        <f t="shared" si="96"/>
        <v>0</v>
      </c>
      <c r="AD178" s="2856"/>
      <c r="AE178" s="2856"/>
      <c r="AF178" s="2856"/>
      <c r="AG178" s="2856"/>
      <c r="AH178" s="2856"/>
      <c r="AI178" s="2856"/>
      <c r="AJ178" s="2856"/>
      <c r="AK178" s="2856"/>
      <c r="AL178" s="2856"/>
      <c r="AM178" s="2856"/>
      <c r="AN178" s="2856"/>
      <c r="AO178" s="2856"/>
      <c r="AP178" s="2856"/>
      <c r="AQ178" s="2856"/>
      <c r="AR178" s="2856"/>
      <c r="AS178" s="2856"/>
      <c r="AT178" s="2866"/>
      <c r="AU178" s="2867"/>
      <c r="AV178" s="1182">
        <f t="shared" si="120"/>
        <v>0</v>
      </c>
      <c r="AW178" s="1182">
        <f t="shared" si="121"/>
        <v>0</v>
      </c>
      <c r="AX178" s="1182">
        <f t="shared" si="122"/>
        <v>0</v>
      </c>
      <c r="AY178" s="2881">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8">
        <f t="shared" si="118"/>
        <v>0</v>
      </c>
    </row>
    <row r="179" spans="1:72">
      <c r="A179" s="2833"/>
      <c r="B179" s="2834"/>
      <c r="C179" s="2834"/>
      <c r="D179" s="2835"/>
      <c r="E179" s="2836">
        <f t="shared" si="119"/>
        <v>0</v>
      </c>
      <c r="F179" s="2837"/>
      <c r="G179" s="2838">
        <f t="shared" si="94"/>
        <v>0</v>
      </c>
      <c r="H179" s="2839">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6">
        <f t="shared" si="96"/>
        <v>0</v>
      </c>
      <c r="AD179" s="2856"/>
      <c r="AE179" s="2856"/>
      <c r="AF179" s="2856"/>
      <c r="AG179" s="2856"/>
      <c r="AH179" s="2856"/>
      <c r="AI179" s="2856"/>
      <c r="AJ179" s="2856"/>
      <c r="AK179" s="2856"/>
      <c r="AL179" s="2856"/>
      <c r="AM179" s="2856"/>
      <c r="AN179" s="2856"/>
      <c r="AO179" s="2856"/>
      <c r="AP179" s="2856"/>
      <c r="AQ179" s="2856"/>
      <c r="AR179" s="2856"/>
      <c r="AS179" s="2856"/>
      <c r="AT179" s="2866"/>
      <c r="AU179" s="2867"/>
      <c r="AV179" s="1182">
        <f t="shared" si="120"/>
        <v>0</v>
      </c>
      <c r="AW179" s="1182">
        <f t="shared" si="121"/>
        <v>0</v>
      </c>
      <c r="AX179" s="1182">
        <f t="shared" si="122"/>
        <v>0</v>
      </c>
      <c r="AY179" s="2881">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8">
        <f t="shared" si="118"/>
        <v>0</v>
      </c>
    </row>
    <row r="180" spans="1:72">
      <c r="A180" s="2833"/>
      <c r="B180" s="2834"/>
      <c r="C180" s="2834"/>
      <c r="D180" s="2835"/>
      <c r="E180" s="2836">
        <f t="shared" si="119"/>
        <v>0</v>
      </c>
      <c r="F180" s="2837"/>
      <c r="G180" s="2838">
        <f t="shared" si="94"/>
        <v>0</v>
      </c>
      <c r="H180" s="2839">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6">
        <f t="shared" si="96"/>
        <v>0</v>
      </c>
      <c r="AD180" s="2856"/>
      <c r="AE180" s="2856"/>
      <c r="AF180" s="2856"/>
      <c r="AG180" s="2856"/>
      <c r="AH180" s="2856"/>
      <c r="AI180" s="2856"/>
      <c r="AJ180" s="2856"/>
      <c r="AK180" s="2856"/>
      <c r="AL180" s="2856"/>
      <c r="AM180" s="2856"/>
      <c r="AN180" s="2856"/>
      <c r="AO180" s="2856"/>
      <c r="AP180" s="2856"/>
      <c r="AQ180" s="2856"/>
      <c r="AR180" s="2856"/>
      <c r="AS180" s="2856"/>
      <c r="AT180" s="2866"/>
      <c r="AU180" s="2867"/>
      <c r="AV180" s="1182">
        <f t="shared" si="120"/>
        <v>0</v>
      </c>
      <c r="AW180" s="1182">
        <f t="shared" si="121"/>
        <v>0</v>
      </c>
      <c r="AX180" s="1182">
        <f t="shared" si="122"/>
        <v>0</v>
      </c>
      <c r="AY180" s="2881">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8">
        <f t="shared" si="118"/>
        <v>0</v>
      </c>
    </row>
    <row r="181" spans="1:72">
      <c r="A181" s="2833"/>
      <c r="B181" s="2834"/>
      <c r="C181" s="2834"/>
      <c r="D181" s="2835"/>
      <c r="E181" s="2836">
        <f t="shared" si="119"/>
        <v>0</v>
      </c>
      <c r="F181" s="2837"/>
      <c r="G181" s="2838">
        <f t="shared" si="94"/>
        <v>0</v>
      </c>
      <c r="H181" s="2839">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6">
        <f t="shared" si="96"/>
        <v>0</v>
      </c>
      <c r="AD181" s="2856"/>
      <c r="AE181" s="2856"/>
      <c r="AF181" s="2856"/>
      <c r="AG181" s="2856"/>
      <c r="AH181" s="2856"/>
      <c r="AI181" s="2856"/>
      <c r="AJ181" s="2856"/>
      <c r="AK181" s="2856"/>
      <c r="AL181" s="2856"/>
      <c r="AM181" s="2856"/>
      <c r="AN181" s="2856"/>
      <c r="AO181" s="2856"/>
      <c r="AP181" s="2856"/>
      <c r="AQ181" s="2856"/>
      <c r="AR181" s="2856"/>
      <c r="AS181" s="2856"/>
      <c r="AT181" s="2866"/>
      <c r="AU181" s="2867"/>
      <c r="AV181" s="1182">
        <f t="shared" si="120"/>
        <v>0</v>
      </c>
      <c r="AW181" s="1182">
        <f t="shared" si="121"/>
        <v>0</v>
      </c>
      <c r="AX181" s="1182">
        <f t="shared" si="122"/>
        <v>0</v>
      </c>
      <c r="AY181" s="2881">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8">
        <f t="shared" si="118"/>
        <v>0</v>
      </c>
    </row>
    <row r="182" spans="1:72">
      <c r="A182" s="2833"/>
      <c r="B182" s="2834"/>
      <c r="C182" s="2834"/>
      <c r="D182" s="2835"/>
      <c r="E182" s="2836">
        <f t="shared" si="119"/>
        <v>0</v>
      </c>
      <c r="F182" s="2837"/>
      <c r="G182" s="2838">
        <f t="shared" si="94"/>
        <v>0</v>
      </c>
      <c r="H182" s="2839">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6">
        <f t="shared" si="96"/>
        <v>0</v>
      </c>
      <c r="AD182" s="2856"/>
      <c r="AE182" s="2856"/>
      <c r="AF182" s="2856"/>
      <c r="AG182" s="2856"/>
      <c r="AH182" s="2856"/>
      <c r="AI182" s="2856"/>
      <c r="AJ182" s="2856"/>
      <c r="AK182" s="2856"/>
      <c r="AL182" s="2856"/>
      <c r="AM182" s="2856"/>
      <c r="AN182" s="2856"/>
      <c r="AO182" s="2856"/>
      <c r="AP182" s="2856"/>
      <c r="AQ182" s="2856"/>
      <c r="AR182" s="2856"/>
      <c r="AS182" s="2856"/>
      <c r="AT182" s="2866"/>
      <c r="AU182" s="2867"/>
      <c r="AV182" s="1182">
        <f t="shared" si="120"/>
        <v>0</v>
      </c>
      <c r="AW182" s="1182">
        <f t="shared" si="121"/>
        <v>0</v>
      </c>
      <c r="AX182" s="1182">
        <f t="shared" si="122"/>
        <v>0</v>
      </c>
      <c r="AY182" s="2881">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8">
        <f t="shared" si="118"/>
        <v>0</v>
      </c>
    </row>
    <row r="183" spans="1:72">
      <c r="A183" s="2833"/>
      <c r="B183" s="2834"/>
      <c r="C183" s="2834"/>
      <c r="D183" s="2835"/>
      <c r="E183" s="2836">
        <f t="shared" si="119"/>
        <v>0</v>
      </c>
      <c r="F183" s="2837"/>
      <c r="G183" s="2838">
        <f t="shared" si="94"/>
        <v>0</v>
      </c>
      <c r="H183" s="2839">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6">
        <f t="shared" si="96"/>
        <v>0</v>
      </c>
      <c r="AD183" s="2856"/>
      <c r="AE183" s="2856"/>
      <c r="AF183" s="2856"/>
      <c r="AG183" s="2856"/>
      <c r="AH183" s="2856"/>
      <c r="AI183" s="2856"/>
      <c r="AJ183" s="2856"/>
      <c r="AK183" s="2856"/>
      <c r="AL183" s="2856"/>
      <c r="AM183" s="2856"/>
      <c r="AN183" s="2856"/>
      <c r="AO183" s="2856"/>
      <c r="AP183" s="2856"/>
      <c r="AQ183" s="2856"/>
      <c r="AR183" s="2856"/>
      <c r="AS183" s="2856"/>
      <c r="AT183" s="2866"/>
      <c r="AU183" s="2867"/>
      <c r="AV183" s="1182">
        <f t="shared" si="120"/>
        <v>0</v>
      </c>
      <c r="AW183" s="1182">
        <f t="shared" si="121"/>
        <v>0</v>
      </c>
      <c r="AX183" s="1182">
        <f t="shared" si="122"/>
        <v>0</v>
      </c>
      <c r="AY183" s="2881">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8">
        <f t="shared" si="118"/>
        <v>0</v>
      </c>
    </row>
    <row r="184" spans="1:72">
      <c r="A184" s="2833"/>
      <c r="B184" s="2834"/>
      <c r="C184" s="2834"/>
      <c r="D184" s="2835"/>
      <c r="E184" s="2836">
        <f t="shared" si="119"/>
        <v>0</v>
      </c>
      <c r="F184" s="2837"/>
      <c r="G184" s="2838">
        <f t="shared" si="94"/>
        <v>0</v>
      </c>
      <c r="H184" s="2839">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6">
        <f t="shared" si="96"/>
        <v>0</v>
      </c>
      <c r="AD184" s="2856"/>
      <c r="AE184" s="2856"/>
      <c r="AF184" s="2856"/>
      <c r="AG184" s="2856"/>
      <c r="AH184" s="2856"/>
      <c r="AI184" s="2856"/>
      <c r="AJ184" s="2856"/>
      <c r="AK184" s="2856"/>
      <c r="AL184" s="2856"/>
      <c r="AM184" s="2856"/>
      <c r="AN184" s="2856"/>
      <c r="AO184" s="2856"/>
      <c r="AP184" s="2856"/>
      <c r="AQ184" s="2856"/>
      <c r="AR184" s="2856"/>
      <c r="AS184" s="2856"/>
      <c r="AT184" s="2866"/>
      <c r="AU184" s="2867"/>
      <c r="AV184" s="1182">
        <f t="shared" si="120"/>
        <v>0</v>
      </c>
      <c r="AW184" s="1182">
        <f t="shared" si="121"/>
        <v>0</v>
      </c>
      <c r="AX184" s="1182">
        <f t="shared" si="122"/>
        <v>0</v>
      </c>
      <c r="AY184" s="2881">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8">
        <f t="shared" si="118"/>
        <v>0</v>
      </c>
    </row>
    <row r="185" spans="1:72">
      <c r="A185" s="2833"/>
      <c r="B185" s="2834"/>
      <c r="C185" s="2834"/>
      <c r="D185" s="2835"/>
      <c r="E185" s="2836">
        <f t="shared" si="119"/>
        <v>0</v>
      </c>
      <c r="F185" s="2837"/>
      <c r="G185" s="2838">
        <f t="shared" si="94"/>
        <v>0</v>
      </c>
      <c r="H185" s="2839">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6">
        <f t="shared" si="96"/>
        <v>0</v>
      </c>
      <c r="AD185" s="2856"/>
      <c r="AE185" s="2856"/>
      <c r="AF185" s="2856"/>
      <c r="AG185" s="2856"/>
      <c r="AH185" s="2856"/>
      <c r="AI185" s="2856"/>
      <c r="AJ185" s="2856"/>
      <c r="AK185" s="2856"/>
      <c r="AL185" s="2856"/>
      <c r="AM185" s="2856"/>
      <c r="AN185" s="2856"/>
      <c r="AO185" s="2856"/>
      <c r="AP185" s="2856"/>
      <c r="AQ185" s="2856"/>
      <c r="AR185" s="2856"/>
      <c r="AS185" s="2856"/>
      <c r="AT185" s="2866"/>
      <c r="AU185" s="2867"/>
      <c r="AV185" s="1182">
        <f t="shared" si="120"/>
        <v>0</v>
      </c>
      <c r="AW185" s="1182">
        <f t="shared" si="121"/>
        <v>0</v>
      </c>
      <c r="AX185" s="1182">
        <f t="shared" si="122"/>
        <v>0</v>
      </c>
      <c r="AY185" s="2881">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8">
        <f t="shared" si="118"/>
        <v>0</v>
      </c>
    </row>
    <row r="186" spans="1:72">
      <c r="A186" s="2833"/>
      <c r="B186" s="2834"/>
      <c r="C186" s="2834"/>
      <c r="D186" s="2835"/>
      <c r="E186" s="2836">
        <f t="shared" si="119"/>
        <v>0</v>
      </c>
      <c r="F186" s="2837"/>
      <c r="G186" s="2838">
        <f t="shared" si="94"/>
        <v>0</v>
      </c>
      <c r="H186" s="2839">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6">
        <f t="shared" si="96"/>
        <v>0</v>
      </c>
      <c r="AD186" s="2856"/>
      <c r="AE186" s="2856"/>
      <c r="AF186" s="2856"/>
      <c r="AG186" s="2856"/>
      <c r="AH186" s="2856"/>
      <c r="AI186" s="2856"/>
      <c r="AJ186" s="2856"/>
      <c r="AK186" s="2856"/>
      <c r="AL186" s="2856"/>
      <c r="AM186" s="2856"/>
      <c r="AN186" s="2856"/>
      <c r="AO186" s="2856"/>
      <c r="AP186" s="2856"/>
      <c r="AQ186" s="2856"/>
      <c r="AR186" s="2856"/>
      <c r="AS186" s="2856"/>
      <c r="AT186" s="2866"/>
      <c r="AU186" s="2867"/>
      <c r="AV186" s="1182">
        <f t="shared" si="120"/>
        <v>0</v>
      </c>
      <c r="AW186" s="1182">
        <f t="shared" si="121"/>
        <v>0</v>
      </c>
      <c r="AX186" s="1182">
        <f t="shared" si="122"/>
        <v>0</v>
      </c>
      <c r="AY186" s="2881">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8">
        <f t="shared" si="118"/>
        <v>0</v>
      </c>
    </row>
    <row r="187" spans="1:72">
      <c r="A187" s="2833"/>
      <c r="B187" s="2834"/>
      <c r="C187" s="2834"/>
      <c r="D187" s="2835"/>
      <c r="E187" s="2836">
        <f t="shared" si="119"/>
        <v>0</v>
      </c>
      <c r="F187" s="2837"/>
      <c r="G187" s="2838">
        <f t="shared" si="94"/>
        <v>0</v>
      </c>
      <c r="H187" s="2839">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6">
        <f t="shared" si="96"/>
        <v>0</v>
      </c>
      <c r="AD187" s="2856"/>
      <c r="AE187" s="2856"/>
      <c r="AF187" s="2856"/>
      <c r="AG187" s="2856"/>
      <c r="AH187" s="2856"/>
      <c r="AI187" s="2856"/>
      <c r="AJ187" s="2856"/>
      <c r="AK187" s="2856"/>
      <c r="AL187" s="2856"/>
      <c r="AM187" s="2856"/>
      <c r="AN187" s="2856"/>
      <c r="AO187" s="2856"/>
      <c r="AP187" s="2856"/>
      <c r="AQ187" s="2856"/>
      <c r="AR187" s="2856"/>
      <c r="AS187" s="2856"/>
      <c r="AT187" s="2866"/>
      <c r="AU187" s="2867"/>
      <c r="AV187" s="1182">
        <f t="shared" si="120"/>
        <v>0</v>
      </c>
      <c r="AW187" s="1182">
        <f t="shared" si="121"/>
        <v>0</v>
      </c>
      <c r="AX187" s="1182">
        <f t="shared" si="122"/>
        <v>0</v>
      </c>
      <c r="AY187" s="2881">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8">
        <f t="shared" si="118"/>
        <v>0</v>
      </c>
    </row>
    <row r="188" spans="1:72">
      <c r="A188" s="2833"/>
      <c r="B188" s="2834"/>
      <c r="C188" s="2834"/>
      <c r="D188" s="2835"/>
      <c r="E188" s="2836">
        <f t="shared" si="119"/>
        <v>0</v>
      </c>
      <c r="F188" s="2837"/>
      <c r="G188" s="2838">
        <f t="shared" si="94"/>
        <v>0</v>
      </c>
      <c r="H188" s="2839">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6">
        <f t="shared" si="96"/>
        <v>0</v>
      </c>
      <c r="AD188" s="2856"/>
      <c r="AE188" s="2856"/>
      <c r="AF188" s="2856"/>
      <c r="AG188" s="2856"/>
      <c r="AH188" s="2856"/>
      <c r="AI188" s="2856"/>
      <c r="AJ188" s="2856"/>
      <c r="AK188" s="2856"/>
      <c r="AL188" s="2856"/>
      <c r="AM188" s="2856"/>
      <c r="AN188" s="2856"/>
      <c r="AO188" s="2856"/>
      <c r="AP188" s="2856"/>
      <c r="AQ188" s="2856"/>
      <c r="AR188" s="2856"/>
      <c r="AS188" s="2856"/>
      <c r="AT188" s="2866"/>
      <c r="AU188" s="2867"/>
      <c r="AV188" s="1182">
        <f t="shared" si="120"/>
        <v>0</v>
      </c>
      <c r="AW188" s="1182">
        <f t="shared" si="121"/>
        <v>0</v>
      </c>
      <c r="AX188" s="1182">
        <f t="shared" si="122"/>
        <v>0</v>
      </c>
      <c r="AY188" s="2881">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8">
        <f t="shared" si="118"/>
        <v>0</v>
      </c>
    </row>
    <row r="189" spans="1:72">
      <c r="A189" s="2833"/>
      <c r="B189" s="2834"/>
      <c r="C189" s="2834"/>
      <c r="D189" s="2835"/>
      <c r="E189" s="2836">
        <f t="shared" si="119"/>
        <v>0</v>
      </c>
      <c r="F189" s="2837"/>
      <c r="G189" s="2838">
        <f t="shared" si="94"/>
        <v>0</v>
      </c>
      <c r="H189" s="2839">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6">
        <f t="shared" si="96"/>
        <v>0</v>
      </c>
      <c r="AD189" s="2856"/>
      <c r="AE189" s="2856"/>
      <c r="AF189" s="2856"/>
      <c r="AG189" s="2856"/>
      <c r="AH189" s="2856"/>
      <c r="AI189" s="2856"/>
      <c r="AJ189" s="2856"/>
      <c r="AK189" s="2856"/>
      <c r="AL189" s="2856"/>
      <c r="AM189" s="2856"/>
      <c r="AN189" s="2856"/>
      <c r="AO189" s="2856"/>
      <c r="AP189" s="2856"/>
      <c r="AQ189" s="2856"/>
      <c r="AR189" s="2856"/>
      <c r="AS189" s="2856"/>
      <c r="AT189" s="2866"/>
      <c r="AU189" s="2867"/>
      <c r="AV189" s="1182">
        <f t="shared" si="120"/>
        <v>0</v>
      </c>
      <c r="AW189" s="1182">
        <f t="shared" si="121"/>
        <v>0</v>
      </c>
      <c r="AX189" s="1182">
        <f t="shared" si="122"/>
        <v>0</v>
      </c>
      <c r="AY189" s="2881">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8">
        <f t="shared" si="118"/>
        <v>0</v>
      </c>
    </row>
    <row r="190" spans="1:72">
      <c r="A190" s="2833"/>
      <c r="B190" s="2834"/>
      <c r="C190" s="2834"/>
      <c r="D190" s="2835"/>
      <c r="E190" s="2836">
        <f t="shared" si="119"/>
        <v>0</v>
      </c>
      <c r="F190" s="2837"/>
      <c r="G190" s="2838">
        <f t="shared" si="94"/>
        <v>0</v>
      </c>
      <c r="H190" s="2839">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6">
        <f t="shared" si="96"/>
        <v>0</v>
      </c>
      <c r="AD190" s="2856"/>
      <c r="AE190" s="2856"/>
      <c r="AF190" s="2856"/>
      <c r="AG190" s="2856"/>
      <c r="AH190" s="2856"/>
      <c r="AI190" s="2856"/>
      <c r="AJ190" s="2856"/>
      <c r="AK190" s="2856"/>
      <c r="AL190" s="2856"/>
      <c r="AM190" s="2856"/>
      <c r="AN190" s="2856"/>
      <c r="AO190" s="2856"/>
      <c r="AP190" s="2856"/>
      <c r="AQ190" s="2856"/>
      <c r="AR190" s="2856"/>
      <c r="AS190" s="2856"/>
      <c r="AT190" s="2866"/>
      <c r="AU190" s="2867"/>
      <c r="AV190" s="1182">
        <f t="shared" si="120"/>
        <v>0</v>
      </c>
      <c r="AW190" s="1182">
        <f t="shared" si="121"/>
        <v>0</v>
      </c>
      <c r="AX190" s="1182">
        <f t="shared" si="122"/>
        <v>0</v>
      </c>
      <c r="AY190" s="2881">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8">
        <f t="shared" si="118"/>
        <v>0</v>
      </c>
    </row>
    <row r="191" spans="1:72">
      <c r="A191" s="2833"/>
      <c r="B191" s="2834"/>
      <c r="C191" s="2834"/>
      <c r="D191" s="2835"/>
      <c r="E191" s="2836">
        <f t="shared" si="119"/>
        <v>0</v>
      </c>
      <c r="F191" s="2837"/>
      <c r="G191" s="2838">
        <f t="shared" si="94"/>
        <v>0</v>
      </c>
      <c r="H191" s="2839">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6">
        <f t="shared" si="96"/>
        <v>0</v>
      </c>
      <c r="AD191" s="2856"/>
      <c r="AE191" s="2856"/>
      <c r="AF191" s="2856"/>
      <c r="AG191" s="2856"/>
      <c r="AH191" s="2856"/>
      <c r="AI191" s="2856"/>
      <c r="AJ191" s="2856"/>
      <c r="AK191" s="2856"/>
      <c r="AL191" s="2856"/>
      <c r="AM191" s="2856"/>
      <c r="AN191" s="2856"/>
      <c r="AO191" s="2856"/>
      <c r="AP191" s="2856"/>
      <c r="AQ191" s="2856"/>
      <c r="AR191" s="2856"/>
      <c r="AS191" s="2856"/>
      <c r="AT191" s="2866"/>
      <c r="AU191" s="2867"/>
      <c r="AV191" s="1182">
        <f t="shared" si="120"/>
        <v>0</v>
      </c>
      <c r="AW191" s="1182">
        <f t="shared" si="121"/>
        <v>0</v>
      </c>
      <c r="AX191" s="1182">
        <f t="shared" si="122"/>
        <v>0</v>
      </c>
      <c r="AY191" s="2881">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8">
        <f t="shared" si="118"/>
        <v>0</v>
      </c>
    </row>
    <row r="192" spans="1:72">
      <c r="A192" s="2833"/>
      <c r="B192" s="2834"/>
      <c r="C192" s="2834"/>
      <c r="D192" s="2835"/>
      <c r="E192" s="2836">
        <f t="shared" si="119"/>
        <v>0</v>
      </c>
      <c r="F192" s="2837"/>
      <c r="G192" s="2838">
        <f t="shared" si="94"/>
        <v>0</v>
      </c>
      <c r="H192" s="2839">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6">
        <f t="shared" si="96"/>
        <v>0</v>
      </c>
      <c r="AD192" s="2856"/>
      <c r="AE192" s="2856"/>
      <c r="AF192" s="2856"/>
      <c r="AG192" s="2856"/>
      <c r="AH192" s="2856"/>
      <c r="AI192" s="2856"/>
      <c r="AJ192" s="2856"/>
      <c r="AK192" s="2856"/>
      <c r="AL192" s="2856"/>
      <c r="AM192" s="2856"/>
      <c r="AN192" s="2856"/>
      <c r="AO192" s="2856"/>
      <c r="AP192" s="2856"/>
      <c r="AQ192" s="2856"/>
      <c r="AR192" s="2856"/>
      <c r="AS192" s="2856"/>
      <c r="AT192" s="2866"/>
      <c r="AU192" s="2867"/>
      <c r="AV192" s="1182">
        <f t="shared" si="120"/>
        <v>0</v>
      </c>
      <c r="AW192" s="1182">
        <f t="shared" si="121"/>
        <v>0</v>
      </c>
      <c r="AX192" s="1182">
        <f t="shared" si="122"/>
        <v>0</v>
      </c>
      <c r="AY192" s="2881">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8">
        <f t="shared" si="118"/>
        <v>0</v>
      </c>
    </row>
    <row r="193" spans="1:72">
      <c r="A193" s="2833"/>
      <c r="B193" s="2834"/>
      <c r="C193" s="2834"/>
      <c r="D193" s="2835"/>
      <c r="E193" s="2836">
        <f t="shared" si="119"/>
        <v>0</v>
      </c>
      <c r="F193" s="2837"/>
      <c r="G193" s="2838">
        <f t="shared" si="94"/>
        <v>0</v>
      </c>
      <c r="H193" s="2839">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6">
        <f t="shared" si="96"/>
        <v>0</v>
      </c>
      <c r="AD193" s="2856"/>
      <c r="AE193" s="2856"/>
      <c r="AF193" s="2856"/>
      <c r="AG193" s="2856"/>
      <c r="AH193" s="2856"/>
      <c r="AI193" s="2856"/>
      <c r="AJ193" s="2856"/>
      <c r="AK193" s="2856"/>
      <c r="AL193" s="2856"/>
      <c r="AM193" s="2856"/>
      <c r="AN193" s="2856"/>
      <c r="AO193" s="2856"/>
      <c r="AP193" s="2856"/>
      <c r="AQ193" s="2856"/>
      <c r="AR193" s="2856"/>
      <c r="AS193" s="2856"/>
      <c r="AT193" s="2866"/>
      <c r="AU193" s="2867"/>
      <c r="AV193" s="1182">
        <f t="shared" si="120"/>
        <v>0</v>
      </c>
      <c r="AW193" s="1182">
        <f t="shared" si="121"/>
        <v>0</v>
      </c>
      <c r="AX193" s="1182">
        <f t="shared" si="122"/>
        <v>0</v>
      </c>
      <c r="AY193" s="2881">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8">
        <f t="shared" si="118"/>
        <v>0</v>
      </c>
    </row>
    <row r="194" spans="1:72">
      <c r="A194" s="2833"/>
      <c r="B194" s="2834"/>
      <c r="C194" s="2834"/>
      <c r="D194" s="2835"/>
      <c r="E194" s="2836">
        <f t="shared" si="119"/>
        <v>0</v>
      </c>
      <c r="F194" s="2837"/>
      <c r="G194" s="2838">
        <f t="shared" si="94"/>
        <v>0</v>
      </c>
      <c r="H194" s="2839">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6">
        <f t="shared" si="96"/>
        <v>0</v>
      </c>
      <c r="AD194" s="2856"/>
      <c r="AE194" s="2856"/>
      <c r="AF194" s="2856"/>
      <c r="AG194" s="2856"/>
      <c r="AH194" s="2856"/>
      <c r="AI194" s="2856"/>
      <c r="AJ194" s="2856"/>
      <c r="AK194" s="2856"/>
      <c r="AL194" s="2856"/>
      <c r="AM194" s="2856"/>
      <c r="AN194" s="2856"/>
      <c r="AO194" s="2856"/>
      <c r="AP194" s="2856"/>
      <c r="AQ194" s="2856"/>
      <c r="AR194" s="2856"/>
      <c r="AS194" s="2856"/>
      <c r="AT194" s="2866"/>
      <c r="AU194" s="2867"/>
      <c r="AV194" s="1182">
        <f t="shared" si="120"/>
        <v>0</v>
      </c>
      <c r="AW194" s="1182">
        <f t="shared" si="121"/>
        <v>0</v>
      </c>
      <c r="AX194" s="1182">
        <f t="shared" si="122"/>
        <v>0</v>
      </c>
      <c r="AY194" s="2881">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8">
        <f t="shared" si="118"/>
        <v>0</v>
      </c>
    </row>
    <row r="195" spans="1:72">
      <c r="A195" s="2833"/>
      <c r="B195" s="2834"/>
      <c r="C195" s="2834"/>
      <c r="D195" s="2835"/>
      <c r="E195" s="2836">
        <f t="shared" si="119"/>
        <v>0</v>
      </c>
      <c r="F195" s="2837"/>
      <c r="G195" s="2838">
        <f t="shared" si="94"/>
        <v>0</v>
      </c>
      <c r="H195" s="2839">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6">
        <f t="shared" si="96"/>
        <v>0</v>
      </c>
      <c r="AD195" s="2856"/>
      <c r="AE195" s="2856"/>
      <c r="AF195" s="2856"/>
      <c r="AG195" s="2856"/>
      <c r="AH195" s="2856"/>
      <c r="AI195" s="2856"/>
      <c r="AJ195" s="2856"/>
      <c r="AK195" s="2856"/>
      <c r="AL195" s="2856"/>
      <c r="AM195" s="2856"/>
      <c r="AN195" s="2856"/>
      <c r="AO195" s="2856"/>
      <c r="AP195" s="2856"/>
      <c r="AQ195" s="2856"/>
      <c r="AR195" s="2856"/>
      <c r="AS195" s="2856"/>
      <c r="AT195" s="2866"/>
      <c r="AU195" s="2867"/>
      <c r="AV195" s="1182">
        <f t="shared" si="120"/>
        <v>0</v>
      </c>
      <c r="AW195" s="1182">
        <f t="shared" si="121"/>
        <v>0</v>
      </c>
      <c r="AX195" s="1182">
        <f t="shared" si="122"/>
        <v>0</v>
      </c>
      <c r="AY195" s="2881">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8">
        <f t="shared" si="118"/>
        <v>0</v>
      </c>
    </row>
    <row r="196" spans="1:72">
      <c r="A196" s="2833"/>
      <c r="B196" s="2834"/>
      <c r="C196" s="2834"/>
      <c r="D196" s="2835"/>
      <c r="E196" s="2836">
        <f t="shared" si="119"/>
        <v>0</v>
      </c>
      <c r="F196" s="2837"/>
      <c r="G196" s="2838">
        <f t="shared" si="94"/>
        <v>0</v>
      </c>
      <c r="H196" s="2839">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6">
        <f t="shared" si="96"/>
        <v>0</v>
      </c>
      <c r="AD196" s="2856"/>
      <c r="AE196" s="2856"/>
      <c r="AF196" s="2856"/>
      <c r="AG196" s="2856"/>
      <c r="AH196" s="2856"/>
      <c r="AI196" s="2856"/>
      <c r="AJ196" s="2856"/>
      <c r="AK196" s="2856"/>
      <c r="AL196" s="2856"/>
      <c r="AM196" s="2856"/>
      <c r="AN196" s="2856"/>
      <c r="AO196" s="2856"/>
      <c r="AP196" s="2856"/>
      <c r="AQ196" s="2856"/>
      <c r="AR196" s="2856"/>
      <c r="AS196" s="2856"/>
      <c r="AT196" s="2866"/>
      <c r="AU196" s="2867"/>
      <c r="AV196" s="1182">
        <f t="shared" si="120"/>
        <v>0</v>
      </c>
      <c r="AW196" s="1182">
        <f t="shared" si="121"/>
        <v>0</v>
      </c>
      <c r="AX196" s="1182">
        <f t="shared" si="122"/>
        <v>0</v>
      </c>
      <c r="AY196" s="2881">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8">
        <f t="shared" si="118"/>
        <v>0</v>
      </c>
    </row>
    <row r="197" spans="1:72">
      <c r="A197" s="2833"/>
      <c r="B197" s="2834"/>
      <c r="C197" s="2834"/>
      <c r="D197" s="2835"/>
      <c r="E197" s="2836">
        <f t="shared" si="119"/>
        <v>0</v>
      </c>
      <c r="F197" s="2837"/>
      <c r="G197" s="2838">
        <f t="shared" si="94"/>
        <v>0</v>
      </c>
      <c r="H197" s="2839">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6">
        <f t="shared" si="96"/>
        <v>0</v>
      </c>
      <c r="AD197" s="2856"/>
      <c r="AE197" s="2856"/>
      <c r="AF197" s="2856"/>
      <c r="AG197" s="2856"/>
      <c r="AH197" s="2856"/>
      <c r="AI197" s="2856"/>
      <c r="AJ197" s="2856"/>
      <c r="AK197" s="2856"/>
      <c r="AL197" s="2856"/>
      <c r="AM197" s="2856"/>
      <c r="AN197" s="2856"/>
      <c r="AO197" s="2856"/>
      <c r="AP197" s="2856"/>
      <c r="AQ197" s="2856"/>
      <c r="AR197" s="2856"/>
      <c r="AS197" s="2856"/>
      <c r="AT197" s="2866"/>
      <c r="AU197" s="2867"/>
      <c r="AV197" s="1182">
        <f t="shared" si="120"/>
        <v>0</v>
      </c>
      <c r="AW197" s="1182">
        <f t="shared" si="121"/>
        <v>0</v>
      </c>
      <c r="AX197" s="1182">
        <f t="shared" si="122"/>
        <v>0</v>
      </c>
      <c r="AY197" s="2881">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8">
        <f t="shared" si="118"/>
        <v>0</v>
      </c>
    </row>
    <row r="198" spans="1:72">
      <c r="A198" s="2833"/>
      <c r="B198" s="2834"/>
      <c r="C198" s="2834"/>
      <c r="D198" s="2835"/>
      <c r="E198" s="2836">
        <f t="shared" si="119"/>
        <v>0</v>
      </c>
      <c r="F198" s="2837"/>
      <c r="G198" s="2838">
        <f t="shared" si="94"/>
        <v>0</v>
      </c>
      <c r="H198" s="2839">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6">
        <f t="shared" si="96"/>
        <v>0</v>
      </c>
      <c r="AD198" s="2856"/>
      <c r="AE198" s="2856"/>
      <c r="AF198" s="2856"/>
      <c r="AG198" s="2856"/>
      <c r="AH198" s="2856"/>
      <c r="AI198" s="2856"/>
      <c r="AJ198" s="2856"/>
      <c r="AK198" s="2856"/>
      <c r="AL198" s="2856"/>
      <c r="AM198" s="2856"/>
      <c r="AN198" s="2856"/>
      <c r="AO198" s="2856"/>
      <c r="AP198" s="2856"/>
      <c r="AQ198" s="2856"/>
      <c r="AR198" s="2856"/>
      <c r="AS198" s="2856"/>
      <c r="AT198" s="2866"/>
      <c r="AU198" s="2867"/>
      <c r="AV198" s="1182">
        <f t="shared" si="120"/>
        <v>0</v>
      </c>
      <c r="AW198" s="1182">
        <f t="shared" si="121"/>
        <v>0</v>
      </c>
      <c r="AX198" s="1182">
        <f t="shared" si="122"/>
        <v>0</v>
      </c>
      <c r="AY198" s="2881">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8">
        <f t="shared" si="118"/>
        <v>0</v>
      </c>
    </row>
    <row r="199" spans="1:72">
      <c r="A199" s="2833"/>
      <c r="B199" s="2834"/>
      <c r="C199" s="2834"/>
      <c r="D199" s="2835"/>
      <c r="E199" s="2836">
        <f t="shared" si="119"/>
        <v>0</v>
      </c>
      <c r="F199" s="2837"/>
      <c r="G199" s="2838">
        <f t="shared" si="94"/>
        <v>0</v>
      </c>
      <c r="H199" s="2839">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6">
        <f t="shared" si="96"/>
        <v>0</v>
      </c>
      <c r="AD199" s="2856"/>
      <c r="AE199" s="2856"/>
      <c r="AF199" s="2856"/>
      <c r="AG199" s="2856"/>
      <c r="AH199" s="2856"/>
      <c r="AI199" s="2856"/>
      <c r="AJ199" s="2856"/>
      <c r="AK199" s="2856"/>
      <c r="AL199" s="2856"/>
      <c r="AM199" s="2856"/>
      <c r="AN199" s="2856"/>
      <c r="AO199" s="2856"/>
      <c r="AP199" s="2856"/>
      <c r="AQ199" s="2856"/>
      <c r="AR199" s="2856"/>
      <c r="AS199" s="2856"/>
      <c r="AT199" s="2866"/>
      <c r="AU199" s="2867"/>
      <c r="AV199" s="1182">
        <f t="shared" si="120"/>
        <v>0</v>
      </c>
      <c r="AW199" s="1182">
        <f t="shared" si="121"/>
        <v>0</v>
      </c>
      <c r="AX199" s="1182">
        <f t="shared" si="122"/>
        <v>0</v>
      </c>
      <c r="AY199" s="2881">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8">
        <f t="shared" si="118"/>
        <v>0</v>
      </c>
    </row>
    <row r="200" spans="1:72">
      <c r="A200" s="2833"/>
      <c r="B200" s="2834"/>
      <c r="C200" s="2834"/>
      <c r="D200" s="2835"/>
      <c r="E200" s="2836">
        <f t="shared" si="119"/>
        <v>0</v>
      </c>
      <c r="F200" s="2837"/>
      <c r="G200" s="2838">
        <f t="shared" si="94"/>
        <v>0</v>
      </c>
      <c r="H200" s="2839">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6">
        <f t="shared" si="96"/>
        <v>0</v>
      </c>
      <c r="AD200" s="2856"/>
      <c r="AE200" s="2856"/>
      <c r="AF200" s="2856"/>
      <c r="AG200" s="2856"/>
      <c r="AH200" s="2856"/>
      <c r="AI200" s="2856"/>
      <c r="AJ200" s="2856"/>
      <c r="AK200" s="2856"/>
      <c r="AL200" s="2856"/>
      <c r="AM200" s="2856"/>
      <c r="AN200" s="2856"/>
      <c r="AO200" s="2856"/>
      <c r="AP200" s="2856"/>
      <c r="AQ200" s="2856"/>
      <c r="AR200" s="2856"/>
      <c r="AS200" s="2856"/>
      <c r="AT200" s="2866"/>
      <c r="AU200" s="2867"/>
      <c r="AV200" s="1182">
        <f t="shared" si="120"/>
        <v>0</v>
      </c>
      <c r="AW200" s="1182">
        <f t="shared" si="121"/>
        <v>0</v>
      </c>
      <c r="AX200" s="1182">
        <f t="shared" si="122"/>
        <v>0</v>
      </c>
      <c r="AY200" s="2881">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8">
        <f t="shared" si="118"/>
        <v>0</v>
      </c>
    </row>
    <row r="201" spans="1:72">
      <c r="A201" s="2833"/>
      <c r="B201" s="2834"/>
      <c r="C201" s="2834"/>
      <c r="D201" s="2835"/>
      <c r="E201" s="2836">
        <f t="shared" si="119"/>
        <v>0</v>
      </c>
      <c r="F201" s="2837"/>
      <c r="G201" s="2838">
        <f t="shared" si="94"/>
        <v>0</v>
      </c>
      <c r="H201" s="2839">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6">
        <f t="shared" si="96"/>
        <v>0</v>
      </c>
      <c r="AD201" s="2856"/>
      <c r="AE201" s="2856"/>
      <c r="AF201" s="2856"/>
      <c r="AG201" s="2856"/>
      <c r="AH201" s="2856"/>
      <c r="AI201" s="2856"/>
      <c r="AJ201" s="2856"/>
      <c r="AK201" s="2856"/>
      <c r="AL201" s="2856"/>
      <c r="AM201" s="2856"/>
      <c r="AN201" s="2856"/>
      <c r="AO201" s="2856"/>
      <c r="AP201" s="2856"/>
      <c r="AQ201" s="2856"/>
      <c r="AR201" s="2856"/>
      <c r="AS201" s="2856"/>
      <c r="AT201" s="2866"/>
      <c r="AU201" s="2867"/>
      <c r="AV201" s="1182">
        <f t="shared" si="120"/>
        <v>0</v>
      </c>
      <c r="AW201" s="1182">
        <f t="shared" si="121"/>
        <v>0</v>
      </c>
      <c r="AX201" s="1182">
        <f t="shared" si="122"/>
        <v>0</v>
      </c>
      <c r="AY201" s="2881">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8">
        <f t="shared" si="118"/>
        <v>0</v>
      </c>
    </row>
    <row r="202" spans="1:72">
      <c r="A202" s="2833"/>
      <c r="B202" s="2834"/>
      <c r="C202" s="2834"/>
      <c r="D202" s="2835"/>
      <c r="E202" s="2836">
        <f t="shared" si="119"/>
        <v>0</v>
      </c>
      <c r="F202" s="2837"/>
      <c r="G202" s="2838">
        <f t="shared" si="94"/>
        <v>0</v>
      </c>
      <c r="H202" s="2839">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6">
        <f t="shared" si="96"/>
        <v>0</v>
      </c>
      <c r="AD202" s="2856"/>
      <c r="AE202" s="2856"/>
      <c r="AF202" s="2856"/>
      <c r="AG202" s="2856"/>
      <c r="AH202" s="2856"/>
      <c r="AI202" s="2856"/>
      <c r="AJ202" s="2856"/>
      <c r="AK202" s="2856"/>
      <c r="AL202" s="2856"/>
      <c r="AM202" s="2856"/>
      <c r="AN202" s="2856"/>
      <c r="AO202" s="2856"/>
      <c r="AP202" s="2856"/>
      <c r="AQ202" s="2856"/>
      <c r="AR202" s="2856"/>
      <c r="AS202" s="2856"/>
      <c r="AT202" s="2866"/>
      <c r="AU202" s="2867"/>
      <c r="AV202" s="1182">
        <f t="shared" si="120"/>
        <v>0</v>
      </c>
      <c r="AW202" s="1182">
        <f t="shared" si="121"/>
        <v>0</v>
      </c>
      <c r="AX202" s="1182">
        <f t="shared" si="122"/>
        <v>0</v>
      </c>
      <c r="AY202" s="2881">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8">
        <f t="shared" si="118"/>
        <v>0</v>
      </c>
    </row>
    <row r="203" spans="1:72">
      <c r="A203" s="2833"/>
      <c r="B203" s="2834"/>
      <c r="C203" s="2834"/>
      <c r="D203" s="2835"/>
      <c r="E203" s="2836">
        <f t="shared" si="119"/>
        <v>0</v>
      </c>
      <c r="F203" s="2837"/>
      <c r="G203" s="2838">
        <f t="shared" si="94"/>
        <v>0</v>
      </c>
      <c r="H203" s="2839">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6">
        <f t="shared" si="96"/>
        <v>0</v>
      </c>
      <c r="AD203" s="2856"/>
      <c r="AE203" s="2856"/>
      <c r="AF203" s="2856"/>
      <c r="AG203" s="2856"/>
      <c r="AH203" s="2856"/>
      <c r="AI203" s="2856"/>
      <c r="AJ203" s="2856"/>
      <c r="AK203" s="2856"/>
      <c r="AL203" s="2856"/>
      <c r="AM203" s="2856"/>
      <c r="AN203" s="2856"/>
      <c r="AO203" s="2856"/>
      <c r="AP203" s="2856"/>
      <c r="AQ203" s="2856"/>
      <c r="AR203" s="2856"/>
      <c r="AS203" s="2856"/>
      <c r="AT203" s="2866"/>
      <c r="AU203" s="2867"/>
      <c r="AV203" s="1182">
        <f t="shared" si="120"/>
        <v>0</v>
      </c>
      <c r="AW203" s="1182">
        <f t="shared" si="121"/>
        <v>0</v>
      </c>
      <c r="AX203" s="1182">
        <f t="shared" si="122"/>
        <v>0</v>
      </c>
      <c r="AY203" s="2881">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8">
        <f t="shared" si="118"/>
        <v>0</v>
      </c>
    </row>
    <row r="204" spans="1:72">
      <c r="A204" s="2833"/>
      <c r="B204" s="2834"/>
      <c r="C204" s="2834"/>
      <c r="D204" s="2835"/>
      <c r="E204" s="2836">
        <f t="shared" si="119"/>
        <v>0</v>
      </c>
      <c r="F204" s="2837"/>
      <c r="G204" s="2838">
        <f t="shared" si="94"/>
        <v>0</v>
      </c>
      <c r="H204" s="2839">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6">
        <f t="shared" si="96"/>
        <v>0</v>
      </c>
      <c r="AD204" s="2856"/>
      <c r="AE204" s="2856"/>
      <c r="AF204" s="2856"/>
      <c r="AG204" s="2856"/>
      <c r="AH204" s="2856"/>
      <c r="AI204" s="2856"/>
      <c r="AJ204" s="2856"/>
      <c r="AK204" s="2856"/>
      <c r="AL204" s="2856"/>
      <c r="AM204" s="2856"/>
      <c r="AN204" s="2856"/>
      <c r="AO204" s="2856"/>
      <c r="AP204" s="2856"/>
      <c r="AQ204" s="2856"/>
      <c r="AR204" s="2856"/>
      <c r="AS204" s="2856"/>
      <c r="AT204" s="2866"/>
      <c r="AU204" s="2867"/>
      <c r="AV204" s="1182">
        <f t="shared" si="120"/>
        <v>0</v>
      </c>
      <c r="AW204" s="1182">
        <f t="shared" si="121"/>
        <v>0</v>
      </c>
      <c r="AX204" s="1182">
        <f t="shared" si="122"/>
        <v>0</v>
      </c>
      <c r="AY204" s="2881">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8">
        <f t="shared" si="118"/>
        <v>0</v>
      </c>
    </row>
    <row r="205" spans="1:72">
      <c r="A205" s="2833"/>
      <c r="B205" s="2833"/>
      <c r="C205" s="2833"/>
      <c r="D205" s="2835"/>
      <c r="E205" s="2836">
        <f t="shared" si="119"/>
        <v>0</v>
      </c>
      <c r="F205" s="2889"/>
      <c r="G205" s="2838">
        <f t="shared" si="94"/>
        <v>0</v>
      </c>
      <c r="H205" s="2839">
        <f t="shared" si="95"/>
        <v>0</v>
      </c>
      <c r="I205" s="2890"/>
      <c r="J205" s="2890"/>
      <c r="K205" s="2846"/>
      <c r="L205" s="2846"/>
      <c r="M205" s="2846"/>
      <c r="N205" s="2846"/>
      <c r="O205" s="2846"/>
      <c r="P205" s="2846"/>
      <c r="Q205" s="2846"/>
      <c r="R205" s="2846"/>
      <c r="S205" s="2846"/>
      <c r="T205" s="2846"/>
      <c r="U205" s="2846"/>
      <c r="V205" s="2846"/>
      <c r="W205" s="2846"/>
      <c r="X205" s="2846"/>
      <c r="Y205" s="2846"/>
      <c r="Z205" s="2846"/>
      <c r="AA205" s="2846"/>
      <c r="AB205" s="2846"/>
      <c r="AC205" s="2836">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2891"/>
      <c r="AV205" s="1182">
        <f t="shared" si="120"/>
        <v>0</v>
      </c>
      <c r="AW205" s="1182">
        <f t="shared" si="121"/>
        <v>0</v>
      </c>
      <c r="AX205" s="1182">
        <f t="shared" si="122"/>
        <v>0</v>
      </c>
      <c r="AY205" s="2881">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8">
        <f t="shared" si="118"/>
        <v>0</v>
      </c>
    </row>
    <row r="206" spans="1:72">
      <c r="A206" s="2833"/>
      <c r="B206" s="2833"/>
      <c r="C206" s="2833"/>
      <c r="D206" s="2835"/>
      <c r="E206" s="2836">
        <f t="shared" si="119"/>
        <v>0</v>
      </c>
      <c r="F206" s="2889"/>
      <c r="G206" s="2838">
        <f t="shared" si="94"/>
        <v>0</v>
      </c>
      <c r="H206" s="2839">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6">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2891"/>
      <c r="AV206" s="1182">
        <f t="shared" si="120"/>
        <v>0</v>
      </c>
      <c r="AW206" s="1182">
        <f t="shared" si="121"/>
        <v>0</v>
      </c>
      <c r="AX206" s="1182">
        <f t="shared" si="122"/>
        <v>0</v>
      </c>
      <c r="AY206" s="2881">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8">
        <f t="shared" si="118"/>
        <v>0</v>
      </c>
    </row>
    <row r="207" spans="1:72">
      <c r="A207" s="2833"/>
      <c r="B207" s="2833"/>
      <c r="C207" s="2833"/>
      <c r="D207" s="2835"/>
      <c r="E207" s="2836">
        <f t="shared" si="119"/>
        <v>0</v>
      </c>
      <c r="F207" s="2889"/>
      <c r="G207" s="2838">
        <f t="shared" si="94"/>
        <v>0</v>
      </c>
      <c r="H207" s="2839">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6">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2891"/>
      <c r="AV207" s="1182">
        <f t="shared" si="120"/>
        <v>0</v>
      </c>
      <c r="AW207" s="1182">
        <f t="shared" si="121"/>
        <v>0</v>
      </c>
      <c r="AX207" s="1182">
        <f t="shared" si="122"/>
        <v>0</v>
      </c>
      <c r="AY207" s="2881">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8">
        <f t="shared" si="118"/>
        <v>0</v>
      </c>
    </row>
    <row r="208" spans="1:72">
      <c r="A208" s="2833"/>
      <c r="B208" s="2834"/>
      <c r="C208" s="2834"/>
      <c r="D208" s="2835"/>
      <c r="E208" s="2836">
        <f t="shared" ref="E208:E302" si="123">IF($C$3="是",ROUND($A$3*G208/$B$3,2),ROUND($A$3*(G208-AT208)/$B$3,2))</f>
        <v>0</v>
      </c>
      <c r="F208" s="2837"/>
      <c r="G208" s="2838">
        <f t="shared" ref="G208:G299" si="124">H208+AC208+AT208</f>
        <v>0</v>
      </c>
      <c r="H208" s="2839">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6">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66"/>
      <c r="AU208" s="2867"/>
      <c r="AV208" s="1182">
        <f t="shared" ref="AV208:AV302" si="127">A208</f>
        <v>0</v>
      </c>
      <c r="AW208" s="1182">
        <f t="shared" ref="AW208:AW302" si="128">B208</f>
        <v>0</v>
      </c>
      <c r="AX208" s="1182">
        <f t="shared" ref="AX208:AX302" si="129">C208</f>
        <v>0</v>
      </c>
      <c r="AY208" s="2881">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8">
        <f t="shared" ref="BT208:BT299" si="151">IF($D208="是",AR208-AS208,0)</f>
        <v>0</v>
      </c>
    </row>
    <row r="209" spans="1:72">
      <c r="A209" s="2833"/>
      <c r="B209" s="2834"/>
      <c r="C209" s="2834"/>
      <c r="D209" s="2835"/>
      <c r="E209" s="2836">
        <f t="shared" si="123"/>
        <v>0</v>
      </c>
      <c r="F209" s="2837"/>
      <c r="G209" s="2838">
        <f t="shared" si="124"/>
        <v>0</v>
      </c>
      <c r="H209" s="2839">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6">
        <f t="shared" si="126"/>
        <v>0</v>
      </c>
      <c r="AD209" s="2856"/>
      <c r="AE209" s="2856"/>
      <c r="AF209" s="2856"/>
      <c r="AG209" s="2856"/>
      <c r="AH209" s="2856"/>
      <c r="AI209" s="2856"/>
      <c r="AJ209" s="2856"/>
      <c r="AK209" s="2856"/>
      <c r="AL209" s="2856"/>
      <c r="AM209" s="2856"/>
      <c r="AN209" s="2856"/>
      <c r="AO209" s="2856"/>
      <c r="AP209" s="2856"/>
      <c r="AQ209" s="2856"/>
      <c r="AR209" s="2856"/>
      <c r="AS209" s="2856"/>
      <c r="AT209" s="2866"/>
      <c r="AU209" s="2867"/>
      <c r="AV209" s="1182">
        <f t="shared" si="127"/>
        <v>0</v>
      </c>
      <c r="AW209" s="1182">
        <f t="shared" si="128"/>
        <v>0</v>
      </c>
      <c r="AX209" s="1182">
        <f t="shared" si="129"/>
        <v>0</v>
      </c>
      <c r="AY209" s="2881">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8">
        <f t="shared" si="151"/>
        <v>0</v>
      </c>
    </row>
    <row r="210" spans="1:72">
      <c r="A210" s="2833"/>
      <c r="B210" s="2834"/>
      <c r="C210" s="2834"/>
      <c r="D210" s="2835"/>
      <c r="E210" s="2836">
        <f t="shared" si="123"/>
        <v>0</v>
      </c>
      <c r="F210" s="2837"/>
      <c r="G210" s="2838">
        <f t="shared" si="124"/>
        <v>0</v>
      </c>
      <c r="H210" s="2839">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6">
        <f t="shared" si="126"/>
        <v>0</v>
      </c>
      <c r="AD210" s="2856"/>
      <c r="AE210" s="2856"/>
      <c r="AF210" s="2856"/>
      <c r="AG210" s="2856"/>
      <c r="AH210" s="2856"/>
      <c r="AI210" s="2856"/>
      <c r="AJ210" s="2856"/>
      <c r="AK210" s="2856"/>
      <c r="AL210" s="2856"/>
      <c r="AM210" s="2856"/>
      <c r="AN210" s="2856"/>
      <c r="AO210" s="2856"/>
      <c r="AP210" s="2856"/>
      <c r="AQ210" s="2856"/>
      <c r="AR210" s="2856"/>
      <c r="AS210" s="2856"/>
      <c r="AT210" s="2866"/>
      <c r="AU210" s="2867"/>
      <c r="AV210" s="1182">
        <f t="shared" si="127"/>
        <v>0</v>
      </c>
      <c r="AW210" s="1182">
        <f t="shared" si="128"/>
        <v>0</v>
      </c>
      <c r="AX210" s="1182">
        <f t="shared" si="129"/>
        <v>0</v>
      </c>
      <c r="AY210" s="2881">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8">
        <f t="shared" si="151"/>
        <v>0</v>
      </c>
    </row>
    <row r="211" spans="1:72">
      <c r="A211" s="2833"/>
      <c r="B211" s="2834"/>
      <c r="C211" s="2834"/>
      <c r="D211" s="2835"/>
      <c r="E211" s="2836">
        <f t="shared" si="123"/>
        <v>0</v>
      </c>
      <c r="F211" s="2837"/>
      <c r="G211" s="2838">
        <f t="shared" si="124"/>
        <v>0</v>
      </c>
      <c r="H211" s="2839">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6">
        <f t="shared" si="126"/>
        <v>0</v>
      </c>
      <c r="AD211" s="2856"/>
      <c r="AE211" s="2856"/>
      <c r="AF211" s="2856"/>
      <c r="AG211" s="2856"/>
      <c r="AH211" s="2856"/>
      <c r="AI211" s="2856"/>
      <c r="AJ211" s="2856"/>
      <c r="AK211" s="2856"/>
      <c r="AL211" s="2856"/>
      <c r="AM211" s="2856"/>
      <c r="AN211" s="2856"/>
      <c r="AO211" s="2856"/>
      <c r="AP211" s="2856"/>
      <c r="AQ211" s="2856"/>
      <c r="AR211" s="2856"/>
      <c r="AS211" s="2856"/>
      <c r="AT211" s="2866"/>
      <c r="AU211" s="2867"/>
      <c r="AV211" s="1182">
        <f t="shared" si="127"/>
        <v>0</v>
      </c>
      <c r="AW211" s="1182">
        <f t="shared" si="128"/>
        <v>0</v>
      </c>
      <c r="AX211" s="1182">
        <f t="shared" si="129"/>
        <v>0</v>
      </c>
      <c r="AY211" s="2881">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8">
        <f t="shared" si="151"/>
        <v>0</v>
      </c>
    </row>
    <row r="212" spans="1:72">
      <c r="A212" s="2833"/>
      <c r="B212" s="2834"/>
      <c r="C212" s="2834"/>
      <c r="D212" s="2835"/>
      <c r="E212" s="2836">
        <f t="shared" si="123"/>
        <v>0</v>
      </c>
      <c r="F212" s="2837"/>
      <c r="G212" s="2838">
        <f t="shared" si="124"/>
        <v>0</v>
      </c>
      <c r="H212" s="2839">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6">
        <f t="shared" si="126"/>
        <v>0</v>
      </c>
      <c r="AD212" s="2856"/>
      <c r="AE212" s="2856"/>
      <c r="AF212" s="2856"/>
      <c r="AG212" s="2856"/>
      <c r="AH212" s="2856"/>
      <c r="AI212" s="2856"/>
      <c r="AJ212" s="2856"/>
      <c r="AK212" s="2856"/>
      <c r="AL212" s="2856"/>
      <c r="AM212" s="2856"/>
      <c r="AN212" s="2856"/>
      <c r="AO212" s="2856"/>
      <c r="AP212" s="2856"/>
      <c r="AQ212" s="2856"/>
      <c r="AR212" s="2856"/>
      <c r="AS212" s="2856"/>
      <c r="AT212" s="2866"/>
      <c r="AU212" s="2867"/>
      <c r="AV212" s="1182">
        <f t="shared" si="127"/>
        <v>0</v>
      </c>
      <c r="AW212" s="1182">
        <f t="shared" si="128"/>
        <v>0</v>
      </c>
      <c r="AX212" s="1182">
        <f t="shared" si="129"/>
        <v>0</v>
      </c>
      <c r="AY212" s="2881">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8">
        <f t="shared" si="151"/>
        <v>0</v>
      </c>
    </row>
    <row r="213" spans="1:72">
      <c r="A213" s="2833"/>
      <c r="B213" s="2834"/>
      <c r="C213" s="2834"/>
      <c r="D213" s="2835"/>
      <c r="E213" s="2836">
        <f t="shared" si="123"/>
        <v>0</v>
      </c>
      <c r="F213" s="2837"/>
      <c r="G213" s="2838">
        <f t="shared" si="124"/>
        <v>0</v>
      </c>
      <c r="H213" s="2839">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6">
        <f t="shared" si="126"/>
        <v>0</v>
      </c>
      <c r="AD213" s="2856"/>
      <c r="AE213" s="2856"/>
      <c r="AF213" s="2856"/>
      <c r="AG213" s="2856"/>
      <c r="AH213" s="2856"/>
      <c r="AI213" s="2856"/>
      <c r="AJ213" s="2856"/>
      <c r="AK213" s="2856"/>
      <c r="AL213" s="2856"/>
      <c r="AM213" s="2856"/>
      <c r="AN213" s="2856"/>
      <c r="AO213" s="2856"/>
      <c r="AP213" s="2856"/>
      <c r="AQ213" s="2856"/>
      <c r="AR213" s="2856"/>
      <c r="AS213" s="2856"/>
      <c r="AT213" s="2866"/>
      <c r="AU213" s="2867"/>
      <c r="AV213" s="1182">
        <f t="shared" si="127"/>
        <v>0</v>
      </c>
      <c r="AW213" s="1182">
        <f t="shared" si="128"/>
        <v>0</v>
      </c>
      <c r="AX213" s="1182">
        <f t="shared" si="129"/>
        <v>0</v>
      </c>
      <c r="AY213" s="2881">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8">
        <f t="shared" si="151"/>
        <v>0</v>
      </c>
    </row>
    <row r="214" spans="1:72">
      <c r="A214" s="2833"/>
      <c r="B214" s="2834"/>
      <c r="C214" s="2834"/>
      <c r="D214" s="2835"/>
      <c r="E214" s="2836">
        <f t="shared" si="123"/>
        <v>0</v>
      </c>
      <c r="F214" s="2837"/>
      <c r="G214" s="2838">
        <f t="shared" si="124"/>
        <v>0</v>
      </c>
      <c r="H214" s="2839">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6">
        <f t="shared" si="126"/>
        <v>0</v>
      </c>
      <c r="AD214" s="2856"/>
      <c r="AE214" s="2856"/>
      <c r="AF214" s="2856"/>
      <c r="AG214" s="2856"/>
      <c r="AH214" s="2856"/>
      <c r="AI214" s="2856"/>
      <c r="AJ214" s="2856"/>
      <c r="AK214" s="2856"/>
      <c r="AL214" s="2856"/>
      <c r="AM214" s="2856"/>
      <c r="AN214" s="2856"/>
      <c r="AO214" s="2856"/>
      <c r="AP214" s="2856"/>
      <c r="AQ214" s="2856"/>
      <c r="AR214" s="2856"/>
      <c r="AS214" s="2856"/>
      <c r="AT214" s="2866"/>
      <c r="AU214" s="2867"/>
      <c r="AV214" s="1182">
        <f t="shared" si="127"/>
        <v>0</v>
      </c>
      <c r="AW214" s="1182">
        <f t="shared" si="128"/>
        <v>0</v>
      </c>
      <c r="AX214" s="1182">
        <f t="shared" si="129"/>
        <v>0</v>
      </c>
      <c r="AY214" s="2881">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8">
        <f t="shared" si="151"/>
        <v>0</v>
      </c>
    </row>
    <row r="215" spans="1:72">
      <c r="A215" s="2833"/>
      <c r="B215" s="2834"/>
      <c r="C215" s="2834"/>
      <c r="D215" s="2835"/>
      <c r="E215" s="2836">
        <f t="shared" si="123"/>
        <v>0</v>
      </c>
      <c r="F215" s="2837"/>
      <c r="G215" s="2838">
        <f t="shared" si="124"/>
        <v>0</v>
      </c>
      <c r="H215" s="2839">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6">
        <f t="shared" si="126"/>
        <v>0</v>
      </c>
      <c r="AD215" s="2856"/>
      <c r="AE215" s="2856"/>
      <c r="AF215" s="2856"/>
      <c r="AG215" s="2856"/>
      <c r="AH215" s="2856"/>
      <c r="AI215" s="2856"/>
      <c r="AJ215" s="2856"/>
      <c r="AK215" s="2856"/>
      <c r="AL215" s="2856"/>
      <c r="AM215" s="2856"/>
      <c r="AN215" s="2856"/>
      <c r="AO215" s="2856"/>
      <c r="AP215" s="2856"/>
      <c r="AQ215" s="2856"/>
      <c r="AR215" s="2856"/>
      <c r="AS215" s="2856"/>
      <c r="AT215" s="2866"/>
      <c r="AU215" s="2867"/>
      <c r="AV215" s="1182">
        <f t="shared" si="127"/>
        <v>0</v>
      </c>
      <c r="AW215" s="1182">
        <f t="shared" si="128"/>
        <v>0</v>
      </c>
      <c r="AX215" s="1182">
        <f t="shared" si="129"/>
        <v>0</v>
      </c>
      <c r="AY215" s="2881">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8">
        <f t="shared" si="151"/>
        <v>0</v>
      </c>
    </row>
    <row r="216" spans="1:72">
      <c r="A216" s="2833"/>
      <c r="B216" s="2834"/>
      <c r="C216" s="2834"/>
      <c r="D216" s="2835"/>
      <c r="E216" s="2836">
        <f t="shared" si="123"/>
        <v>0</v>
      </c>
      <c r="F216" s="2837"/>
      <c r="G216" s="2838">
        <f t="shared" si="124"/>
        <v>0</v>
      </c>
      <c r="H216" s="2839">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6">
        <f t="shared" si="126"/>
        <v>0</v>
      </c>
      <c r="AD216" s="2856"/>
      <c r="AE216" s="2856"/>
      <c r="AF216" s="2856"/>
      <c r="AG216" s="2856"/>
      <c r="AH216" s="2856"/>
      <c r="AI216" s="2856"/>
      <c r="AJ216" s="2856"/>
      <c r="AK216" s="2856"/>
      <c r="AL216" s="2856"/>
      <c r="AM216" s="2856"/>
      <c r="AN216" s="2856"/>
      <c r="AO216" s="2856"/>
      <c r="AP216" s="2856"/>
      <c r="AQ216" s="2856"/>
      <c r="AR216" s="2856"/>
      <c r="AS216" s="2856"/>
      <c r="AT216" s="2866"/>
      <c r="AU216" s="2867"/>
      <c r="AV216" s="1182">
        <f t="shared" si="127"/>
        <v>0</v>
      </c>
      <c r="AW216" s="1182">
        <f t="shared" si="128"/>
        <v>0</v>
      </c>
      <c r="AX216" s="1182">
        <f t="shared" si="129"/>
        <v>0</v>
      </c>
      <c r="AY216" s="2881">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8">
        <f t="shared" si="151"/>
        <v>0</v>
      </c>
    </row>
    <row r="217" spans="1:72">
      <c r="A217" s="2833"/>
      <c r="B217" s="2834"/>
      <c r="C217" s="2834"/>
      <c r="D217" s="2835"/>
      <c r="E217" s="2836">
        <f t="shared" si="123"/>
        <v>0</v>
      </c>
      <c r="F217" s="2837"/>
      <c r="G217" s="2838">
        <f t="shared" si="124"/>
        <v>0</v>
      </c>
      <c r="H217" s="2839">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6">
        <f t="shared" si="126"/>
        <v>0</v>
      </c>
      <c r="AD217" s="2856"/>
      <c r="AE217" s="2856"/>
      <c r="AF217" s="2856"/>
      <c r="AG217" s="2856"/>
      <c r="AH217" s="2856"/>
      <c r="AI217" s="2856"/>
      <c r="AJ217" s="2856"/>
      <c r="AK217" s="2856"/>
      <c r="AL217" s="2856"/>
      <c r="AM217" s="2856"/>
      <c r="AN217" s="2856"/>
      <c r="AO217" s="2856"/>
      <c r="AP217" s="2856"/>
      <c r="AQ217" s="2856"/>
      <c r="AR217" s="2856"/>
      <c r="AS217" s="2856"/>
      <c r="AT217" s="2866"/>
      <c r="AU217" s="2867"/>
      <c r="AV217" s="1182">
        <f t="shared" si="127"/>
        <v>0</v>
      </c>
      <c r="AW217" s="1182">
        <f t="shared" si="128"/>
        <v>0</v>
      </c>
      <c r="AX217" s="1182">
        <f t="shared" si="129"/>
        <v>0</v>
      </c>
      <c r="AY217" s="2881">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8">
        <f t="shared" si="151"/>
        <v>0</v>
      </c>
    </row>
    <row r="218" spans="1:72">
      <c r="A218" s="2833"/>
      <c r="B218" s="2834"/>
      <c r="C218" s="2834"/>
      <c r="D218" s="2835"/>
      <c r="E218" s="2836">
        <f t="shared" si="123"/>
        <v>0</v>
      </c>
      <c r="F218" s="2837"/>
      <c r="G218" s="2838">
        <f t="shared" si="124"/>
        <v>0</v>
      </c>
      <c r="H218" s="2839">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6">
        <f t="shared" si="126"/>
        <v>0</v>
      </c>
      <c r="AD218" s="2856"/>
      <c r="AE218" s="2856"/>
      <c r="AF218" s="2856"/>
      <c r="AG218" s="2856"/>
      <c r="AH218" s="2856"/>
      <c r="AI218" s="2856"/>
      <c r="AJ218" s="2856"/>
      <c r="AK218" s="2856"/>
      <c r="AL218" s="2856"/>
      <c r="AM218" s="2856"/>
      <c r="AN218" s="2856"/>
      <c r="AO218" s="2856"/>
      <c r="AP218" s="2856"/>
      <c r="AQ218" s="2856"/>
      <c r="AR218" s="2856"/>
      <c r="AS218" s="2856"/>
      <c r="AT218" s="2866"/>
      <c r="AU218" s="2867"/>
      <c r="AV218" s="1182">
        <f t="shared" si="127"/>
        <v>0</v>
      </c>
      <c r="AW218" s="1182">
        <f t="shared" si="128"/>
        <v>0</v>
      </c>
      <c r="AX218" s="1182">
        <f t="shared" si="129"/>
        <v>0</v>
      </c>
      <c r="AY218" s="2881">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8">
        <f t="shared" si="151"/>
        <v>0</v>
      </c>
    </row>
    <row r="219" spans="1:72">
      <c r="A219" s="2833"/>
      <c r="B219" s="2834"/>
      <c r="C219" s="2834"/>
      <c r="D219" s="2835"/>
      <c r="E219" s="2836">
        <f t="shared" si="123"/>
        <v>0</v>
      </c>
      <c r="F219" s="2837"/>
      <c r="G219" s="2838">
        <f t="shared" si="124"/>
        <v>0</v>
      </c>
      <c r="H219" s="2839">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6">
        <f t="shared" si="126"/>
        <v>0</v>
      </c>
      <c r="AD219" s="2856"/>
      <c r="AE219" s="2856"/>
      <c r="AF219" s="2856"/>
      <c r="AG219" s="2856"/>
      <c r="AH219" s="2856"/>
      <c r="AI219" s="2856"/>
      <c r="AJ219" s="2856"/>
      <c r="AK219" s="2856"/>
      <c r="AL219" s="2856"/>
      <c r="AM219" s="2856"/>
      <c r="AN219" s="2856"/>
      <c r="AO219" s="2856"/>
      <c r="AP219" s="2856"/>
      <c r="AQ219" s="2856"/>
      <c r="AR219" s="2856"/>
      <c r="AS219" s="2856"/>
      <c r="AT219" s="2866"/>
      <c r="AU219" s="2867"/>
      <c r="AV219" s="1182">
        <f t="shared" si="127"/>
        <v>0</v>
      </c>
      <c r="AW219" s="1182">
        <f t="shared" si="128"/>
        <v>0</v>
      </c>
      <c r="AX219" s="1182">
        <f t="shared" si="129"/>
        <v>0</v>
      </c>
      <c r="AY219" s="2881">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8">
        <f t="shared" si="151"/>
        <v>0</v>
      </c>
    </row>
    <row r="220" spans="1:72">
      <c r="A220" s="2833"/>
      <c r="B220" s="2834"/>
      <c r="C220" s="2834"/>
      <c r="D220" s="2835"/>
      <c r="E220" s="2836">
        <f t="shared" si="123"/>
        <v>0</v>
      </c>
      <c r="F220" s="2837"/>
      <c r="G220" s="2838">
        <f t="shared" si="124"/>
        <v>0</v>
      </c>
      <c r="H220" s="2839">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6">
        <f t="shared" si="126"/>
        <v>0</v>
      </c>
      <c r="AD220" s="2856"/>
      <c r="AE220" s="2856"/>
      <c r="AF220" s="2856"/>
      <c r="AG220" s="2856"/>
      <c r="AH220" s="2856"/>
      <c r="AI220" s="2856"/>
      <c r="AJ220" s="2856"/>
      <c r="AK220" s="2856"/>
      <c r="AL220" s="2856"/>
      <c r="AM220" s="2856"/>
      <c r="AN220" s="2856"/>
      <c r="AO220" s="2856"/>
      <c r="AP220" s="2856"/>
      <c r="AQ220" s="2856"/>
      <c r="AR220" s="2856"/>
      <c r="AS220" s="2856"/>
      <c r="AT220" s="2866"/>
      <c r="AU220" s="2867"/>
      <c r="AV220" s="1182">
        <f t="shared" si="127"/>
        <v>0</v>
      </c>
      <c r="AW220" s="1182">
        <f t="shared" si="128"/>
        <v>0</v>
      </c>
      <c r="AX220" s="1182">
        <f t="shared" si="129"/>
        <v>0</v>
      </c>
      <c r="AY220" s="2881">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8">
        <f t="shared" si="151"/>
        <v>0</v>
      </c>
    </row>
    <row r="221" spans="1:72">
      <c r="A221" s="2833"/>
      <c r="B221" s="2834"/>
      <c r="C221" s="2834"/>
      <c r="D221" s="2835"/>
      <c r="E221" s="2836">
        <f t="shared" si="123"/>
        <v>0</v>
      </c>
      <c r="F221" s="2837"/>
      <c r="G221" s="2838">
        <f t="shared" si="124"/>
        <v>0</v>
      </c>
      <c r="H221" s="2839">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6">
        <f t="shared" si="126"/>
        <v>0</v>
      </c>
      <c r="AD221" s="2856"/>
      <c r="AE221" s="2856"/>
      <c r="AF221" s="2856"/>
      <c r="AG221" s="2856"/>
      <c r="AH221" s="2856"/>
      <c r="AI221" s="2856"/>
      <c r="AJ221" s="2856"/>
      <c r="AK221" s="2856"/>
      <c r="AL221" s="2856"/>
      <c r="AM221" s="2856"/>
      <c r="AN221" s="2856"/>
      <c r="AO221" s="2856"/>
      <c r="AP221" s="2856"/>
      <c r="AQ221" s="2856"/>
      <c r="AR221" s="2856"/>
      <c r="AS221" s="2856"/>
      <c r="AT221" s="2866"/>
      <c r="AU221" s="2867"/>
      <c r="AV221" s="1182">
        <f t="shared" si="127"/>
        <v>0</v>
      </c>
      <c r="AW221" s="1182">
        <f t="shared" si="128"/>
        <v>0</v>
      </c>
      <c r="AX221" s="1182">
        <f t="shared" si="129"/>
        <v>0</v>
      </c>
      <c r="AY221" s="2881">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8">
        <f t="shared" si="151"/>
        <v>0</v>
      </c>
    </row>
    <row r="222" spans="1:72">
      <c r="A222" s="2833"/>
      <c r="B222" s="2834"/>
      <c r="C222" s="2834"/>
      <c r="D222" s="2835"/>
      <c r="E222" s="2836">
        <f t="shared" si="123"/>
        <v>0</v>
      </c>
      <c r="F222" s="2837"/>
      <c r="G222" s="2838">
        <f t="shared" si="124"/>
        <v>0</v>
      </c>
      <c r="H222" s="2839">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6">
        <f t="shared" si="126"/>
        <v>0</v>
      </c>
      <c r="AD222" s="2856"/>
      <c r="AE222" s="2856"/>
      <c r="AF222" s="2856"/>
      <c r="AG222" s="2856"/>
      <c r="AH222" s="2856"/>
      <c r="AI222" s="2856"/>
      <c r="AJ222" s="2856"/>
      <c r="AK222" s="2856"/>
      <c r="AL222" s="2856"/>
      <c r="AM222" s="2856"/>
      <c r="AN222" s="2856"/>
      <c r="AO222" s="2856"/>
      <c r="AP222" s="2856"/>
      <c r="AQ222" s="2856"/>
      <c r="AR222" s="2856"/>
      <c r="AS222" s="2856"/>
      <c r="AT222" s="2866"/>
      <c r="AU222" s="2867"/>
      <c r="AV222" s="1182">
        <f t="shared" si="127"/>
        <v>0</v>
      </c>
      <c r="AW222" s="1182">
        <f t="shared" si="128"/>
        <v>0</v>
      </c>
      <c r="AX222" s="1182">
        <f t="shared" si="129"/>
        <v>0</v>
      </c>
      <c r="AY222" s="2881">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8">
        <f t="shared" si="151"/>
        <v>0</v>
      </c>
    </row>
    <row r="223" spans="1:72">
      <c r="A223" s="2833"/>
      <c r="B223" s="2834"/>
      <c r="C223" s="2834"/>
      <c r="D223" s="2835"/>
      <c r="E223" s="2836">
        <f t="shared" si="123"/>
        <v>0</v>
      </c>
      <c r="F223" s="2837"/>
      <c r="G223" s="2838">
        <f t="shared" si="124"/>
        <v>0</v>
      </c>
      <c r="H223" s="2839">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6">
        <f t="shared" si="126"/>
        <v>0</v>
      </c>
      <c r="AD223" s="2856"/>
      <c r="AE223" s="2856"/>
      <c r="AF223" s="2856"/>
      <c r="AG223" s="2856"/>
      <c r="AH223" s="2856"/>
      <c r="AI223" s="2856"/>
      <c r="AJ223" s="2856"/>
      <c r="AK223" s="2856"/>
      <c r="AL223" s="2856"/>
      <c r="AM223" s="2856"/>
      <c r="AN223" s="2856"/>
      <c r="AO223" s="2856"/>
      <c r="AP223" s="2856"/>
      <c r="AQ223" s="2856"/>
      <c r="AR223" s="2856"/>
      <c r="AS223" s="2856"/>
      <c r="AT223" s="2866"/>
      <c r="AU223" s="2867"/>
      <c r="AV223" s="1182">
        <f t="shared" si="127"/>
        <v>0</v>
      </c>
      <c r="AW223" s="1182">
        <f t="shared" si="128"/>
        <v>0</v>
      </c>
      <c r="AX223" s="1182">
        <f t="shared" si="129"/>
        <v>0</v>
      </c>
      <c r="AY223" s="2881">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8">
        <f t="shared" si="151"/>
        <v>0</v>
      </c>
    </row>
    <row r="224" spans="1:72">
      <c r="A224" s="2833"/>
      <c r="B224" s="2834"/>
      <c r="C224" s="2834"/>
      <c r="D224" s="2835"/>
      <c r="E224" s="2836">
        <f t="shared" si="123"/>
        <v>0</v>
      </c>
      <c r="F224" s="2837"/>
      <c r="G224" s="2838">
        <f t="shared" si="124"/>
        <v>0</v>
      </c>
      <c r="H224" s="2839">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6">
        <f t="shared" si="126"/>
        <v>0</v>
      </c>
      <c r="AD224" s="2856"/>
      <c r="AE224" s="2856"/>
      <c r="AF224" s="2856"/>
      <c r="AG224" s="2856"/>
      <c r="AH224" s="2856"/>
      <c r="AI224" s="2856"/>
      <c r="AJ224" s="2856"/>
      <c r="AK224" s="2856"/>
      <c r="AL224" s="2856"/>
      <c r="AM224" s="2856"/>
      <c r="AN224" s="2856"/>
      <c r="AO224" s="2856"/>
      <c r="AP224" s="2856"/>
      <c r="AQ224" s="2856"/>
      <c r="AR224" s="2856"/>
      <c r="AS224" s="2856"/>
      <c r="AT224" s="2866"/>
      <c r="AU224" s="2867"/>
      <c r="AV224" s="1182">
        <f t="shared" si="127"/>
        <v>0</v>
      </c>
      <c r="AW224" s="1182">
        <f t="shared" si="128"/>
        <v>0</v>
      </c>
      <c r="AX224" s="1182">
        <f t="shared" si="129"/>
        <v>0</v>
      </c>
      <c r="AY224" s="2881">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8">
        <f t="shared" si="151"/>
        <v>0</v>
      </c>
    </row>
    <row r="225" spans="1:72">
      <c r="A225" s="2833"/>
      <c r="B225" s="2834"/>
      <c r="C225" s="2834"/>
      <c r="D225" s="2835"/>
      <c r="E225" s="2836">
        <f t="shared" si="123"/>
        <v>0</v>
      </c>
      <c r="F225" s="2837"/>
      <c r="G225" s="2838">
        <f t="shared" si="124"/>
        <v>0</v>
      </c>
      <c r="H225" s="2839">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6">
        <f t="shared" si="126"/>
        <v>0</v>
      </c>
      <c r="AD225" s="2856"/>
      <c r="AE225" s="2856"/>
      <c r="AF225" s="2856"/>
      <c r="AG225" s="2856"/>
      <c r="AH225" s="2856"/>
      <c r="AI225" s="2856"/>
      <c r="AJ225" s="2856"/>
      <c r="AK225" s="2856"/>
      <c r="AL225" s="2856"/>
      <c r="AM225" s="2856"/>
      <c r="AN225" s="2856"/>
      <c r="AO225" s="2856"/>
      <c r="AP225" s="2856"/>
      <c r="AQ225" s="2856"/>
      <c r="AR225" s="2856"/>
      <c r="AS225" s="2856"/>
      <c r="AT225" s="2866"/>
      <c r="AU225" s="2867"/>
      <c r="AV225" s="1182">
        <f t="shared" si="127"/>
        <v>0</v>
      </c>
      <c r="AW225" s="1182">
        <f t="shared" si="128"/>
        <v>0</v>
      </c>
      <c r="AX225" s="1182">
        <f t="shared" si="129"/>
        <v>0</v>
      </c>
      <c r="AY225" s="2881">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8">
        <f t="shared" si="151"/>
        <v>0</v>
      </c>
    </row>
    <row r="226" spans="1:72">
      <c r="A226" s="2833"/>
      <c r="B226" s="2834"/>
      <c r="C226" s="2834"/>
      <c r="D226" s="2835"/>
      <c r="E226" s="2836">
        <f t="shared" si="123"/>
        <v>0</v>
      </c>
      <c r="F226" s="2837"/>
      <c r="G226" s="2838">
        <f t="shared" si="124"/>
        <v>0</v>
      </c>
      <c r="H226" s="2839">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6">
        <f t="shared" si="126"/>
        <v>0</v>
      </c>
      <c r="AD226" s="2856"/>
      <c r="AE226" s="2856"/>
      <c r="AF226" s="2856"/>
      <c r="AG226" s="2856"/>
      <c r="AH226" s="2856"/>
      <c r="AI226" s="2856"/>
      <c r="AJ226" s="2856"/>
      <c r="AK226" s="2856"/>
      <c r="AL226" s="2856"/>
      <c r="AM226" s="2856"/>
      <c r="AN226" s="2856"/>
      <c r="AO226" s="2856"/>
      <c r="AP226" s="2856"/>
      <c r="AQ226" s="2856"/>
      <c r="AR226" s="2856"/>
      <c r="AS226" s="2856"/>
      <c r="AT226" s="2866"/>
      <c r="AU226" s="2867"/>
      <c r="AV226" s="1182">
        <f t="shared" si="127"/>
        <v>0</v>
      </c>
      <c r="AW226" s="1182">
        <f t="shared" si="128"/>
        <v>0</v>
      </c>
      <c r="AX226" s="1182">
        <f t="shared" si="129"/>
        <v>0</v>
      </c>
      <c r="AY226" s="2881">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8">
        <f t="shared" si="151"/>
        <v>0</v>
      </c>
    </row>
    <row r="227" spans="1:72">
      <c r="A227" s="2833"/>
      <c r="B227" s="2834"/>
      <c r="C227" s="2834"/>
      <c r="D227" s="2835"/>
      <c r="E227" s="2836">
        <f t="shared" si="123"/>
        <v>0</v>
      </c>
      <c r="F227" s="2837"/>
      <c r="G227" s="2838">
        <f t="shared" si="124"/>
        <v>0</v>
      </c>
      <c r="H227" s="2839">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6">
        <f t="shared" si="126"/>
        <v>0</v>
      </c>
      <c r="AD227" s="2856"/>
      <c r="AE227" s="2856"/>
      <c r="AF227" s="2856"/>
      <c r="AG227" s="2856"/>
      <c r="AH227" s="2856"/>
      <c r="AI227" s="2856"/>
      <c r="AJ227" s="2856"/>
      <c r="AK227" s="2856"/>
      <c r="AL227" s="2856"/>
      <c r="AM227" s="2856"/>
      <c r="AN227" s="2856"/>
      <c r="AO227" s="2856"/>
      <c r="AP227" s="2856"/>
      <c r="AQ227" s="2856"/>
      <c r="AR227" s="2856"/>
      <c r="AS227" s="2856"/>
      <c r="AT227" s="2866"/>
      <c r="AU227" s="2867"/>
      <c r="AV227" s="1182">
        <f t="shared" si="127"/>
        <v>0</v>
      </c>
      <c r="AW227" s="1182">
        <f t="shared" si="128"/>
        <v>0</v>
      </c>
      <c r="AX227" s="1182">
        <f t="shared" si="129"/>
        <v>0</v>
      </c>
      <c r="AY227" s="2881">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8">
        <f t="shared" si="151"/>
        <v>0</v>
      </c>
    </row>
    <row r="228" spans="1:72">
      <c r="A228" s="2833"/>
      <c r="B228" s="2834"/>
      <c r="C228" s="2834"/>
      <c r="D228" s="2835"/>
      <c r="E228" s="2836">
        <f t="shared" si="123"/>
        <v>0</v>
      </c>
      <c r="F228" s="2837"/>
      <c r="G228" s="2838">
        <f t="shared" si="124"/>
        <v>0</v>
      </c>
      <c r="H228" s="2839">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6">
        <f t="shared" si="126"/>
        <v>0</v>
      </c>
      <c r="AD228" s="2856"/>
      <c r="AE228" s="2856"/>
      <c r="AF228" s="2856"/>
      <c r="AG228" s="2856"/>
      <c r="AH228" s="2856"/>
      <c r="AI228" s="2856"/>
      <c r="AJ228" s="2856"/>
      <c r="AK228" s="2856"/>
      <c r="AL228" s="2856"/>
      <c r="AM228" s="2856"/>
      <c r="AN228" s="2856"/>
      <c r="AO228" s="2856"/>
      <c r="AP228" s="2856"/>
      <c r="AQ228" s="2856"/>
      <c r="AR228" s="2856"/>
      <c r="AS228" s="2856"/>
      <c r="AT228" s="2866"/>
      <c r="AU228" s="2867"/>
      <c r="AV228" s="1182">
        <f t="shared" si="127"/>
        <v>0</v>
      </c>
      <c r="AW228" s="1182">
        <f t="shared" si="128"/>
        <v>0</v>
      </c>
      <c r="AX228" s="1182">
        <f t="shared" si="129"/>
        <v>0</v>
      </c>
      <c r="AY228" s="2881">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8">
        <f t="shared" si="151"/>
        <v>0</v>
      </c>
    </row>
    <row r="229" spans="1:72">
      <c r="A229" s="2833"/>
      <c r="B229" s="2834"/>
      <c r="C229" s="2834"/>
      <c r="D229" s="2835"/>
      <c r="E229" s="2836">
        <f t="shared" si="123"/>
        <v>0</v>
      </c>
      <c r="F229" s="2837"/>
      <c r="G229" s="2838">
        <f t="shared" si="124"/>
        <v>0</v>
      </c>
      <c r="H229" s="2839">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6">
        <f t="shared" si="126"/>
        <v>0</v>
      </c>
      <c r="AD229" s="2856"/>
      <c r="AE229" s="2856"/>
      <c r="AF229" s="2856"/>
      <c r="AG229" s="2856"/>
      <c r="AH229" s="2856"/>
      <c r="AI229" s="2856"/>
      <c r="AJ229" s="2856"/>
      <c r="AK229" s="2856"/>
      <c r="AL229" s="2856"/>
      <c r="AM229" s="2856"/>
      <c r="AN229" s="2856"/>
      <c r="AO229" s="2856"/>
      <c r="AP229" s="2856"/>
      <c r="AQ229" s="2856"/>
      <c r="AR229" s="2856"/>
      <c r="AS229" s="2856"/>
      <c r="AT229" s="2866"/>
      <c r="AU229" s="2867"/>
      <c r="AV229" s="1182">
        <f t="shared" si="127"/>
        <v>0</v>
      </c>
      <c r="AW229" s="1182">
        <f t="shared" si="128"/>
        <v>0</v>
      </c>
      <c r="AX229" s="1182">
        <f t="shared" si="129"/>
        <v>0</v>
      </c>
      <c r="AY229" s="2881">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8">
        <f t="shared" si="151"/>
        <v>0</v>
      </c>
    </row>
    <row r="230" spans="1:72">
      <c r="A230" s="2833"/>
      <c r="B230" s="2834"/>
      <c r="C230" s="2834"/>
      <c r="D230" s="2835"/>
      <c r="E230" s="2836">
        <f t="shared" si="123"/>
        <v>0</v>
      </c>
      <c r="F230" s="2837"/>
      <c r="G230" s="2838">
        <f t="shared" si="124"/>
        <v>0</v>
      </c>
      <c r="H230" s="2839">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6">
        <f t="shared" si="126"/>
        <v>0</v>
      </c>
      <c r="AD230" s="2856"/>
      <c r="AE230" s="2856"/>
      <c r="AF230" s="2856"/>
      <c r="AG230" s="2856"/>
      <c r="AH230" s="2856"/>
      <c r="AI230" s="2856"/>
      <c r="AJ230" s="2856"/>
      <c r="AK230" s="2856"/>
      <c r="AL230" s="2856"/>
      <c r="AM230" s="2856"/>
      <c r="AN230" s="2856"/>
      <c r="AO230" s="2856"/>
      <c r="AP230" s="2856"/>
      <c r="AQ230" s="2856"/>
      <c r="AR230" s="2856"/>
      <c r="AS230" s="2856"/>
      <c r="AT230" s="2866"/>
      <c r="AU230" s="2867"/>
      <c r="AV230" s="1182">
        <f t="shared" si="127"/>
        <v>0</v>
      </c>
      <c r="AW230" s="1182">
        <f t="shared" si="128"/>
        <v>0</v>
      </c>
      <c r="AX230" s="1182">
        <f t="shared" si="129"/>
        <v>0</v>
      </c>
      <c r="AY230" s="2881">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8">
        <f t="shared" si="151"/>
        <v>0</v>
      </c>
    </row>
    <row r="231" spans="1:72">
      <c r="A231" s="2833"/>
      <c r="B231" s="2834"/>
      <c r="C231" s="2834"/>
      <c r="D231" s="2835"/>
      <c r="E231" s="2836">
        <f t="shared" si="123"/>
        <v>0</v>
      </c>
      <c r="F231" s="2837"/>
      <c r="G231" s="2838">
        <f t="shared" si="124"/>
        <v>0</v>
      </c>
      <c r="H231" s="2839">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6">
        <f t="shared" si="126"/>
        <v>0</v>
      </c>
      <c r="AD231" s="2856"/>
      <c r="AE231" s="2856"/>
      <c r="AF231" s="2856"/>
      <c r="AG231" s="2856"/>
      <c r="AH231" s="2856"/>
      <c r="AI231" s="2856"/>
      <c r="AJ231" s="2856"/>
      <c r="AK231" s="2856"/>
      <c r="AL231" s="2856"/>
      <c r="AM231" s="2856"/>
      <c r="AN231" s="2856"/>
      <c r="AO231" s="2856"/>
      <c r="AP231" s="2856"/>
      <c r="AQ231" s="2856"/>
      <c r="AR231" s="2856"/>
      <c r="AS231" s="2856"/>
      <c r="AT231" s="2866"/>
      <c r="AU231" s="2867"/>
      <c r="AV231" s="1182">
        <f t="shared" si="127"/>
        <v>0</v>
      </c>
      <c r="AW231" s="1182">
        <f t="shared" si="128"/>
        <v>0</v>
      </c>
      <c r="AX231" s="1182">
        <f t="shared" si="129"/>
        <v>0</v>
      </c>
      <c r="AY231" s="2881">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8">
        <f t="shared" si="151"/>
        <v>0</v>
      </c>
    </row>
    <row r="232" spans="1:72">
      <c r="A232" s="2833"/>
      <c r="B232" s="2834"/>
      <c r="C232" s="2834"/>
      <c r="D232" s="2835"/>
      <c r="E232" s="2836">
        <f t="shared" si="123"/>
        <v>0</v>
      </c>
      <c r="F232" s="2837"/>
      <c r="G232" s="2838">
        <f t="shared" si="124"/>
        <v>0</v>
      </c>
      <c r="H232" s="2839">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6">
        <f t="shared" si="126"/>
        <v>0</v>
      </c>
      <c r="AD232" s="2856"/>
      <c r="AE232" s="2856"/>
      <c r="AF232" s="2856"/>
      <c r="AG232" s="2856"/>
      <c r="AH232" s="2856"/>
      <c r="AI232" s="2856"/>
      <c r="AJ232" s="2856"/>
      <c r="AK232" s="2856"/>
      <c r="AL232" s="2856"/>
      <c r="AM232" s="2856"/>
      <c r="AN232" s="2856"/>
      <c r="AO232" s="2856"/>
      <c r="AP232" s="2856"/>
      <c r="AQ232" s="2856"/>
      <c r="AR232" s="2856"/>
      <c r="AS232" s="2856"/>
      <c r="AT232" s="2866"/>
      <c r="AU232" s="2867"/>
      <c r="AV232" s="1182">
        <f t="shared" si="127"/>
        <v>0</v>
      </c>
      <c r="AW232" s="1182">
        <f t="shared" si="128"/>
        <v>0</v>
      </c>
      <c r="AX232" s="1182">
        <f t="shared" si="129"/>
        <v>0</v>
      </c>
      <c r="AY232" s="2881">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8">
        <f t="shared" si="151"/>
        <v>0</v>
      </c>
    </row>
    <row r="233" spans="1:72">
      <c r="A233" s="2833"/>
      <c r="B233" s="2834"/>
      <c r="C233" s="2834"/>
      <c r="D233" s="2835"/>
      <c r="E233" s="2836">
        <f t="shared" si="123"/>
        <v>0</v>
      </c>
      <c r="F233" s="2837"/>
      <c r="G233" s="2838">
        <f t="shared" si="124"/>
        <v>0</v>
      </c>
      <c r="H233" s="2839">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6">
        <f t="shared" si="126"/>
        <v>0</v>
      </c>
      <c r="AD233" s="2856"/>
      <c r="AE233" s="2856"/>
      <c r="AF233" s="2856"/>
      <c r="AG233" s="2856"/>
      <c r="AH233" s="2856"/>
      <c r="AI233" s="2856"/>
      <c r="AJ233" s="2856"/>
      <c r="AK233" s="2856"/>
      <c r="AL233" s="2856"/>
      <c r="AM233" s="2856"/>
      <c r="AN233" s="2856"/>
      <c r="AO233" s="2856"/>
      <c r="AP233" s="2856"/>
      <c r="AQ233" s="2856"/>
      <c r="AR233" s="2856"/>
      <c r="AS233" s="2856"/>
      <c r="AT233" s="2866"/>
      <c r="AU233" s="2867"/>
      <c r="AV233" s="1182">
        <f t="shared" si="127"/>
        <v>0</v>
      </c>
      <c r="AW233" s="1182">
        <f t="shared" si="128"/>
        <v>0</v>
      </c>
      <c r="AX233" s="1182">
        <f t="shared" si="129"/>
        <v>0</v>
      </c>
      <c r="AY233" s="2881">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8">
        <f t="shared" si="151"/>
        <v>0</v>
      </c>
    </row>
    <row r="234" spans="1:72">
      <c r="A234" s="2833"/>
      <c r="B234" s="2834"/>
      <c r="C234" s="2834"/>
      <c r="D234" s="2835"/>
      <c r="E234" s="2836">
        <f t="shared" si="123"/>
        <v>0</v>
      </c>
      <c r="F234" s="2837"/>
      <c r="G234" s="2838">
        <f t="shared" si="124"/>
        <v>0</v>
      </c>
      <c r="H234" s="2839">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6">
        <f t="shared" si="126"/>
        <v>0</v>
      </c>
      <c r="AD234" s="2856"/>
      <c r="AE234" s="2856"/>
      <c r="AF234" s="2856"/>
      <c r="AG234" s="2856"/>
      <c r="AH234" s="2856"/>
      <c r="AI234" s="2856"/>
      <c r="AJ234" s="2856"/>
      <c r="AK234" s="2856"/>
      <c r="AL234" s="2856"/>
      <c r="AM234" s="2856"/>
      <c r="AN234" s="2856"/>
      <c r="AO234" s="2856"/>
      <c r="AP234" s="2856"/>
      <c r="AQ234" s="2856"/>
      <c r="AR234" s="2856"/>
      <c r="AS234" s="2856"/>
      <c r="AT234" s="2866"/>
      <c r="AU234" s="2867"/>
      <c r="AV234" s="1182">
        <f t="shared" si="127"/>
        <v>0</v>
      </c>
      <c r="AW234" s="1182">
        <f t="shared" si="128"/>
        <v>0</v>
      </c>
      <c r="AX234" s="1182">
        <f t="shared" si="129"/>
        <v>0</v>
      </c>
      <c r="AY234" s="2881">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8">
        <f t="shared" si="151"/>
        <v>0</v>
      </c>
    </row>
    <row r="235" spans="1:72">
      <c r="A235" s="2833"/>
      <c r="B235" s="2834"/>
      <c r="C235" s="2834"/>
      <c r="D235" s="2835"/>
      <c r="E235" s="2836">
        <f t="shared" si="123"/>
        <v>0</v>
      </c>
      <c r="F235" s="2837"/>
      <c r="G235" s="2838">
        <f t="shared" si="124"/>
        <v>0</v>
      </c>
      <c r="H235" s="2839">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6">
        <f t="shared" si="126"/>
        <v>0</v>
      </c>
      <c r="AD235" s="2856"/>
      <c r="AE235" s="2856"/>
      <c r="AF235" s="2856"/>
      <c r="AG235" s="2856"/>
      <c r="AH235" s="2856"/>
      <c r="AI235" s="2856"/>
      <c r="AJ235" s="2856"/>
      <c r="AK235" s="2856"/>
      <c r="AL235" s="2856"/>
      <c r="AM235" s="2856"/>
      <c r="AN235" s="2856"/>
      <c r="AO235" s="2856"/>
      <c r="AP235" s="2856"/>
      <c r="AQ235" s="2856"/>
      <c r="AR235" s="2856"/>
      <c r="AS235" s="2856"/>
      <c r="AT235" s="2866"/>
      <c r="AU235" s="2867"/>
      <c r="AV235" s="1182">
        <f t="shared" si="127"/>
        <v>0</v>
      </c>
      <c r="AW235" s="1182">
        <f t="shared" si="128"/>
        <v>0</v>
      </c>
      <c r="AX235" s="1182">
        <f t="shared" si="129"/>
        <v>0</v>
      </c>
      <c r="AY235" s="2881">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8">
        <f t="shared" si="151"/>
        <v>0</v>
      </c>
    </row>
    <row r="236" spans="1:72">
      <c r="A236" s="2833"/>
      <c r="B236" s="2834"/>
      <c r="C236" s="2834"/>
      <c r="D236" s="2835"/>
      <c r="E236" s="2836">
        <f t="shared" si="123"/>
        <v>0</v>
      </c>
      <c r="F236" s="2837"/>
      <c r="G236" s="2838">
        <f t="shared" si="124"/>
        <v>0</v>
      </c>
      <c r="H236" s="2839">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6">
        <f t="shared" si="126"/>
        <v>0</v>
      </c>
      <c r="AD236" s="2856"/>
      <c r="AE236" s="2856"/>
      <c r="AF236" s="2856"/>
      <c r="AG236" s="2856"/>
      <c r="AH236" s="2856"/>
      <c r="AI236" s="2856"/>
      <c r="AJ236" s="2856"/>
      <c r="AK236" s="2856"/>
      <c r="AL236" s="2856"/>
      <c r="AM236" s="2856"/>
      <c r="AN236" s="2856"/>
      <c r="AO236" s="2856"/>
      <c r="AP236" s="2856"/>
      <c r="AQ236" s="2856"/>
      <c r="AR236" s="2856"/>
      <c r="AS236" s="2856"/>
      <c r="AT236" s="2866"/>
      <c r="AU236" s="2867"/>
      <c r="AV236" s="1182">
        <f t="shared" si="127"/>
        <v>0</v>
      </c>
      <c r="AW236" s="1182">
        <f t="shared" si="128"/>
        <v>0</v>
      </c>
      <c r="AX236" s="1182">
        <f t="shared" si="129"/>
        <v>0</v>
      </c>
      <c r="AY236" s="2881">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8">
        <f t="shared" si="151"/>
        <v>0</v>
      </c>
    </row>
    <row r="237" spans="1:72">
      <c r="A237" s="2833"/>
      <c r="B237" s="2834"/>
      <c r="C237" s="2834"/>
      <c r="D237" s="2835"/>
      <c r="E237" s="2836">
        <f t="shared" si="123"/>
        <v>0</v>
      </c>
      <c r="F237" s="2837"/>
      <c r="G237" s="2838">
        <f t="shared" si="124"/>
        <v>0</v>
      </c>
      <c r="H237" s="2839">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6">
        <f t="shared" si="126"/>
        <v>0</v>
      </c>
      <c r="AD237" s="2856"/>
      <c r="AE237" s="2856"/>
      <c r="AF237" s="2856"/>
      <c r="AG237" s="2856"/>
      <c r="AH237" s="2856"/>
      <c r="AI237" s="2856"/>
      <c r="AJ237" s="2856"/>
      <c r="AK237" s="2856"/>
      <c r="AL237" s="2856"/>
      <c r="AM237" s="2856"/>
      <c r="AN237" s="2856"/>
      <c r="AO237" s="2856"/>
      <c r="AP237" s="2856"/>
      <c r="AQ237" s="2856"/>
      <c r="AR237" s="2856"/>
      <c r="AS237" s="2856"/>
      <c r="AT237" s="2866"/>
      <c r="AU237" s="2867"/>
      <c r="AV237" s="1182">
        <f t="shared" si="127"/>
        <v>0</v>
      </c>
      <c r="AW237" s="1182">
        <f t="shared" si="128"/>
        <v>0</v>
      </c>
      <c r="AX237" s="1182">
        <f t="shared" si="129"/>
        <v>0</v>
      </c>
      <c r="AY237" s="2881">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8">
        <f t="shared" si="151"/>
        <v>0</v>
      </c>
    </row>
    <row r="238" spans="1:72">
      <c r="A238" s="2833"/>
      <c r="B238" s="2834"/>
      <c r="C238" s="2834"/>
      <c r="D238" s="2835"/>
      <c r="E238" s="2836">
        <f t="shared" si="123"/>
        <v>0</v>
      </c>
      <c r="F238" s="2837"/>
      <c r="G238" s="2838">
        <f t="shared" si="124"/>
        <v>0</v>
      </c>
      <c r="H238" s="2839">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6">
        <f t="shared" si="126"/>
        <v>0</v>
      </c>
      <c r="AD238" s="2856"/>
      <c r="AE238" s="2856"/>
      <c r="AF238" s="2856"/>
      <c r="AG238" s="2856"/>
      <c r="AH238" s="2856"/>
      <c r="AI238" s="2856"/>
      <c r="AJ238" s="2856"/>
      <c r="AK238" s="2856"/>
      <c r="AL238" s="2856"/>
      <c r="AM238" s="2856"/>
      <c r="AN238" s="2856"/>
      <c r="AO238" s="2856"/>
      <c r="AP238" s="2856"/>
      <c r="AQ238" s="2856"/>
      <c r="AR238" s="2856"/>
      <c r="AS238" s="2856"/>
      <c r="AT238" s="2866"/>
      <c r="AU238" s="2867"/>
      <c r="AV238" s="1182">
        <f t="shared" si="127"/>
        <v>0</v>
      </c>
      <c r="AW238" s="1182">
        <f t="shared" si="128"/>
        <v>0</v>
      </c>
      <c r="AX238" s="1182">
        <f t="shared" si="129"/>
        <v>0</v>
      </c>
      <c r="AY238" s="2881">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8">
        <f t="shared" si="151"/>
        <v>0</v>
      </c>
    </row>
    <row r="239" spans="1:72">
      <c r="A239" s="2833"/>
      <c r="B239" s="2834"/>
      <c r="C239" s="2834"/>
      <c r="D239" s="2835"/>
      <c r="E239" s="2836">
        <f t="shared" si="123"/>
        <v>0</v>
      </c>
      <c r="F239" s="2837"/>
      <c r="G239" s="2838">
        <f t="shared" si="124"/>
        <v>0</v>
      </c>
      <c r="H239" s="2839">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6">
        <f t="shared" si="126"/>
        <v>0</v>
      </c>
      <c r="AD239" s="2856"/>
      <c r="AE239" s="2856"/>
      <c r="AF239" s="2856"/>
      <c r="AG239" s="2856"/>
      <c r="AH239" s="2856"/>
      <c r="AI239" s="2856"/>
      <c r="AJ239" s="2856"/>
      <c r="AK239" s="2856"/>
      <c r="AL239" s="2856"/>
      <c r="AM239" s="2856"/>
      <c r="AN239" s="2856"/>
      <c r="AO239" s="2856"/>
      <c r="AP239" s="2856"/>
      <c r="AQ239" s="2856"/>
      <c r="AR239" s="2856"/>
      <c r="AS239" s="2856"/>
      <c r="AT239" s="2866"/>
      <c r="AU239" s="2867"/>
      <c r="AV239" s="1182">
        <f t="shared" si="127"/>
        <v>0</v>
      </c>
      <c r="AW239" s="1182">
        <f t="shared" si="128"/>
        <v>0</v>
      </c>
      <c r="AX239" s="1182">
        <f t="shared" si="129"/>
        <v>0</v>
      </c>
      <c r="AY239" s="2881">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8">
        <f t="shared" si="151"/>
        <v>0</v>
      </c>
    </row>
    <row r="240" spans="1:72">
      <c r="A240" s="2833"/>
      <c r="B240" s="2834"/>
      <c r="C240" s="2834"/>
      <c r="D240" s="2835"/>
      <c r="E240" s="2836">
        <f t="shared" si="123"/>
        <v>0</v>
      </c>
      <c r="F240" s="2837"/>
      <c r="G240" s="2838">
        <f t="shared" si="124"/>
        <v>0</v>
      </c>
      <c r="H240" s="2839">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6">
        <f t="shared" si="126"/>
        <v>0</v>
      </c>
      <c r="AD240" s="2856"/>
      <c r="AE240" s="2856"/>
      <c r="AF240" s="2856"/>
      <c r="AG240" s="2856"/>
      <c r="AH240" s="2856"/>
      <c r="AI240" s="2856"/>
      <c r="AJ240" s="2856"/>
      <c r="AK240" s="2856"/>
      <c r="AL240" s="2856"/>
      <c r="AM240" s="2856"/>
      <c r="AN240" s="2856"/>
      <c r="AO240" s="2856"/>
      <c r="AP240" s="2856"/>
      <c r="AQ240" s="2856"/>
      <c r="AR240" s="2856"/>
      <c r="AS240" s="2856"/>
      <c r="AT240" s="2866"/>
      <c r="AU240" s="2867"/>
      <c r="AV240" s="1182">
        <f t="shared" si="127"/>
        <v>0</v>
      </c>
      <c r="AW240" s="1182">
        <f t="shared" si="128"/>
        <v>0</v>
      </c>
      <c r="AX240" s="1182">
        <f t="shared" si="129"/>
        <v>0</v>
      </c>
      <c r="AY240" s="2881">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8">
        <f t="shared" si="151"/>
        <v>0</v>
      </c>
    </row>
    <row r="241" spans="1:72">
      <c r="A241" s="2833"/>
      <c r="B241" s="2834"/>
      <c r="C241" s="2834"/>
      <c r="D241" s="2835"/>
      <c r="E241" s="2836">
        <f t="shared" si="123"/>
        <v>0</v>
      </c>
      <c r="F241" s="2837"/>
      <c r="G241" s="2838">
        <f t="shared" si="124"/>
        <v>0</v>
      </c>
      <c r="H241" s="2839">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6">
        <f t="shared" si="126"/>
        <v>0</v>
      </c>
      <c r="AD241" s="2856"/>
      <c r="AE241" s="2856"/>
      <c r="AF241" s="2856"/>
      <c r="AG241" s="2856"/>
      <c r="AH241" s="2856"/>
      <c r="AI241" s="2856"/>
      <c r="AJ241" s="2856"/>
      <c r="AK241" s="2856"/>
      <c r="AL241" s="2856"/>
      <c r="AM241" s="2856"/>
      <c r="AN241" s="2856"/>
      <c r="AO241" s="2856"/>
      <c r="AP241" s="2856"/>
      <c r="AQ241" s="2856"/>
      <c r="AR241" s="2856"/>
      <c r="AS241" s="2856"/>
      <c r="AT241" s="2866"/>
      <c r="AU241" s="2867"/>
      <c r="AV241" s="1182">
        <f t="shared" si="127"/>
        <v>0</v>
      </c>
      <c r="AW241" s="1182">
        <f t="shared" si="128"/>
        <v>0</v>
      </c>
      <c r="AX241" s="1182">
        <f t="shared" si="129"/>
        <v>0</v>
      </c>
      <c r="AY241" s="2881">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8">
        <f t="shared" si="151"/>
        <v>0</v>
      </c>
    </row>
    <row r="242" spans="1:72">
      <c r="A242" s="2833"/>
      <c r="B242" s="2834"/>
      <c r="C242" s="2834"/>
      <c r="D242" s="2835"/>
      <c r="E242" s="2836">
        <f t="shared" si="123"/>
        <v>0</v>
      </c>
      <c r="F242" s="2837"/>
      <c r="G242" s="2838">
        <f t="shared" si="124"/>
        <v>0</v>
      </c>
      <c r="H242" s="2839">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6">
        <f t="shared" si="126"/>
        <v>0</v>
      </c>
      <c r="AD242" s="2856"/>
      <c r="AE242" s="2856"/>
      <c r="AF242" s="2856"/>
      <c r="AG242" s="2856"/>
      <c r="AH242" s="2856"/>
      <c r="AI242" s="2856"/>
      <c r="AJ242" s="2856"/>
      <c r="AK242" s="2856"/>
      <c r="AL242" s="2856"/>
      <c r="AM242" s="2856"/>
      <c r="AN242" s="2856"/>
      <c r="AO242" s="2856"/>
      <c r="AP242" s="2856"/>
      <c r="AQ242" s="2856"/>
      <c r="AR242" s="2856"/>
      <c r="AS242" s="2856"/>
      <c r="AT242" s="2866"/>
      <c r="AU242" s="2867"/>
      <c r="AV242" s="1182">
        <f t="shared" si="127"/>
        <v>0</v>
      </c>
      <c r="AW242" s="1182">
        <f t="shared" si="128"/>
        <v>0</v>
      </c>
      <c r="AX242" s="1182">
        <f t="shared" si="129"/>
        <v>0</v>
      </c>
      <c r="AY242" s="2881">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8">
        <f t="shared" si="151"/>
        <v>0</v>
      </c>
    </row>
    <row r="243" spans="1:72">
      <c r="A243" s="2833"/>
      <c r="B243" s="2834"/>
      <c r="C243" s="2834"/>
      <c r="D243" s="2835"/>
      <c r="E243" s="2836">
        <f t="shared" si="123"/>
        <v>0</v>
      </c>
      <c r="F243" s="2837"/>
      <c r="G243" s="2838">
        <f t="shared" si="124"/>
        <v>0</v>
      </c>
      <c r="H243" s="2839">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6">
        <f t="shared" si="126"/>
        <v>0</v>
      </c>
      <c r="AD243" s="2856"/>
      <c r="AE243" s="2856"/>
      <c r="AF243" s="2856"/>
      <c r="AG243" s="2856"/>
      <c r="AH243" s="2856"/>
      <c r="AI243" s="2856"/>
      <c r="AJ243" s="2856"/>
      <c r="AK243" s="2856"/>
      <c r="AL243" s="2856"/>
      <c r="AM243" s="2856"/>
      <c r="AN243" s="2856"/>
      <c r="AO243" s="2856"/>
      <c r="AP243" s="2856"/>
      <c r="AQ243" s="2856"/>
      <c r="AR243" s="2856"/>
      <c r="AS243" s="2856"/>
      <c r="AT243" s="2866"/>
      <c r="AU243" s="2867"/>
      <c r="AV243" s="1182">
        <f t="shared" si="127"/>
        <v>0</v>
      </c>
      <c r="AW243" s="1182">
        <f t="shared" si="128"/>
        <v>0</v>
      </c>
      <c r="AX243" s="1182">
        <f t="shared" si="129"/>
        <v>0</v>
      </c>
      <c r="AY243" s="2881">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8">
        <f t="shared" si="151"/>
        <v>0</v>
      </c>
    </row>
    <row r="244" spans="1:72">
      <c r="A244" s="2833"/>
      <c r="B244" s="2834"/>
      <c r="C244" s="2834"/>
      <c r="D244" s="2835"/>
      <c r="E244" s="2836">
        <f t="shared" si="123"/>
        <v>0</v>
      </c>
      <c r="F244" s="2837"/>
      <c r="G244" s="2838">
        <f t="shared" si="124"/>
        <v>0</v>
      </c>
      <c r="H244" s="2839">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6">
        <f t="shared" si="126"/>
        <v>0</v>
      </c>
      <c r="AD244" s="2856"/>
      <c r="AE244" s="2856"/>
      <c r="AF244" s="2856"/>
      <c r="AG244" s="2856"/>
      <c r="AH244" s="2856"/>
      <c r="AI244" s="2856"/>
      <c r="AJ244" s="2856"/>
      <c r="AK244" s="2856"/>
      <c r="AL244" s="2856"/>
      <c r="AM244" s="2856"/>
      <c r="AN244" s="2856"/>
      <c r="AO244" s="2856"/>
      <c r="AP244" s="2856"/>
      <c r="AQ244" s="2856"/>
      <c r="AR244" s="2856"/>
      <c r="AS244" s="2856"/>
      <c r="AT244" s="2866"/>
      <c r="AU244" s="2867"/>
      <c r="AV244" s="1182">
        <f t="shared" si="127"/>
        <v>0</v>
      </c>
      <c r="AW244" s="1182">
        <f t="shared" si="128"/>
        <v>0</v>
      </c>
      <c r="AX244" s="1182">
        <f t="shared" si="129"/>
        <v>0</v>
      </c>
      <c r="AY244" s="2881">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8">
        <f t="shared" si="151"/>
        <v>0</v>
      </c>
    </row>
    <row r="245" spans="1:72">
      <c r="A245" s="2833"/>
      <c r="B245" s="2834"/>
      <c r="C245" s="2834"/>
      <c r="D245" s="2835"/>
      <c r="E245" s="2836">
        <f t="shared" si="123"/>
        <v>0</v>
      </c>
      <c r="F245" s="2837"/>
      <c r="G245" s="2838">
        <f t="shared" si="124"/>
        <v>0</v>
      </c>
      <c r="H245" s="2839">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6">
        <f t="shared" si="126"/>
        <v>0</v>
      </c>
      <c r="AD245" s="2856"/>
      <c r="AE245" s="2856"/>
      <c r="AF245" s="2856"/>
      <c r="AG245" s="2856"/>
      <c r="AH245" s="2856"/>
      <c r="AI245" s="2856"/>
      <c r="AJ245" s="2856"/>
      <c r="AK245" s="2856"/>
      <c r="AL245" s="2856"/>
      <c r="AM245" s="2856"/>
      <c r="AN245" s="2856"/>
      <c r="AO245" s="2856"/>
      <c r="AP245" s="2856"/>
      <c r="AQ245" s="2856"/>
      <c r="AR245" s="2856"/>
      <c r="AS245" s="2856"/>
      <c r="AT245" s="2866"/>
      <c r="AU245" s="2867"/>
      <c r="AV245" s="1182">
        <f t="shared" si="127"/>
        <v>0</v>
      </c>
      <c r="AW245" s="1182">
        <f t="shared" si="128"/>
        <v>0</v>
      </c>
      <c r="AX245" s="1182">
        <f t="shared" si="129"/>
        <v>0</v>
      </c>
      <c r="AY245" s="2881">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8">
        <f t="shared" si="151"/>
        <v>0</v>
      </c>
    </row>
    <row r="246" spans="1:72">
      <c r="A246" s="2833"/>
      <c r="B246" s="2834"/>
      <c r="C246" s="2834"/>
      <c r="D246" s="2835"/>
      <c r="E246" s="2836">
        <f t="shared" si="123"/>
        <v>0</v>
      </c>
      <c r="F246" s="2837"/>
      <c r="G246" s="2838">
        <f t="shared" si="124"/>
        <v>0</v>
      </c>
      <c r="H246" s="2839">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6">
        <f t="shared" si="126"/>
        <v>0</v>
      </c>
      <c r="AD246" s="2856"/>
      <c r="AE246" s="2856"/>
      <c r="AF246" s="2856"/>
      <c r="AG246" s="2856"/>
      <c r="AH246" s="2856"/>
      <c r="AI246" s="2856"/>
      <c r="AJ246" s="2856"/>
      <c r="AK246" s="2856"/>
      <c r="AL246" s="2856"/>
      <c r="AM246" s="2856"/>
      <c r="AN246" s="2856"/>
      <c r="AO246" s="2856"/>
      <c r="AP246" s="2856"/>
      <c r="AQ246" s="2856"/>
      <c r="AR246" s="2856"/>
      <c r="AS246" s="2856"/>
      <c r="AT246" s="2866"/>
      <c r="AU246" s="2867"/>
      <c r="AV246" s="1182">
        <f t="shared" si="127"/>
        <v>0</v>
      </c>
      <c r="AW246" s="1182">
        <f t="shared" si="128"/>
        <v>0</v>
      </c>
      <c r="AX246" s="1182">
        <f t="shared" si="129"/>
        <v>0</v>
      </c>
      <c r="AY246" s="2881">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8">
        <f t="shared" si="151"/>
        <v>0</v>
      </c>
    </row>
    <row r="247" spans="1:72">
      <c r="A247" s="2833"/>
      <c r="B247" s="2834"/>
      <c r="C247" s="2834"/>
      <c r="D247" s="2835"/>
      <c r="E247" s="2836">
        <f t="shared" si="123"/>
        <v>0</v>
      </c>
      <c r="F247" s="2837"/>
      <c r="G247" s="2838">
        <f t="shared" si="124"/>
        <v>0</v>
      </c>
      <c r="H247" s="2839">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6">
        <f t="shared" si="126"/>
        <v>0</v>
      </c>
      <c r="AD247" s="2856"/>
      <c r="AE247" s="2856"/>
      <c r="AF247" s="2856"/>
      <c r="AG247" s="2856"/>
      <c r="AH247" s="2856"/>
      <c r="AI247" s="2856"/>
      <c r="AJ247" s="2856"/>
      <c r="AK247" s="2856"/>
      <c r="AL247" s="2856"/>
      <c r="AM247" s="2856"/>
      <c r="AN247" s="2856"/>
      <c r="AO247" s="2856"/>
      <c r="AP247" s="2856"/>
      <c r="AQ247" s="2856"/>
      <c r="AR247" s="2856"/>
      <c r="AS247" s="2856"/>
      <c r="AT247" s="2866"/>
      <c r="AU247" s="2867"/>
      <c r="AV247" s="1182">
        <f t="shared" si="127"/>
        <v>0</v>
      </c>
      <c r="AW247" s="1182">
        <f t="shared" si="128"/>
        <v>0</v>
      </c>
      <c r="AX247" s="1182">
        <f t="shared" si="129"/>
        <v>0</v>
      </c>
      <c r="AY247" s="2881">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8">
        <f t="shared" si="151"/>
        <v>0</v>
      </c>
    </row>
    <row r="248" spans="1:72">
      <c r="A248" s="2833"/>
      <c r="B248" s="2834"/>
      <c r="C248" s="2834"/>
      <c r="D248" s="2835"/>
      <c r="E248" s="2836">
        <f t="shared" si="123"/>
        <v>0</v>
      </c>
      <c r="F248" s="2837"/>
      <c r="G248" s="2838">
        <f t="shared" si="124"/>
        <v>0</v>
      </c>
      <c r="H248" s="2839">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6">
        <f t="shared" si="126"/>
        <v>0</v>
      </c>
      <c r="AD248" s="2856"/>
      <c r="AE248" s="2856"/>
      <c r="AF248" s="2856"/>
      <c r="AG248" s="2856"/>
      <c r="AH248" s="2856"/>
      <c r="AI248" s="2856"/>
      <c r="AJ248" s="2856"/>
      <c r="AK248" s="2856"/>
      <c r="AL248" s="2856"/>
      <c r="AM248" s="2856"/>
      <c r="AN248" s="2856"/>
      <c r="AO248" s="2856"/>
      <c r="AP248" s="2856"/>
      <c r="AQ248" s="2856"/>
      <c r="AR248" s="2856"/>
      <c r="AS248" s="2856"/>
      <c r="AT248" s="2866"/>
      <c r="AU248" s="2867"/>
      <c r="AV248" s="1182">
        <f t="shared" si="127"/>
        <v>0</v>
      </c>
      <c r="AW248" s="1182">
        <f t="shared" si="128"/>
        <v>0</v>
      </c>
      <c r="AX248" s="1182">
        <f t="shared" si="129"/>
        <v>0</v>
      </c>
      <c r="AY248" s="2881">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8">
        <f t="shared" si="151"/>
        <v>0</v>
      </c>
    </row>
    <row r="249" spans="1:72">
      <c r="A249" s="2833"/>
      <c r="B249" s="2834"/>
      <c r="C249" s="2834"/>
      <c r="D249" s="2835"/>
      <c r="E249" s="2836">
        <f t="shared" si="123"/>
        <v>0</v>
      </c>
      <c r="F249" s="2837"/>
      <c r="G249" s="2838">
        <f t="shared" si="124"/>
        <v>0</v>
      </c>
      <c r="H249" s="2839">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6">
        <f t="shared" si="126"/>
        <v>0</v>
      </c>
      <c r="AD249" s="2856"/>
      <c r="AE249" s="2856"/>
      <c r="AF249" s="2856"/>
      <c r="AG249" s="2856"/>
      <c r="AH249" s="2856"/>
      <c r="AI249" s="2856"/>
      <c r="AJ249" s="2856"/>
      <c r="AK249" s="2856"/>
      <c r="AL249" s="2856"/>
      <c r="AM249" s="2856"/>
      <c r="AN249" s="2856"/>
      <c r="AO249" s="2856"/>
      <c r="AP249" s="2856"/>
      <c r="AQ249" s="2856"/>
      <c r="AR249" s="2856"/>
      <c r="AS249" s="2856"/>
      <c r="AT249" s="2866"/>
      <c r="AU249" s="2867"/>
      <c r="AV249" s="1182">
        <f t="shared" si="127"/>
        <v>0</v>
      </c>
      <c r="AW249" s="1182">
        <f t="shared" si="128"/>
        <v>0</v>
      </c>
      <c r="AX249" s="1182">
        <f t="shared" si="129"/>
        <v>0</v>
      </c>
      <c r="AY249" s="2881">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8">
        <f t="shared" si="151"/>
        <v>0</v>
      </c>
    </row>
    <row r="250" spans="1:72">
      <c r="A250" s="2833"/>
      <c r="B250" s="2834"/>
      <c r="C250" s="2834"/>
      <c r="D250" s="2835"/>
      <c r="E250" s="2836">
        <f t="shared" si="123"/>
        <v>0</v>
      </c>
      <c r="F250" s="2837"/>
      <c r="G250" s="2838">
        <f t="shared" si="124"/>
        <v>0</v>
      </c>
      <c r="H250" s="2839">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6">
        <f t="shared" si="126"/>
        <v>0</v>
      </c>
      <c r="AD250" s="2856"/>
      <c r="AE250" s="2856"/>
      <c r="AF250" s="2856"/>
      <c r="AG250" s="2856"/>
      <c r="AH250" s="2856"/>
      <c r="AI250" s="2856"/>
      <c r="AJ250" s="2856"/>
      <c r="AK250" s="2856"/>
      <c r="AL250" s="2856"/>
      <c r="AM250" s="2856"/>
      <c r="AN250" s="2856"/>
      <c r="AO250" s="2856"/>
      <c r="AP250" s="2856"/>
      <c r="AQ250" s="2856"/>
      <c r="AR250" s="2856"/>
      <c r="AS250" s="2856"/>
      <c r="AT250" s="2866"/>
      <c r="AU250" s="2867"/>
      <c r="AV250" s="1182">
        <f t="shared" si="127"/>
        <v>0</v>
      </c>
      <c r="AW250" s="1182">
        <f t="shared" si="128"/>
        <v>0</v>
      </c>
      <c r="AX250" s="1182">
        <f t="shared" si="129"/>
        <v>0</v>
      </c>
      <c r="AY250" s="2881">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8">
        <f t="shared" si="151"/>
        <v>0</v>
      </c>
    </row>
    <row r="251" spans="1:72">
      <c r="A251" s="2833"/>
      <c r="B251" s="2834"/>
      <c r="C251" s="2834"/>
      <c r="D251" s="2835"/>
      <c r="E251" s="2836">
        <f t="shared" si="123"/>
        <v>0</v>
      </c>
      <c r="F251" s="2837"/>
      <c r="G251" s="2838">
        <f t="shared" si="124"/>
        <v>0</v>
      </c>
      <c r="H251" s="2839">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6">
        <f t="shared" si="126"/>
        <v>0</v>
      </c>
      <c r="AD251" s="2856"/>
      <c r="AE251" s="2856"/>
      <c r="AF251" s="2856"/>
      <c r="AG251" s="2856"/>
      <c r="AH251" s="2856"/>
      <c r="AI251" s="2856"/>
      <c r="AJ251" s="2856"/>
      <c r="AK251" s="2856"/>
      <c r="AL251" s="2856"/>
      <c r="AM251" s="2856"/>
      <c r="AN251" s="2856"/>
      <c r="AO251" s="2856"/>
      <c r="AP251" s="2856"/>
      <c r="AQ251" s="2856"/>
      <c r="AR251" s="2856"/>
      <c r="AS251" s="2856"/>
      <c r="AT251" s="2866"/>
      <c r="AU251" s="2867"/>
      <c r="AV251" s="1182">
        <f t="shared" si="127"/>
        <v>0</v>
      </c>
      <c r="AW251" s="1182">
        <f t="shared" si="128"/>
        <v>0</v>
      </c>
      <c r="AX251" s="1182">
        <f t="shared" si="129"/>
        <v>0</v>
      </c>
      <c r="AY251" s="2881">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8">
        <f t="shared" si="151"/>
        <v>0</v>
      </c>
    </row>
    <row r="252" spans="1:72">
      <c r="A252" s="2833"/>
      <c r="B252" s="2834"/>
      <c r="C252" s="2834"/>
      <c r="D252" s="2835"/>
      <c r="E252" s="2836">
        <f t="shared" si="123"/>
        <v>0</v>
      </c>
      <c r="F252" s="2837"/>
      <c r="G252" s="2838">
        <f t="shared" si="124"/>
        <v>0</v>
      </c>
      <c r="H252" s="2839">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6">
        <f t="shared" si="126"/>
        <v>0</v>
      </c>
      <c r="AD252" s="2856"/>
      <c r="AE252" s="2856"/>
      <c r="AF252" s="2856"/>
      <c r="AG252" s="2856"/>
      <c r="AH252" s="2856"/>
      <c r="AI252" s="2856"/>
      <c r="AJ252" s="2856"/>
      <c r="AK252" s="2856"/>
      <c r="AL252" s="2856"/>
      <c r="AM252" s="2856"/>
      <c r="AN252" s="2856"/>
      <c r="AO252" s="2856"/>
      <c r="AP252" s="2856"/>
      <c r="AQ252" s="2856"/>
      <c r="AR252" s="2856"/>
      <c r="AS252" s="2856"/>
      <c r="AT252" s="2866"/>
      <c r="AU252" s="2867"/>
      <c r="AV252" s="1182">
        <f t="shared" si="127"/>
        <v>0</v>
      </c>
      <c r="AW252" s="1182">
        <f t="shared" si="128"/>
        <v>0</v>
      </c>
      <c r="AX252" s="1182">
        <f t="shared" si="129"/>
        <v>0</v>
      </c>
      <c r="AY252" s="2881">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8">
        <f t="shared" si="151"/>
        <v>0</v>
      </c>
    </row>
    <row r="253" spans="1:72">
      <c r="A253" s="2833"/>
      <c r="B253" s="2834"/>
      <c r="C253" s="2834"/>
      <c r="D253" s="2835"/>
      <c r="E253" s="2836">
        <f t="shared" si="123"/>
        <v>0</v>
      </c>
      <c r="F253" s="2837"/>
      <c r="G253" s="2838">
        <f t="shared" si="124"/>
        <v>0</v>
      </c>
      <c r="H253" s="2839">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6">
        <f t="shared" si="126"/>
        <v>0</v>
      </c>
      <c r="AD253" s="2856"/>
      <c r="AE253" s="2856"/>
      <c r="AF253" s="2856"/>
      <c r="AG253" s="2856"/>
      <c r="AH253" s="2856"/>
      <c r="AI253" s="2856"/>
      <c r="AJ253" s="2856"/>
      <c r="AK253" s="2856"/>
      <c r="AL253" s="2856"/>
      <c r="AM253" s="2856"/>
      <c r="AN253" s="2856"/>
      <c r="AO253" s="2856"/>
      <c r="AP253" s="2856"/>
      <c r="AQ253" s="2856"/>
      <c r="AR253" s="2856"/>
      <c r="AS253" s="2856"/>
      <c r="AT253" s="2866"/>
      <c r="AU253" s="2867"/>
      <c r="AV253" s="1182">
        <f t="shared" si="127"/>
        <v>0</v>
      </c>
      <c r="AW253" s="1182">
        <f t="shared" si="128"/>
        <v>0</v>
      </c>
      <c r="AX253" s="1182">
        <f t="shared" si="129"/>
        <v>0</v>
      </c>
      <c r="AY253" s="2881">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8">
        <f t="shared" si="151"/>
        <v>0</v>
      </c>
    </row>
    <row r="254" spans="1:72">
      <c r="A254" s="2833"/>
      <c r="B254" s="2834"/>
      <c r="C254" s="2834"/>
      <c r="D254" s="2835"/>
      <c r="E254" s="2836">
        <f t="shared" si="123"/>
        <v>0</v>
      </c>
      <c r="F254" s="2837"/>
      <c r="G254" s="2838">
        <f t="shared" si="124"/>
        <v>0</v>
      </c>
      <c r="H254" s="2839">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6">
        <f t="shared" si="126"/>
        <v>0</v>
      </c>
      <c r="AD254" s="2856"/>
      <c r="AE254" s="2856"/>
      <c r="AF254" s="2856"/>
      <c r="AG254" s="2856"/>
      <c r="AH254" s="2856"/>
      <c r="AI254" s="2856"/>
      <c r="AJ254" s="2856"/>
      <c r="AK254" s="2856"/>
      <c r="AL254" s="2856"/>
      <c r="AM254" s="2856"/>
      <c r="AN254" s="2856"/>
      <c r="AO254" s="2856"/>
      <c r="AP254" s="2856"/>
      <c r="AQ254" s="2856"/>
      <c r="AR254" s="2856"/>
      <c r="AS254" s="2856"/>
      <c r="AT254" s="2866"/>
      <c r="AU254" s="2867"/>
      <c r="AV254" s="1182">
        <f t="shared" si="127"/>
        <v>0</v>
      </c>
      <c r="AW254" s="1182">
        <f t="shared" si="128"/>
        <v>0</v>
      </c>
      <c r="AX254" s="1182">
        <f t="shared" si="129"/>
        <v>0</v>
      </c>
      <c r="AY254" s="2881">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8">
        <f t="shared" si="151"/>
        <v>0</v>
      </c>
    </row>
    <row r="255" spans="1:72">
      <c r="A255" s="2833"/>
      <c r="B255" s="2834"/>
      <c r="C255" s="2834"/>
      <c r="D255" s="2835"/>
      <c r="E255" s="2836">
        <f t="shared" si="123"/>
        <v>0</v>
      </c>
      <c r="F255" s="2837"/>
      <c r="G255" s="2838">
        <f t="shared" si="124"/>
        <v>0</v>
      </c>
      <c r="H255" s="2839">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6">
        <f t="shared" si="126"/>
        <v>0</v>
      </c>
      <c r="AD255" s="2856"/>
      <c r="AE255" s="2856"/>
      <c r="AF255" s="2856"/>
      <c r="AG255" s="2856"/>
      <c r="AH255" s="2856"/>
      <c r="AI255" s="2856"/>
      <c r="AJ255" s="2856"/>
      <c r="AK255" s="2856"/>
      <c r="AL255" s="2856"/>
      <c r="AM255" s="2856"/>
      <c r="AN255" s="2856"/>
      <c r="AO255" s="2856"/>
      <c r="AP255" s="2856"/>
      <c r="AQ255" s="2856"/>
      <c r="AR255" s="2856"/>
      <c r="AS255" s="2856"/>
      <c r="AT255" s="2866"/>
      <c r="AU255" s="2867"/>
      <c r="AV255" s="1182">
        <f t="shared" si="127"/>
        <v>0</v>
      </c>
      <c r="AW255" s="1182">
        <f t="shared" si="128"/>
        <v>0</v>
      </c>
      <c r="AX255" s="1182">
        <f t="shared" si="129"/>
        <v>0</v>
      </c>
      <c r="AY255" s="2881">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8">
        <f t="shared" si="151"/>
        <v>0</v>
      </c>
    </row>
    <row r="256" spans="1:72">
      <c r="A256" s="2833"/>
      <c r="B256" s="2834"/>
      <c r="C256" s="2834"/>
      <c r="D256" s="2835"/>
      <c r="E256" s="2836">
        <f t="shared" si="123"/>
        <v>0</v>
      </c>
      <c r="F256" s="2837"/>
      <c r="G256" s="2838">
        <f t="shared" si="124"/>
        <v>0</v>
      </c>
      <c r="H256" s="2839">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6">
        <f t="shared" si="126"/>
        <v>0</v>
      </c>
      <c r="AD256" s="2856"/>
      <c r="AE256" s="2856"/>
      <c r="AF256" s="2856"/>
      <c r="AG256" s="2856"/>
      <c r="AH256" s="2856"/>
      <c r="AI256" s="2856"/>
      <c r="AJ256" s="2856"/>
      <c r="AK256" s="2856"/>
      <c r="AL256" s="2856"/>
      <c r="AM256" s="2856"/>
      <c r="AN256" s="2856"/>
      <c r="AO256" s="2856"/>
      <c r="AP256" s="2856"/>
      <c r="AQ256" s="2856"/>
      <c r="AR256" s="2856"/>
      <c r="AS256" s="2856"/>
      <c r="AT256" s="2866"/>
      <c r="AU256" s="2867"/>
      <c r="AV256" s="1182">
        <f t="shared" si="127"/>
        <v>0</v>
      </c>
      <c r="AW256" s="1182">
        <f t="shared" si="128"/>
        <v>0</v>
      </c>
      <c r="AX256" s="1182">
        <f t="shared" si="129"/>
        <v>0</v>
      </c>
      <c r="AY256" s="2881">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8">
        <f t="shared" si="151"/>
        <v>0</v>
      </c>
    </row>
    <row r="257" spans="1:72">
      <c r="A257" s="2833"/>
      <c r="B257" s="2834"/>
      <c r="C257" s="2834"/>
      <c r="D257" s="2835"/>
      <c r="E257" s="2836">
        <f t="shared" si="123"/>
        <v>0</v>
      </c>
      <c r="F257" s="2837"/>
      <c r="G257" s="2838">
        <f t="shared" si="124"/>
        <v>0</v>
      </c>
      <c r="H257" s="2839">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6">
        <f t="shared" si="126"/>
        <v>0</v>
      </c>
      <c r="AD257" s="2856"/>
      <c r="AE257" s="2856"/>
      <c r="AF257" s="2856"/>
      <c r="AG257" s="2856"/>
      <c r="AH257" s="2856"/>
      <c r="AI257" s="2856"/>
      <c r="AJ257" s="2856"/>
      <c r="AK257" s="2856"/>
      <c r="AL257" s="2856"/>
      <c r="AM257" s="2856"/>
      <c r="AN257" s="2856"/>
      <c r="AO257" s="2856"/>
      <c r="AP257" s="2856"/>
      <c r="AQ257" s="2856"/>
      <c r="AR257" s="2856"/>
      <c r="AS257" s="2856"/>
      <c r="AT257" s="2866"/>
      <c r="AU257" s="2867"/>
      <c r="AV257" s="1182">
        <f t="shared" si="127"/>
        <v>0</v>
      </c>
      <c r="AW257" s="1182">
        <f t="shared" si="128"/>
        <v>0</v>
      </c>
      <c r="AX257" s="1182">
        <f t="shared" si="129"/>
        <v>0</v>
      </c>
      <c r="AY257" s="2881">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8">
        <f t="shared" si="151"/>
        <v>0</v>
      </c>
    </row>
    <row r="258" spans="1:72">
      <c r="A258" s="2833"/>
      <c r="B258" s="2834"/>
      <c r="C258" s="2834"/>
      <c r="D258" s="2835"/>
      <c r="E258" s="2836">
        <f t="shared" si="123"/>
        <v>0</v>
      </c>
      <c r="F258" s="2837"/>
      <c r="G258" s="2838">
        <f t="shared" si="124"/>
        <v>0</v>
      </c>
      <c r="H258" s="2839">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6">
        <f t="shared" si="126"/>
        <v>0</v>
      </c>
      <c r="AD258" s="2856"/>
      <c r="AE258" s="2856"/>
      <c r="AF258" s="2856"/>
      <c r="AG258" s="2856"/>
      <c r="AH258" s="2856"/>
      <c r="AI258" s="2856"/>
      <c r="AJ258" s="2856"/>
      <c r="AK258" s="2856"/>
      <c r="AL258" s="2856"/>
      <c r="AM258" s="2856"/>
      <c r="AN258" s="2856"/>
      <c r="AO258" s="2856"/>
      <c r="AP258" s="2856"/>
      <c r="AQ258" s="2856"/>
      <c r="AR258" s="2856"/>
      <c r="AS258" s="2856"/>
      <c r="AT258" s="2866"/>
      <c r="AU258" s="2867"/>
      <c r="AV258" s="1182">
        <f t="shared" si="127"/>
        <v>0</v>
      </c>
      <c r="AW258" s="1182">
        <f t="shared" si="128"/>
        <v>0</v>
      </c>
      <c r="AX258" s="1182">
        <f t="shared" si="129"/>
        <v>0</v>
      </c>
      <c r="AY258" s="2881">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8">
        <f t="shared" si="151"/>
        <v>0</v>
      </c>
    </row>
    <row r="259" spans="1:72">
      <c r="A259" s="2833"/>
      <c r="B259" s="2834"/>
      <c r="C259" s="2834"/>
      <c r="D259" s="2835"/>
      <c r="E259" s="2836">
        <f t="shared" si="123"/>
        <v>0</v>
      </c>
      <c r="F259" s="2837"/>
      <c r="G259" s="2838">
        <f t="shared" si="124"/>
        <v>0</v>
      </c>
      <c r="H259" s="2839">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6">
        <f t="shared" si="126"/>
        <v>0</v>
      </c>
      <c r="AD259" s="2856"/>
      <c r="AE259" s="2856"/>
      <c r="AF259" s="2856"/>
      <c r="AG259" s="2856"/>
      <c r="AH259" s="2856"/>
      <c r="AI259" s="2856"/>
      <c r="AJ259" s="2856"/>
      <c r="AK259" s="2856"/>
      <c r="AL259" s="2856"/>
      <c r="AM259" s="2856"/>
      <c r="AN259" s="2856"/>
      <c r="AO259" s="2856"/>
      <c r="AP259" s="2856"/>
      <c r="AQ259" s="2856"/>
      <c r="AR259" s="2856"/>
      <c r="AS259" s="2856"/>
      <c r="AT259" s="2866"/>
      <c r="AU259" s="2867"/>
      <c r="AV259" s="1182">
        <f t="shared" si="127"/>
        <v>0</v>
      </c>
      <c r="AW259" s="1182">
        <f t="shared" si="128"/>
        <v>0</v>
      </c>
      <c r="AX259" s="1182">
        <f t="shared" si="129"/>
        <v>0</v>
      </c>
      <c r="AY259" s="2881">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8">
        <f t="shared" si="151"/>
        <v>0</v>
      </c>
    </row>
    <row r="260" spans="1:72">
      <c r="A260" s="2833"/>
      <c r="B260" s="2834"/>
      <c r="C260" s="2834"/>
      <c r="D260" s="2835"/>
      <c r="E260" s="2836">
        <f t="shared" si="123"/>
        <v>0</v>
      </c>
      <c r="F260" s="2837"/>
      <c r="G260" s="2838">
        <f t="shared" si="124"/>
        <v>0</v>
      </c>
      <c r="H260" s="2839">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6">
        <f t="shared" si="126"/>
        <v>0</v>
      </c>
      <c r="AD260" s="2856"/>
      <c r="AE260" s="2856"/>
      <c r="AF260" s="2856"/>
      <c r="AG260" s="2856"/>
      <c r="AH260" s="2856"/>
      <c r="AI260" s="2856"/>
      <c r="AJ260" s="2856"/>
      <c r="AK260" s="2856"/>
      <c r="AL260" s="2856"/>
      <c r="AM260" s="2856"/>
      <c r="AN260" s="2856"/>
      <c r="AO260" s="2856"/>
      <c r="AP260" s="2856"/>
      <c r="AQ260" s="2856"/>
      <c r="AR260" s="2856"/>
      <c r="AS260" s="2856"/>
      <c r="AT260" s="2866"/>
      <c r="AU260" s="2867"/>
      <c r="AV260" s="1182">
        <f t="shared" si="127"/>
        <v>0</v>
      </c>
      <c r="AW260" s="1182">
        <f t="shared" si="128"/>
        <v>0</v>
      </c>
      <c r="AX260" s="1182">
        <f t="shared" si="129"/>
        <v>0</v>
      </c>
      <c r="AY260" s="2881">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8">
        <f t="shared" si="151"/>
        <v>0</v>
      </c>
    </row>
    <row r="261" spans="1:72">
      <c r="A261" s="2833"/>
      <c r="B261" s="2834"/>
      <c r="C261" s="2834"/>
      <c r="D261" s="2835"/>
      <c r="E261" s="2836">
        <f t="shared" si="123"/>
        <v>0</v>
      </c>
      <c r="F261" s="2837"/>
      <c r="G261" s="2838">
        <f t="shared" si="124"/>
        <v>0</v>
      </c>
      <c r="H261" s="2839">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6">
        <f t="shared" si="126"/>
        <v>0</v>
      </c>
      <c r="AD261" s="2856"/>
      <c r="AE261" s="2856"/>
      <c r="AF261" s="2856"/>
      <c r="AG261" s="2856"/>
      <c r="AH261" s="2856"/>
      <c r="AI261" s="2856"/>
      <c r="AJ261" s="2856"/>
      <c r="AK261" s="2856"/>
      <c r="AL261" s="2856"/>
      <c r="AM261" s="2856"/>
      <c r="AN261" s="2856"/>
      <c r="AO261" s="2856"/>
      <c r="AP261" s="2856"/>
      <c r="AQ261" s="2856"/>
      <c r="AR261" s="2856"/>
      <c r="AS261" s="2856"/>
      <c r="AT261" s="2866"/>
      <c r="AU261" s="2867"/>
      <c r="AV261" s="1182">
        <f t="shared" si="127"/>
        <v>0</v>
      </c>
      <c r="AW261" s="1182">
        <f t="shared" si="128"/>
        <v>0</v>
      </c>
      <c r="AX261" s="1182">
        <f t="shared" si="129"/>
        <v>0</v>
      </c>
      <c r="AY261" s="2881">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8">
        <f t="shared" si="151"/>
        <v>0</v>
      </c>
    </row>
    <row r="262" spans="1:72">
      <c r="A262" s="2833"/>
      <c r="B262" s="2834"/>
      <c r="C262" s="2834"/>
      <c r="D262" s="2835"/>
      <c r="E262" s="2836">
        <f t="shared" si="123"/>
        <v>0</v>
      </c>
      <c r="F262" s="2837"/>
      <c r="G262" s="2838">
        <f t="shared" si="124"/>
        <v>0</v>
      </c>
      <c r="H262" s="2839">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6">
        <f t="shared" si="126"/>
        <v>0</v>
      </c>
      <c r="AD262" s="2856"/>
      <c r="AE262" s="2856"/>
      <c r="AF262" s="2856"/>
      <c r="AG262" s="2856"/>
      <c r="AH262" s="2856"/>
      <c r="AI262" s="2856"/>
      <c r="AJ262" s="2856"/>
      <c r="AK262" s="2856"/>
      <c r="AL262" s="2856"/>
      <c r="AM262" s="2856"/>
      <c r="AN262" s="2856"/>
      <c r="AO262" s="2856"/>
      <c r="AP262" s="2856"/>
      <c r="AQ262" s="2856"/>
      <c r="AR262" s="2856"/>
      <c r="AS262" s="2856"/>
      <c r="AT262" s="2866"/>
      <c r="AU262" s="2867"/>
      <c r="AV262" s="1182">
        <f t="shared" si="127"/>
        <v>0</v>
      </c>
      <c r="AW262" s="1182">
        <f t="shared" si="128"/>
        <v>0</v>
      </c>
      <c r="AX262" s="1182">
        <f t="shared" si="129"/>
        <v>0</v>
      </c>
      <c r="AY262" s="2881">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8">
        <f t="shared" si="151"/>
        <v>0</v>
      </c>
    </row>
    <row r="263" spans="1:72">
      <c r="A263" s="2833"/>
      <c r="B263" s="2834"/>
      <c r="C263" s="2834"/>
      <c r="D263" s="2835"/>
      <c r="E263" s="2836">
        <f t="shared" si="123"/>
        <v>0</v>
      </c>
      <c r="F263" s="2837"/>
      <c r="G263" s="2838">
        <f t="shared" si="124"/>
        <v>0</v>
      </c>
      <c r="H263" s="2839">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6">
        <f t="shared" si="126"/>
        <v>0</v>
      </c>
      <c r="AD263" s="2856"/>
      <c r="AE263" s="2856"/>
      <c r="AF263" s="2856"/>
      <c r="AG263" s="2856"/>
      <c r="AH263" s="2856"/>
      <c r="AI263" s="2856"/>
      <c r="AJ263" s="2856"/>
      <c r="AK263" s="2856"/>
      <c r="AL263" s="2856"/>
      <c r="AM263" s="2856"/>
      <c r="AN263" s="2856"/>
      <c r="AO263" s="2856"/>
      <c r="AP263" s="2856"/>
      <c r="AQ263" s="2856"/>
      <c r="AR263" s="2856"/>
      <c r="AS263" s="2856"/>
      <c r="AT263" s="2866"/>
      <c r="AU263" s="2867"/>
      <c r="AV263" s="1182">
        <f t="shared" si="127"/>
        <v>0</v>
      </c>
      <c r="AW263" s="1182">
        <f t="shared" si="128"/>
        <v>0</v>
      </c>
      <c r="AX263" s="1182">
        <f t="shared" si="129"/>
        <v>0</v>
      </c>
      <c r="AY263" s="2881">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8">
        <f t="shared" si="151"/>
        <v>0</v>
      </c>
    </row>
    <row r="264" spans="1:72">
      <c r="A264" s="2833"/>
      <c r="B264" s="2834"/>
      <c r="C264" s="2834"/>
      <c r="D264" s="2835"/>
      <c r="E264" s="2836">
        <f t="shared" si="123"/>
        <v>0</v>
      </c>
      <c r="F264" s="2837"/>
      <c r="G264" s="2838">
        <f t="shared" si="124"/>
        <v>0</v>
      </c>
      <c r="H264" s="2839">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6">
        <f t="shared" si="126"/>
        <v>0</v>
      </c>
      <c r="AD264" s="2856"/>
      <c r="AE264" s="2856"/>
      <c r="AF264" s="2856"/>
      <c r="AG264" s="2856"/>
      <c r="AH264" s="2856"/>
      <c r="AI264" s="2856"/>
      <c r="AJ264" s="2856"/>
      <c r="AK264" s="2856"/>
      <c r="AL264" s="2856"/>
      <c r="AM264" s="2856"/>
      <c r="AN264" s="2856"/>
      <c r="AO264" s="2856"/>
      <c r="AP264" s="2856"/>
      <c r="AQ264" s="2856"/>
      <c r="AR264" s="2856"/>
      <c r="AS264" s="2856"/>
      <c r="AT264" s="2866"/>
      <c r="AU264" s="2867"/>
      <c r="AV264" s="1182">
        <f t="shared" si="127"/>
        <v>0</v>
      </c>
      <c r="AW264" s="1182">
        <f t="shared" si="128"/>
        <v>0</v>
      </c>
      <c r="AX264" s="1182">
        <f t="shared" si="129"/>
        <v>0</v>
      </c>
      <c r="AY264" s="2881">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8">
        <f t="shared" si="151"/>
        <v>0</v>
      </c>
    </row>
    <row r="265" spans="1:72">
      <c r="A265" s="2833"/>
      <c r="B265" s="2834"/>
      <c r="C265" s="2834"/>
      <c r="D265" s="2835"/>
      <c r="E265" s="2836">
        <f t="shared" si="123"/>
        <v>0</v>
      </c>
      <c r="F265" s="2837"/>
      <c r="G265" s="2838">
        <f t="shared" si="124"/>
        <v>0</v>
      </c>
      <c r="H265" s="2839">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6">
        <f t="shared" si="126"/>
        <v>0</v>
      </c>
      <c r="AD265" s="2856"/>
      <c r="AE265" s="2856"/>
      <c r="AF265" s="2856"/>
      <c r="AG265" s="2856"/>
      <c r="AH265" s="2856"/>
      <c r="AI265" s="2856"/>
      <c r="AJ265" s="2856"/>
      <c r="AK265" s="2856"/>
      <c r="AL265" s="2856"/>
      <c r="AM265" s="2856"/>
      <c r="AN265" s="2856"/>
      <c r="AO265" s="2856"/>
      <c r="AP265" s="2856"/>
      <c r="AQ265" s="2856"/>
      <c r="AR265" s="2856"/>
      <c r="AS265" s="2856"/>
      <c r="AT265" s="2866"/>
      <c r="AU265" s="2867"/>
      <c r="AV265" s="1182">
        <f t="shared" si="127"/>
        <v>0</v>
      </c>
      <c r="AW265" s="1182">
        <f t="shared" si="128"/>
        <v>0</v>
      </c>
      <c r="AX265" s="1182">
        <f t="shared" si="129"/>
        <v>0</v>
      </c>
      <c r="AY265" s="2881">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8">
        <f t="shared" si="151"/>
        <v>0</v>
      </c>
    </row>
    <row r="266" spans="1:72">
      <c r="A266" s="2833"/>
      <c r="B266" s="2834"/>
      <c r="C266" s="2834"/>
      <c r="D266" s="2835"/>
      <c r="E266" s="2836">
        <f t="shared" si="123"/>
        <v>0</v>
      </c>
      <c r="F266" s="2837"/>
      <c r="G266" s="2838">
        <f t="shared" si="124"/>
        <v>0</v>
      </c>
      <c r="H266" s="2839">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6">
        <f t="shared" si="126"/>
        <v>0</v>
      </c>
      <c r="AD266" s="2856"/>
      <c r="AE266" s="2856"/>
      <c r="AF266" s="2856"/>
      <c r="AG266" s="2856"/>
      <c r="AH266" s="2856"/>
      <c r="AI266" s="2856"/>
      <c r="AJ266" s="2856"/>
      <c r="AK266" s="2856"/>
      <c r="AL266" s="2856"/>
      <c r="AM266" s="2856"/>
      <c r="AN266" s="2856"/>
      <c r="AO266" s="2856"/>
      <c r="AP266" s="2856"/>
      <c r="AQ266" s="2856"/>
      <c r="AR266" s="2856"/>
      <c r="AS266" s="2856"/>
      <c r="AT266" s="2866"/>
      <c r="AU266" s="2867"/>
      <c r="AV266" s="1182">
        <f t="shared" si="127"/>
        <v>0</v>
      </c>
      <c r="AW266" s="1182">
        <f t="shared" si="128"/>
        <v>0</v>
      </c>
      <c r="AX266" s="1182">
        <f t="shared" si="129"/>
        <v>0</v>
      </c>
      <c r="AY266" s="2881">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8">
        <f t="shared" si="151"/>
        <v>0</v>
      </c>
    </row>
    <row r="267" spans="1:72">
      <c r="A267" s="2833"/>
      <c r="B267" s="2834"/>
      <c r="C267" s="2834"/>
      <c r="D267" s="2835"/>
      <c r="E267" s="2836">
        <f t="shared" si="123"/>
        <v>0</v>
      </c>
      <c r="F267" s="2837"/>
      <c r="G267" s="2838">
        <f t="shared" si="124"/>
        <v>0</v>
      </c>
      <c r="H267" s="2839">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6">
        <f t="shared" si="126"/>
        <v>0</v>
      </c>
      <c r="AD267" s="2856"/>
      <c r="AE267" s="2856"/>
      <c r="AF267" s="2856"/>
      <c r="AG267" s="2856"/>
      <c r="AH267" s="2856"/>
      <c r="AI267" s="2856"/>
      <c r="AJ267" s="2856"/>
      <c r="AK267" s="2856"/>
      <c r="AL267" s="2856"/>
      <c r="AM267" s="2856"/>
      <c r="AN267" s="2856"/>
      <c r="AO267" s="2856"/>
      <c r="AP267" s="2856"/>
      <c r="AQ267" s="2856"/>
      <c r="AR267" s="2856"/>
      <c r="AS267" s="2856"/>
      <c r="AT267" s="2866"/>
      <c r="AU267" s="2867"/>
      <c r="AV267" s="1182">
        <f t="shared" si="127"/>
        <v>0</v>
      </c>
      <c r="AW267" s="1182">
        <f t="shared" si="128"/>
        <v>0</v>
      </c>
      <c r="AX267" s="1182">
        <f t="shared" si="129"/>
        <v>0</v>
      </c>
      <c r="AY267" s="2881">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8">
        <f t="shared" si="151"/>
        <v>0</v>
      </c>
    </row>
    <row r="268" spans="1:72">
      <c r="A268" s="2833"/>
      <c r="B268" s="2834"/>
      <c r="C268" s="2834"/>
      <c r="D268" s="2835"/>
      <c r="E268" s="2836">
        <f t="shared" si="123"/>
        <v>0</v>
      </c>
      <c r="F268" s="2837"/>
      <c r="G268" s="2838">
        <f t="shared" si="124"/>
        <v>0</v>
      </c>
      <c r="H268" s="2839">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6">
        <f t="shared" si="126"/>
        <v>0</v>
      </c>
      <c r="AD268" s="2856"/>
      <c r="AE268" s="2856"/>
      <c r="AF268" s="2856"/>
      <c r="AG268" s="2856"/>
      <c r="AH268" s="2856"/>
      <c r="AI268" s="2856"/>
      <c r="AJ268" s="2856"/>
      <c r="AK268" s="2856"/>
      <c r="AL268" s="2856"/>
      <c r="AM268" s="2856"/>
      <c r="AN268" s="2856"/>
      <c r="AO268" s="2856"/>
      <c r="AP268" s="2856"/>
      <c r="AQ268" s="2856"/>
      <c r="AR268" s="2856"/>
      <c r="AS268" s="2856"/>
      <c r="AT268" s="2866"/>
      <c r="AU268" s="2867"/>
      <c r="AV268" s="1182">
        <f t="shared" si="127"/>
        <v>0</v>
      </c>
      <c r="AW268" s="1182">
        <f t="shared" si="128"/>
        <v>0</v>
      </c>
      <c r="AX268" s="1182">
        <f t="shared" si="129"/>
        <v>0</v>
      </c>
      <c r="AY268" s="2881">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8">
        <f t="shared" si="151"/>
        <v>0</v>
      </c>
    </row>
    <row r="269" spans="1:72">
      <c r="A269" s="2833"/>
      <c r="B269" s="2834"/>
      <c r="C269" s="2834"/>
      <c r="D269" s="2835"/>
      <c r="E269" s="2836">
        <f t="shared" si="123"/>
        <v>0</v>
      </c>
      <c r="F269" s="2837"/>
      <c r="G269" s="2838">
        <f t="shared" si="124"/>
        <v>0</v>
      </c>
      <c r="H269" s="2839">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6">
        <f t="shared" si="126"/>
        <v>0</v>
      </c>
      <c r="AD269" s="2856"/>
      <c r="AE269" s="2856"/>
      <c r="AF269" s="2856"/>
      <c r="AG269" s="2856"/>
      <c r="AH269" s="2856"/>
      <c r="AI269" s="2856"/>
      <c r="AJ269" s="2856"/>
      <c r="AK269" s="2856"/>
      <c r="AL269" s="2856"/>
      <c r="AM269" s="2856"/>
      <c r="AN269" s="2856"/>
      <c r="AO269" s="2856"/>
      <c r="AP269" s="2856"/>
      <c r="AQ269" s="2856"/>
      <c r="AR269" s="2856"/>
      <c r="AS269" s="2856"/>
      <c r="AT269" s="2866"/>
      <c r="AU269" s="2867"/>
      <c r="AV269" s="1182">
        <f t="shared" si="127"/>
        <v>0</v>
      </c>
      <c r="AW269" s="1182">
        <f t="shared" si="128"/>
        <v>0</v>
      </c>
      <c r="AX269" s="1182">
        <f t="shared" si="129"/>
        <v>0</v>
      </c>
      <c r="AY269" s="2881">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8">
        <f t="shared" si="151"/>
        <v>0</v>
      </c>
    </row>
    <row r="270" spans="1:72">
      <c r="A270" s="2833"/>
      <c r="B270" s="2834"/>
      <c r="C270" s="2834"/>
      <c r="D270" s="2835"/>
      <c r="E270" s="2836">
        <f t="shared" si="123"/>
        <v>0</v>
      </c>
      <c r="F270" s="2837"/>
      <c r="G270" s="2838">
        <f t="shared" si="124"/>
        <v>0</v>
      </c>
      <c r="H270" s="2839">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6">
        <f t="shared" si="126"/>
        <v>0</v>
      </c>
      <c r="AD270" s="2856"/>
      <c r="AE270" s="2856"/>
      <c r="AF270" s="2856"/>
      <c r="AG270" s="2856"/>
      <c r="AH270" s="2856"/>
      <c r="AI270" s="2856"/>
      <c r="AJ270" s="2856"/>
      <c r="AK270" s="2856"/>
      <c r="AL270" s="2856"/>
      <c r="AM270" s="2856"/>
      <c r="AN270" s="2856"/>
      <c r="AO270" s="2856"/>
      <c r="AP270" s="2856"/>
      <c r="AQ270" s="2856"/>
      <c r="AR270" s="2856"/>
      <c r="AS270" s="2856"/>
      <c r="AT270" s="2866"/>
      <c r="AU270" s="2867"/>
      <c r="AV270" s="1182">
        <f t="shared" si="127"/>
        <v>0</v>
      </c>
      <c r="AW270" s="1182">
        <f t="shared" si="128"/>
        <v>0</v>
      </c>
      <c r="AX270" s="1182">
        <f t="shared" si="129"/>
        <v>0</v>
      </c>
      <c r="AY270" s="2881">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8">
        <f t="shared" si="151"/>
        <v>0</v>
      </c>
    </row>
    <row r="271" spans="1:72">
      <c r="A271" s="2833"/>
      <c r="B271" s="2834"/>
      <c r="C271" s="2834"/>
      <c r="D271" s="2835"/>
      <c r="E271" s="2836">
        <f t="shared" si="123"/>
        <v>0</v>
      </c>
      <c r="F271" s="2837"/>
      <c r="G271" s="2838">
        <f t="shared" si="124"/>
        <v>0</v>
      </c>
      <c r="H271" s="2839">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6">
        <f t="shared" si="126"/>
        <v>0</v>
      </c>
      <c r="AD271" s="2856"/>
      <c r="AE271" s="2856"/>
      <c r="AF271" s="2856"/>
      <c r="AG271" s="2856"/>
      <c r="AH271" s="2856"/>
      <c r="AI271" s="2856"/>
      <c r="AJ271" s="2856"/>
      <c r="AK271" s="2856"/>
      <c r="AL271" s="2856"/>
      <c r="AM271" s="2856"/>
      <c r="AN271" s="2856"/>
      <c r="AO271" s="2856"/>
      <c r="AP271" s="2856"/>
      <c r="AQ271" s="2856"/>
      <c r="AR271" s="2856"/>
      <c r="AS271" s="2856"/>
      <c r="AT271" s="2866"/>
      <c r="AU271" s="2867"/>
      <c r="AV271" s="1182">
        <f t="shared" si="127"/>
        <v>0</v>
      </c>
      <c r="AW271" s="1182">
        <f t="shared" si="128"/>
        <v>0</v>
      </c>
      <c r="AX271" s="1182">
        <f t="shared" si="129"/>
        <v>0</v>
      </c>
      <c r="AY271" s="2881">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8">
        <f t="shared" si="151"/>
        <v>0</v>
      </c>
    </row>
    <row r="272" spans="1:72">
      <c r="A272" s="2833"/>
      <c r="B272" s="2834"/>
      <c r="C272" s="2834"/>
      <c r="D272" s="2835"/>
      <c r="E272" s="2836">
        <f t="shared" si="123"/>
        <v>0</v>
      </c>
      <c r="F272" s="2837"/>
      <c r="G272" s="2838">
        <f t="shared" si="124"/>
        <v>0</v>
      </c>
      <c r="H272" s="2839">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6">
        <f t="shared" si="126"/>
        <v>0</v>
      </c>
      <c r="AD272" s="2856"/>
      <c r="AE272" s="2856"/>
      <c r="AF272" s="2856"/>
      <c r="AG272" s="2856"/>
      <c r="AH272" s="2856"/>
      <c r="AI272" s="2856"/>
      <c r="AJ272" s="2856"/>
      <c r="AK272" s="2856"/>
      <c r="AL272" s="2856"/>
      <c r="AM272" s="2856"/>
      <c r="AN272" s="2856"/>
      <c r="AO272" s="2856"/>
      <c r="AP272" s="2856"/>
      <c r="AQ272" s="2856"/>
      <c r="AR272" s="2856"/>
      <c r="AS272" s="2856"/>
      <c r="AT272" s="2866"/>
      <c r="AU272" s="2867"/>
      <c r="AV272" s="1182">
        <f t="shared" si="127"/>
        <v>0</v>
      </c>
      <c r="AW272" s="1182">
        <f t="shared" si="128"/>
        <v>0</v>
      </c>
      <c r="AX272" s="1182">
        <f t="shared" si="129"/>
        <v>0</v>
      </c>
      <c r="AY272" s="2881">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8">
        <f t="shared" si="151"/>
        <v>0</v>
      </c>
    </row>
    <row r="273" spans="1:72">
      <c r="A273" s="2833"/>
      <c r="B273" s="2834"/>
      <c r="C273" s="2834"/>
      <c r="D273" s="2835"/>
      <c r="E273" s="2836">
        <f t="shared" si="123"/>
        <v>0</v>
      </c>
      <c r="F273" s="2837"/>
      <c r="G273" s="2838">
        <f t="shared" si="124"/>
        <v>0</v>
      </c>
      <c r="H273" s="2839">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6">
        <f t="shared" si="126"/>
        <v>0</v>
      </c>
      <c r="AD273" s="2856"/>
      <c r="AE273" s="2856"/>
      <c r="AF273" s="2856"/>
      <c r="AG273" s="2856"/>
      <c r="AH273" s="2856"/>
      <c r="AI273" s="2856"/>
      <c r="AJ273" s="2856"/>
      <c r="AK273" s="2856"/>
      <c r="AL273" s="2856"/>
      <c r="AM273" s="2856"/>
      <c r="AN273" s="2856"/>
      <c r="AO273" s="2856"/>
      <c r="AP273" s="2856"/>
      <c r="AQ273" s="2856"/>
      <c r="AR273" s="2856"/>
      <c r="AS273" s="2856"/>
      <c r="AT273" s="2866"/>
      <c r="AU273" s="2867"/>
      <c r="AV273" s="1182">
        <f t="shared" si="127"/>
        <v>0</v>
      </c>
      <c r="AW273" s="1182">
        <f t="shared" si="128"/>
        <v>0</v>
      </c>
      <c r="AX273" s="1182">
        <f t="shared" si="129"/>
        <v>0</v>
      </c>
      <c r="AY273" s="2881">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8">
        <f t="shared" si="151"/>
        <v>0</v>
      </c>
    </row>
    <row r="274" spans="1:72">
      <c r="A274" s="2833"/>
      <c r="B274" s="2834"/>
      <c r="C274" s="2834"/>
      <c r="D274" s="2835"/>
      <c r="E274" s="2836">
        <f t="shared" si="123"/>
        <v>0</v>
      </c>
      <c r="F274" s="2837"/>
      <c r="G274" s="2838">
        <f t="shared" si="124"/>
        <v>0</v>
      </c>
      <c r="H274" s="2839">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6">
        <f t="shared" si="126"/>
        <v>0</v>
      </c>
      <c r="AD274" s="2856"/>
      <c r="AE274" s="2856"/>
      <c r="AF274" s="2856"/>
      <c r="AG274" s="2856"/>
      <c r="AH274" s="2856"/>
      <c r="AI274" s="2856"/>
      <c r="AJ274" s="2856"/>
      <c r="AK274" s="2856"/>
      <c r="AL274" s="2856"/>
      <c r="AM274" s="2856"/>
      <c r="AN274" s="2856"/>
      <c r="AO274" s="2856"/>
      <c r="AP274" s="2856"/>
      <c r="AQ274" s="2856"/>
      <c r="AR274" s="2856"/>
      <c r="AS274" s="2856"/>
      <c r="AT274" s="2866"/>
      <c r="AU274" s="2867"/>
      <c r="AV274" s="1182">
        <f t="shared" si="127"/>
        <v>0</v>
      </c>
      <c r="AW274" s="1182">
        <f t="shared" si="128"/>
        <v>0</v>
      </c>
      <c r="AX274" s="1182">
        <f t="shared" si="129"/>
        <v>0</v>
      </c>
      <c r="AY274" s="2881">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8">
        <f t="shared" si="151"/>
        <v>0</v>
      </c>
    </row>
    <row r="275" spans="1:72">
      <c r="A275" s="2833"/>
      <c r="B275" s="2834"/>
      <c r="C275" s="2834"/>
      <c r="D275" s="2835"/>
      <c r="E275" s="2836">
        <f t="shared" si="123"/>
        <v>0</v>
      </c>
      <c r="F275" s="2837"/>
      <c r="G275" s="2838">
        <f t="shared" si="124"/>
        <v>0</v>
      </c>
      <c r="H275" s="2839">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6">
        <f t="shared" si="126"/>
        <v>0</v>
      </c>
      <c r="AD275" s="2856"/>
      <c r="AE275" s="2856"/>
      <c r="AF275" s="2856"/>
      <c r="AG275" s="2856"/>
      <c r="AH275" s="2856"/>
      <c r="AI275" s="2856"/>
      <c r="AJ275" s="2856"/>
      <c r="AK275" s="2856"/>
      <c r="AL275" s="2856"/>
      <c r="AM275" s="2856"/>
      <c r="AN275" s="2856"/>
      <c r="AO275" s="2856"/>
      <c r="AP275" s="2856"/>
      <c r="AQ275" s="2856"/>
      <c r="AR275" s="2856"/>
      <c r="AS275" s="2856"/>
      <c r="AT275" s="2866"/>
      <c r="AU275" s="2867"/>
      <c r="AV275" s="1182">
        <f t="shared" si="127"/>
        <v>0</v>
      </c>
      <c r="AW275" s="1182">
        <f t="shared" si="128"/>
        <v>0</v>
      </c>
      <c r="AX275" s="1182">
        <f t="shared" si="129"/>
        <v>0</v>
      </c>
      <c r="AY275" s="2881">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8">
        <f t="shared" si="151"/>
        <v>0</v>
      </c>
    </row>
    <row r="276" spans="1:72">
      <c r="A276" s="2833"/>
      <c r="B276" s="2834"/>
      <c r="C276" s="2834"/>
      <c r="D276" s="2835"/>
      <c r="E276" s="2836">
        <f t="shared" si="123"/>
        <v>0</v>
      </c>
      <c r="F276" s="2837"/>
      <c r="G276" s="2838">
        <f t="shared" si="124"/>
        <v>0</v>
      </c>
      <c r="H276" s="2839">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6">
        <f t="shared" si="126"/>
        <v>0</v>
      </c>
      <c r="AD276" s="2856"/>
      <c r="AE276" s="2856"/>
      <c r="AF276" s="2856"/>
      <c r="AG276" s="2856"/>
      <c r="AH276" s="2856"/>
      <c r="AI276" s="2856"/>
      <c r="AJ276" s="2856"/>
      <c r="AK276" s="2856"/>
      <c r="AL276" s="2856"/>
      <c r="AM276" s="2856"/>
      <c r="AN276" s="2856"/>
      <c r="AO276" s="2856"/>
      <c r="AP276" s="2856"/>
      <c r="AQ276" s="2856"/>
      <c r="AR276" s="2856"/>
      <c r="AS276" s="2856"/>
      <c r="AT276" s="2866"/>
      <c r="AU276" s="2867"/>
      <c r="AV276" s="1182">
        <f t="shared" si="127"/>
        <v>0</v>
      </c>
      <c r="AW276" s="1182">
        <f t="shared" si="128"/>
        <v>0</v>
      </c>
      <c r="AX276" s="1182">
        <f t="shared" si="129"/>
        <v>0</v>
      </c>
      <c r="AY276" s="2881">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8">
        <f t="shared" si="151"/>
        <v>0</v>
      </c>
    </row>
    <row r="277" spans="1:72">
      <c r="A277" s="2833"/>
      <c r="B277" s="2834"/>
      <c r="C277" s="2834"/>
      <c r="D277" s="2835"/>
      <c r="E277" s="2836">
        <f t="shared" si="123"/>
        <v>0</v>
      </c>
      <c r="F277" s="2837"/>
      <c r="G277" s="2838">
        <f t="shared" si="124"/>
        <v>0</v>
      </c>
      <c r="H277" s="2839">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6">
        <f t="shared" si="126"/>
        <v>0</v>
      </c>
      <c r="AD277" s="2856"/>
      <c r="AE277" s="2856"/>
      <c r="AF277" s="2856"/>
      <c r="AG277" s="2856"/>
      <c r="AH277" s="2856"/>
      <c r="AI277" s="2856"/>
      <c r="AJ277" s="2856"/>
      <c r="AK277" s="2856"/>
      <c r="AL277" s="2856"/>
      <c r="AM277" s="2856"/>
      <c r="AN277" s="2856"/>
      <c r="AO277" s="2856"/>
      <c r="AP277" s="2856"/>
      <c r="AQ277" s="2856"/>
      <c r="AR277" s="2856"/>
      <c r="AS277" s="2856"/>
      <c r="AT277" s="2866"/>
      <c r="AU277" s="2867"/>
      <c r="AV277" s="1182">
        <f t="shared" si="127"/>
        <v>0</v>
      </c>
      <c r="AW277" s="1182">
        <f t="shared" si="128"/>
        <v>0</v>
      </c>
      <c r="AX277" s="1182">
        <f t="shared" si="129"/>
        <v>0</v>
      </c>
      <c r="AY277" s="2881">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8">
        <f t="shared" si="151"/>
        <v>0</v>
      </c>
    </row>
    <row r="278" spans="1:72">
      <c r="A278" s="2833"/>
      <c r="B278" s="2834"/>
      <c r="C278" s="2834"/>
      <c r="D278" s="2835"/>
      <c r="E278" s="2836">
        <f t="shared" si="123"/>
        <v>0</v>
      </c>
      <c r="F278" s="2837"/>
      <c r="G278" s="2838">
        <f t="shared" si="124"/>
        <v>0</v>
      </c>
      <c r="H278" s="2839">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6">
        <f t="shared" si="126"/>
        <v>0</v>
      </c>
      <c r="AD278" s="2856"/>
      <c r="AE278" s="2856"/>
      <c r="AF278" s="2856"/>
      <c r="AG278" s="2856"/>
      <c r="AH278" s="2856"/>
      <c r="AI278" s="2856"/>
      <c r="AJ278" s="2856"/>
      <c r="AK278" s="2856"/>
      <c r="AL278" s="2856"/>
      <c r="AM278" s="2856"/>
      <c r="AN278" s="2856"/>
      <c r="AO278" s="2856"/>
      <c r="AP278" s="2856"/>
      <c r="AQ278" s="2856"/>
      <c r="AR278" s="2856"/>
      <c r="AS278" s="2856"/>
      <c r="AT278" s="2866"/>
      <c r="AU278" s="2867"/>
      <c r="AV278" s="1182">
        <f t="shared" si="127"/>
        <v>0</v>
      </c>
      <c r="AW278" s="1182">
        <f t="shared" si="128"/>
        <v>0</v>
      </c>
      <c r="AX278" s="1182">
        <f t="shared" si="129"/>
        <v>0</v>
      </c>
      <c r="AY278" s="2881">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8">
        <f t="shared" si="151"/>
        <v>0</v>
      </c>
    </row>
    <row r="279" spans="1:72">
      <c r="A279" s="2833"/>
      <c r="B279" s="2834"/>
      <c r="C279" s="2834"/>
      <c r="D279" s="2835"/>
      <c r="E279" s="2836">
        <f t="shared" si="123"/>
        <v>0</v>
      </c>
      <c r="F279" s="2837"/>
      <c r="G279" s="2838">
        <f t="shared" si="124"/>
        <v>0</v>
      </c>
      <c r="H279" s="2839">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6">
        <f t="shared" si="126"/>
        <v>0</v>
      </c>
      <c r="AD279" s="2856"/>
      <c r="AE279" s="2856"/>
      <c r="AF279" s="2856"/>
      <c r="AG279" s="2856"/>
      <c r="AH279" s="2856"/>
      <c r="AI279" s="2856"/>
      <c r="AJ279" s="2856"/>
      <c r="AK279" s="2856"/>
      <c r="AL279" s="2856"/>
      <c r="AM279" s="2856"/>
      <c r="AN279" s="2856"/>
      <c r="AO279" s="2856"/>
      <c r="AP279" s="2856"/>
      <c r="AQ279" s="2856"/>
      <c r="AR279" s="2856"/>
      <c r="AS279" s="2856"/>
      <c r="AT279" s="2866"/>
      <c r="AU279" s="2867"/>
      <c r="AV279" s="1182">
        <f t="shared" si="127"/>
        <v>0</v>
      </c>
      <c r="AW279" s="1182">
        <f t="shared" si="128"/>
        <v>0</v>
      </c>
      <c r="AX279" s="1182">
        <f t="shared" si="129"/>
        <v>0</v>
      </c>
      <c r="AY279" s="2881">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8">
        <f t="shared" si="151"/>
        <v>0</v>
      </c>
    </row>
    <row r="280" spans="1:72">
      <c r="A280" s="2833"/>
      <c r="B280" s="2834"/>
      <c r="C280" s="2834"/>
      <c r="D280" s="2835"/>
      <c r="E280" s="2836">
        <f t="shared" si="123"/>
        <v>0</v>
      </c>
      <c r="F280" s="2837"/>
      <c r="G280" s="2838">
        <f t="shared" si="124"/>
        <v>0</v>
      </c>
      <c r="H280" s="2839">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6">
        <f t="shared" si="126"/>
        <v>0</v>
      </c>
      <c r="AD280" s="2856"/>
      <c r="AE280" s="2856"/>
      <c r="AF280" s="2856"/>
      <c r="AG280" s="2856"/>
      <c r="AH280" s="2856"/>
      <c r="AI280" s="2856"/>
      <c r="AJ280" s="2856"/>
      <c r="AK280" s="2856"/>
      <c r="AL280" s="2856"/>
      <c r="AM280" s="2856"/>
      <c r="AN280" s="2856"/>
      <c r="AO280" s="2856"/>
      <c r="AP280" s="2856"/>
      <c r="AQ280" s="2856"/>
      <c r="AR280" s="2856"/>
      <c r="AS280" s="2856"/>
      <c r="AT280" s="2866"/>
      <c r="AU280" s="2867"/>
      <c r="AV280" s="1182">
        <f t="shared" si="127"/>
        <v>0</v>
      </c>
      <c r="AW280" s="1182">
        <f t="shared" si="128"/>
        <v>0</v>
      </c>
      <c r="AX280" s="1182">
        <f t="shared" si="129"/>
        <v>0</v>
      </c>
      <c r="AY280" s="2881">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8">
        <f t="shared" si="151"/>
        <v>0</v>
      </c>
    </row>
    <row r="281" spans="1:72">
      <c r="A281" s="2833"/>
      <c r="B281" s="2834"/>
      <c r="C281" s="2834"/>
      <c r="D281" s="2835"/>
      <c r="E281" s="2836">
        <f t="shared" si="123"/>
        <v>0</v>
      </c>
      <c r="F281" s="2837"/>
      <c r="G281" s="2838">
        <f t="shared" si="124"/>
        <v>0</v>
      </c>
      <c r="H281" s="2839">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6">
        <f t="shared" si="126"/>
        <v>0</v>
      </c>
      <c r="AD281" s="2856"/>
      <c r="AE281" s="2856"/>
      <c r="AF281" s="2856"/>
      <c r="AG281" s="2856"/>
      <c r="AH281" s="2856"/>
      <c r="AI281" s="2856"/>
      <c r="AJ281" s="2856"/>
      <c r="AK281" s="2856"/>
      <c r="AL281" s="2856"/>
      <c r="AM281" s="2856"/>
      <c r="AN281" s="2856"/>
      <c r="AO281" s="2856"/>
      <c r="AP281" s="2856"/>
      <c r="AQ281" s="2856"/>
      <c r="AR281" s="2856"/>
      <c r="AS281" s="2856"/>
      <c r="AT281" s="2866"/>
      <c r="AU281" s="2867"/>
      <c r="AV281" s="1182">
        <f t="shared" si="127"/>
        <v>0</v>
      </c>
      <c r="AW281" s="1182">
        <f t="shared" si="128"/>
        <v>0</v>
      </c>
      <c r="AX281" s="1182">
        <f t="shared" si="129"/>
        <v>0</v>
      </c>
      <c r="AY281" s="2881">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8">
        <f t="shared" si="151"/>
        <v>0</v>
      </c>
    </row>
    <row r="282" spans="1:72">
      <c r="A282" s="2833"/>
      <c r="B282" s="2834"/>
      <c r="C282" s="2834"/>
      <c r="D282" s="2835"/>
      <c r="E282" s="2836">
        <f t="shared" si="123"/>
        <v>0</v>
      </c>
      <c r="F282" s="2837"/>
      <c r="G282" s="2838">
        <f t="shared" si="124"/>
        <v>0</v>
      </c>
      <c r="H282" s="2839">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6">
        <f t="shared" si="126"/>
        <v>0</v>
      </c>
      <c r="AD282" s="2856"/>
      <c r="AE282" s="2856"/>
      <c r="AF282" s="2856"/>
      <c r="AG282" s="2856"/>
      <c r="AH282" s="2856"/>
      <c r="AI282" s="2856"/>
      <c r="AJ282" s="2856"/>
      <c r="AK282" s="2856"/>
      <c r="AL282" s="2856"/>
      <c r="AM282" s="2856"/>
      <c r="AN282" s="2856"/>
      <c r="AO282" s="2856"/>
      <c r="AP282" s="2856"/>
      <c r="AQ282" s="2856"/>
      <c r="AR282" s="2856"/>
      <c r="AS282" s="2856"/>
      <c r="AT282" s="2866"/>
      <c r="AU282" s="2867"/>
      <c r="AV282" s="1182">
        <f t="shared" si="127"/>
        <v>0</v>
      </c>
      <c r="AW282" s="1182">
        <f t="shared" si="128"/>
        <v>0</v>
      </c>
      <c r="AX282" s="1182">
        <f t="shared" si="129"/>
        <v>0</v>
      </c>
      <c r="AY282" s="2881">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8">
        <f t="shared" si="151"/>
        <v>0</v>
      </c>
    </row>
    <row r="283" spans="1:72">
      <c r="A283" s="2833"/>
      <c r="B283" s="2834"/>
      <c r="C283" s="2834"/>
      <c r="D283" s="2835"/>
      <c r="E283" s="2836">
        <f t="shared" si="123"/>
        <v>0</v>
      </c>
      <c r="F283" s="2837"/>
      <c r="G283" s="2838">
        <f t="shared" si="124"/>
        <v>0</v>
      </c>
      <c r="H283" s="2839">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6">
        <f t="shared" si="126"/>
        <v>0</v>
      </c>
      <c r="AD283" s="2856"/>
      <c r="AE283" s="2856"/>
      <c r="AF283" s="2856"/>
      <c r="AG283" s="2856"/>
      <c r="AH283" s="2856"/>
      <c r="AI283" s="2856"/>
      <c r="AJ283" s="2856"/>
      <c r="AK283" s="2856"/>
      <c r="AL283" s="2856"/>
      <c r="AM283" s="2856"/>
      <c r="AN283" s="2856"/>
      <c r="AO283" s="2856"/>
      <c r="AP283" s="2856"/>
      <c r="AQ283" s="2856"/>
      <c r="AR283" s="2856"/>
      <c r="AS283" s="2856"/>
      <c r="AT283" s="2866"/>
      <c r="AU283" s="2867"/>
      <c r="AV283" s="1182">
        <f t="shared" si="127"/>
        <v>0</v>
      </c>
      <c r="AW283" s="1182">
        <f t="shared" si="128"/>
        <v>0</v>
      </c>
      <c r="AX283" s="1182">
        <f t="shared" si="129"/>
        <v>0</v>
      </c>
      <c r="AY283" s="2881">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8">
        <f t="shared" si="151"/>
        <v>0</v>
      </c>
    </row>
    <row r="284" spans="1:72">
      <c r="A284" s="2833"/>
      <c r="B284" s="2834"/>
      <c r="C284" s="2834"/>
      <c r="D284" s="2835"/>
      <c r="E284" s="2836">
        <f t="shared" si="123"/>
        <v>0</v>
      </c>
      <c r="F284" s="2837"/>
      <c r="G284" s="2838">
        <f t="shared" si="124"/>
        <v>0</v>
      </c>
      <c r="H284" s="2839">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6">
        <f t="shared" si="126"/>
        <v>0</v>
      </c>
      <c r="AD284" s="2856"/>
      <c r="AE284" s="2856"/>
      <c r="AF284" s="2856"/>
      <c r="AG284" s="2856"/>
      <c r="AH284" s="2856"/>
      <c r="AI284" s="2856"/>
      <c r="AJ284" s="2856"/>
      <c r="AK284" s="2856"/>
      <c r="AL284" s="2856"/>
      <c r="AM284" s="2856"/>
      <c r="AN284" s="2856"/>
      <c r="AO284" s="2856"/>
      <c r="AP284" s="2856"/>
      <c r="AQ284" s="2856"/>
      <c r="AR284" s="2856"/>
      <c r="AS284" s="2856"/>
      <c r="AT284" s="2866"/>
      <c r="AU284" s="2867"/>
      <c r="AV284" s="1182">
        <f t="shared" si="127"/>
        <v>0</v>
      </c>
      <c r="AW284" s="1182">
        <f t="shared" si="128"/>
        <v>0</v>
      </c>
      <c r="AX284" s="1182">
        <f t="shared" si="129"/>
        <v>0</v>
      </c>
      <c r="AY284" s="2881">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8">
        <f t="shared" si="151"/>
        <v>0</v>
      </c>
    </row>
    <row r="285" spans="1:72">
      <c r="A285" s="2833"/>
      <c r="B285" s="2834"/>
      <c r="C285" s="2834"/>
      <c r="D285" s="2835"/>
      <c r="E285" s="2836">
        <f t="shared" si="123"/>
        <v>0</v>
      </c>
      <c r="F285" s="2837"/>
      <c r="G285" s="2838">
        <f t="shared" si="124"/>
        <v>0</v>
      </c>
      <c r="H285" s="2839">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6">
        <f t="shared" si="126"/>
        <v>0</v>
      </c>
      <c r="AD285" s="2856"/>
      <c r="AE285" s="2856"/>
      <c r="AF285" s="2856"/>
      <c r="AG285" s="2856"/>
      <c r="AH285" s="2856"/>
      <c r="AI285" s="2856"/>
      <c r="AJ285" s="2856"/>
      <c r="AK285" s="2856"/>
      <c r="AL285" s="2856"/>
      <c r="AM285" s="2856"/>
      <c r="AN285" s="2856"/>
      <c r="AO285" s="2856"/>
      <c r="AP285" s="2856"/>
      <c r="AQ285" s="2856"/>
      <c r="AR285" s="2856"/>
      <c r="AS285" s="2856"/>
      <c r="AT285" s="2866"/>
      <c r="AU285" s="2867"/>
      <c r="AV285" s="1182">
        <f t="shared" si="127"/>
        <v>0</v>
      </c>
      <c r="AW285" s="1182">
        <f t="shared" si="128"/>
        <v>0</v>
      </c>
      <c r="AX285" s="1182">
        <f t="shared" si="129"/>
        <v>0</v>
      </c>
      <c r="AY285" s="2881">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8">
        <f t="shared" si="151"/>
        <v>0</v>
      </c>
    </row>
    <row r="286" spans="1:72">
      <c r="A286" s="2833"/>
      <c r="B286" s="2834"/>
      <c r="C286" s="2834"/>
      <c r="D286" s="2835"/>
      <c r="E286" s="2836">
        <f t="shared" si="123"/>
        <v>0</v>
      </c>
      <c r="F286" s="2837"/>
      <c r="G286" s="2838">
        <f t="shared" si="124"/>
        <v>0</v>
      </c>
      <c r="H286" s="2839">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6">
        <f t="shared" si="126"/>
        <v>0</v>
      </c>
      <c r="AD286" s="2856"/>
      <c r="AE286" s="2856"/>
      <c r="AF286" s="2856"/>
      <c r="AG286" s="2856"/>
      <c r="AH286" s="2856"/>
      <c r="AI286" s="2856"/>
      <c r="AJ286" s="2856"/>
      <c r="AK286" s="2856"/>
      <c r="AL286" s="2856"/>
      <c r="AM286" s="2856"/>
      <c r="AN286" s="2856"/>
      <c r="AO286" s="2856"/>
      <c r="AP286" s="2856"/>
      <c r="AQ286" s="2856"/>
      <c r="AR286" s="2856"/>
      <c r="AS286" s="2856"/>
      <c r="AT286" s="2866"/>
      <c r="AU286" s="2867"/>
      <c r="AV286" s="1182">
        <f t="shared" si="127"/>
        <v>0</v>
      </c>
      <c r="AW286" s="1182">
        <f t="shared" si="128"/>
        <v>0</v>
      </c>
      <c r="AX286" s="1182">
        <f t="shared" si="129"/>
        <v>0</v>
      </c>
      <c r="AY286" s="2881">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8">
        <f t="shared" si="151"/>
        <v>0</v>
      </c>
    </row>
    <row r="287" spans="1:72">
      <c r="A287" s="2833"/>
      <c r="B287" s="2834"/>
      <c r="C287" s="2834"/>
      <c r="D287" s="2835"/>
      <c r="E287" s="2836">
        <f t="shared" si="123"/>
        <v>0</v>
      </c>
      <c r="F287" s="2837"/>
      <c r="G287" s="2838">
        <f t="shared" si="124"/>
        <v>0</v>
      </c>
      <c r="H287" s="2839">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6">
        <f t="shared" si="126"/>
        <v>0</v>
      </c>
      <c r="AD287" s="2856"/>
      <c r="AE287" s="2856"/>
      <c r="AF287" s="2856"/>
      <c r="AG287" s="2856"/>
      <c r="AH287" s="2856"/>
      <c r="AI287" s="2856"/>
      <c r="AJ287" s="2856"/>
      <c r="AK287" s="2856"/>
      <c r="AL287" s="2856"/>
      <c r="AM287" s="2856"/>
      <c r="AN287" s="2856"/>
      <c r="AO287" s="2856"/>
      <c r="AP287" s="2856"/>
      <c r="AQ287" s="2856"/>
      <c r="AR287" s="2856"/>
      <c r="AS287" s="2856"/>
      <c r="AT287" s="2866"/>
      <c r="AU287" s="2867"/>
      <c r="AV287" s="1182">
        <f t="shared" si="127"/>
        <v>0</v>
      </c>
      <c r="AW287" s="1182">
        <f t="shared" si="128"/>
        <v>0</v>
      </c>
      <c r="AX287" s="1182">
        <f t="shared" si="129"/>
        <v>0</v>
      </c>
      <c r="AY287" s="2881">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8">
        <f t="shared" si="151"/>
        <v>0</v>
      </c>
    </row>
    <row r="288" spans="1:72">
      <c r="A288" s="2833"/>
      <c r="B288" s="2834"/>
      <c r="C288" s="2834"/>
      <c r="D288" s="2835"/>
      <c r="E288" s="2836">
        <f t="shared" si="123"/>
        <v>0</v>
      </c>
      <c r="F288" s="2837"/>
      <c r="G288" s="2838">
        <f t="shared" si="124"/>
        <v>0</v>
      </c>
      <c r="H288" s="2839">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6">
        <f t="shared" si="126"/>
        <v>0</v>
      </c>
      <c r="AD288" s="2856"/>
      <c r="AE288" s="2856"/>
      <c r="AF288" s="2856"/>
      <c r="AG288" s="2856"/>
      <c r="AH288" s="2856"/>
      <c r="AI288" s="2856"/>
      <c r="AJ288" s="2856"/>
      <c r="AK288" s="2856"/>
      <c r="AL288" s="2856"/>
      <c r="AM288" s="2856"/>
      <c r="AN288" s="2856"/>
      <c r="AO288" s="2856"/>
      <c r="AP288" s="2856"/>
      <c r="AQ288" s="2856"/>
      <c r="AR288" s="2856"/>
      <c r="AS288" s="2856"/>
      <c r="AT288" s="2866"/>
      <c r="AU288" s="2867"/>
      <c r="AV288" s="1182">
        <f t="shared" si="127"/>
        <v>0</v>
      </c>
      <c r="AW288" s="1182">
        <f t="shared" si="128"/>
        <v>0</v>
      </c>
      <c r="AX288" s="1182">
        <f t="shared" si="129"/>
        <v>0</v>
      </c>
      <c r="AY288" s="2881">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8">
        <f t="shared" si="151"/>
        <v>0</v>
      </c>
    </row>
    <row r="289" spans="1:72">
      <c r="A289" s="2833"/>
      <c r="B289" s="2834"/>
      <c r="C289" s="2834"/>
      <c r="D289" s="2835"/>
      <c r="E289" s="2836">
        <f t="shared" si="123"/>
        <v>0</v>
      </c>
      <c r="F289" s="2837"/>
      <c r="G289" s="2838">
        <f t="shared" si="124"/>
        <v>0</v>
      </c>
      <c r="H289" s="2839">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6">
        <f t="shared" si="126"/>
        <v>0</v>
      </c>
      <c r="AD289" s="2856"/>
      <c r="AE289" s="2856"/>
      <c r="AF289" s="2856"/>
      <c r="AG289" s="2856"/>
      <c r="AH289" s="2856"/>
      <c r="AI289" s="2856"/>
      <c r="AJ289" s="2856"/>
      <c r="AK289" s="2856"/>
      <c r="AL289" s="2856"/>
      <c r="AM289" s="2856"/>
      <c r="AN289" s="2856"/>
      <c r="AO289" s="2856"/>
      <c r="AP289" s="2856"/>
      <c r="AQ289" s="2856"/>
      <c r="AR289" s="2856"/>
      <c r="AS289" s="2856"/>
      <c r="AT289" s="2866"/>
      <c r="AU289" s="2867"/>
      <c r="AV289" s="1182">
        <f t="shared" si="127"/>
        <v>0</v>
      </c>
      <c r="AW289" s="1182">
        <f t="shared" si="128"/>
        <v>0</v>
      </c>
      <c r="AX289" s="1182">
        <f t="shared" si="129"/>
        <v>0</v>
      </c>
      <c r="AY289" s="2881">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8">
        <f t="shared" si="151"/>
        <v>0</v>
      </c>
    </row>
    <row r="290" spans="1:72">
      <c r="A290" s="2833"/>
      <c r="B290" s="2834"/>
      <c r="C290" s="2834"/>
      <c r="D290" s="2835"/>
      <c r="E290" s="2836">
        <f t="shared" si="123"/>
        <v>0</v>
      </c>
      <c r="F290" s="2837"/>
      <c r="G290" s="2838">
        <f t="shared" si="124"/>
        <v>0</v>
      </c>
      <c r="H290" s="2839">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6">
        <f t="shared" si="126"/>
        <v>0</v>
      </c>
      <c r="AD290" s="2856"/>
      <c r="AE290" s="2856"/>
      <c r="AF290" s="2856"/>
      <c r="AG290" s="2856"/>
      <c r="AH290" s="2856"/>
      <c r="AI290" s="2856"/>
      <c r="AJ290" s="2856"/>
      <c r="AK290" s="2856"/>
      <c r="AL290" s="2856"/>
      <c r="AM290" s="2856"/>
      <c r="AN290" s="2856"/>
      <c r="AO290" s="2856"/>
      <c r="AP290" s="2856"/>
      <c r="AQ290" s="2856"/>
      <c r="AR290" s="2856"/>
      <c r="AS290" s="2856"/>
      <c r="AT290" s="2866"/>
      <c r="AU290" s="2867"/>
      <c r="AV290" s="1182">
        <f t="shared" si="127"/>
        <v>0</v>
      </c>
      <c r="AW290" s="1182">
        <f t="shared" si="128"/>
        <v>0</v>
      </c>
      <c r="AX290" s="1182">
        <f t="shared" si="129"/>
        <v>0</v>
      </c>
      <c r="AY290" s="2881">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8">
        <f t="shared" si="151"/>
        <v>0</v>
      </c>
    </row>
    <row r="291" spans="1:72">
      <c r="A291" s="2833"/>
      <c r="B291" s="2834"/>
      <c r="C291" s="2834"/>
      <c r="D291" s="2835"/>
      <c r="E291" s="2836">
        <f t="shared" si="123"/>
        <v>0</v>
      </c>
      <c r="F291" s="2837"/>
      <c r="G291" s="2838">
        <f t="shared" si="124"/>
        <v>0</v>
      </c>
      <c r="H291" s="2839">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6">
        <f t="shared" si="126"/>
        <v>0</v>
      </c>
      <c r="AD291" s="2856"/>
      <c r="AE291" s="2856"/>
      <c r="AF291" s="2856"/>
      <c r="AG291" s="2856"/>
      <c r="AH291" s="2856"/>
      <c r="AI291" s="2856"/>
      <c r="AJ291" s="2856"/>
      <c r="AK291" s="2856"/>
      <c r="AL291" s="2856"/>
      <c r="AM291" s="2856"/>
      <c r="AN291" s="2856"/>
      <c r="AO291" s="2856"/>
      <c r="AP291" s="2856"/>
      <c r="AQ291" s="2856"/>
      <c r="AR291" s="2856"/>
      <c r="AS291" s="2856"/>
      <c r="AT291" s="2866"/>
      <c r="AU291" s="2867"/>
      <c r="AV291" s="1182">
        <f t="shared" si="127"/>
        <v>0</v>
      </c>
      <c r="AW291" s="1182">
        <f t="shared" si="128"/>
        <v>0</v>
      </c>
      <c r="AX291" s="1182">
        <f t="shared" si="129"/>
        <v>0</v>
      </c>
      <c r="AY291" s="2881">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8">
        <f t="shared" si="151"/>
        <v>0</v>
      </c>
    </row>
    <row r="292" spans="1:72">
      <c r="A292" s="2833"/>
      <c r="B292" s="2834"/>
      <c r="C292" s="2834"/>
      <c r="D292" s="2835"/>
      <c r="E292" s="2836">
        <f t="shared" si="123"/>
        <v>0</v>
      </c>
      <c r="F292" s="2837"/>
      <c r="G292" s="2838">
        <f t="shared" si="124"/>
        <v>0</v>
      </c>
      <c r="H292" s="2839">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6">
        <f t="shared" si="126"/>
        <v>0</v>
      </c>
      <c r="AD292" s="2856"/>
      <c r="AE292" s="2856"/>
      <c r="AF292" s="2856"/>
      <c r="AG292" s="2856"/>
      <c r="AH292" s="2856"/>
      <c r="AI292" s="2856"/>
      <c r="AJ292" s="2856"/>
      <c r="AK292" s="2856"/>
      <c r="AL292" s="2856"/>
      <c r="AM292" s="2856"/>
      <c r="AN292" s="2856"/>
      <c r="AO292" s="2856"/>
      <c r="AP292" s="2856"/>
      <c r="AQ292" s="2856"/>
      <c r="AR292" s="2856"/>
      <c r="AS292" s="2856"/>
      <c r="AT292" s="2866"/>
      <c r="AU292" s="2867"/>
      <c r="AV292" s="1182">
        <f t="shared" si="127"/>
        <v>0</v>
      </c>
      <c r="AW292" s="1182">
        <f t="shared" si="128"/>
        <v>0</v>
      </c>
      <c r="AX292" s="1182">
        <f t="shared" si="129"/>
        <v>0</v>
      </c>
      <c r="AY292" s="2881">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8">
        <f t="shared" si="151"/>
        <v>0</v>
      </c>
    </row>
    <row r="293" spans="1:72">
      <c r="A293" s="2833"/>
      <c r="B293" s="2834"/>
      <c r="C293" s="2834"/>
      <c r="D293" s="2835"/>
      <c r="E293" s="2836">
        <f t="shared" si="123"/>
        <v>0</v>
      </c>
      <c r="F293" s="2837"/>
      <c r="G293" s="2838">
        <f t="shared" si="124"/>
        <v>0</v>
      </c>
      <c r="H293" s="2839">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6">
        <f t="shared" si="126"/>
        <v>0</v>
      </c>
      <c r="AD293" s="2856"/>
      <c r="AE293" s="2856"/>
      <c r="AF293" s="2856"/>
      <c r="AG293" s="2856"/>
      <c r="AH293" s="2856"/>
      <c r="AI293" s="2856"/>
      <c r="AJ293" s="2856"/>
      <c r="AK293" s="2856"/>
      <c r="AL293" s="2856"/>
      <c r="AM293" s="2856"/>
      <c r="AN293" s="2856"/>
      <c r="AO293" s="2856"/>
      <c r="AP293" s="2856"/>
      <c r="AQ293" s="2856"/>
      <c r="AR293" s="2856"/>
      <c r="AS293" s="2856"/>
      <c r="AT293" s="2866"/>
      <c r="AU293" s="2867"/>
      <c r="AV293" s="1182">
        <f t="shared" si="127"/>
        <v>0</v>
      </c>
      <c r="AW293" s="1182">
        <f t="shared" si="128"/>
        <v>0</v>
      </c>
      <c r="AX293" s="1182">
        <f t="shared" si="129"/>
        <v>0</v>
      </c>
      <c r="AY293" s="2881">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8">
        <f t="shared" si="151"/>
        <v>0</v>
      </c>
    </row>
    <row r="294" spans="1:72">
      <c r="A294" s="2833"/>
      <c r="B294" s="2834"/>
      <c r="C294" s="2834"/>
      <c r="D294" s="2835"/>
      <c r="E294" s="2836">
        <f t="shared" si="123"/>
        <v>0</v>
      </c>
      <c r="F294" s="2837"/>
      <c r="G294" s="2838">
        <f t="shared" si="124"/>
        <v>0</v>
      </c>
      <c r="H294" s="2839">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6">
        <f t="shared" si="126"/>
        <v>0</v>
      </c>
      <c r="AD294" s="2856"/>
      <c r="AE294" s="2856"/>
      <c r="AF294" s="2856"/>
      <c r="AG294" s="2856"/>
      <c r="AH294" s="2856"/>
      <c r="AI294" s="2856"/>
      <c r="AJ294" s="2856"/>
      <c r="AK294" s="2856"/>
      <c r="AL294" s="2856"/>
      <c r="AM294" s="2856"/>
      <c r="AN294" s="2856"/>
      <c r="AO294" s="2856"/>
      <c r="AP294" s="2856"/>
      <c r="AQ294" s="2856"/>
      <c r="AR294" s="2856"/>
      <c r="AS294" s="2856"/>
      <c r="AT294" s="2866"/>
      <c r="AU294" s="2867"/>
      <c r="AV294" s="1182">
        <f t="shared" si="127"/>
        <v>0</v>
      </c>
      <c r="AW294" s="1182">
        <f t="shared" si="128"/>
        <v>0</v>
      </c>
      <c r="AX294" s="1182">
        <f t="shared" si="129"/>
        <v>0</v>
      </c>
      <c r="AY294" s="2881">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8">
        <f t="shared" si="151"/>
        <v>0</v>
      </c>
    </row>
    <row r="295" spans="1:72">
      <c r="A295" s="2833"/>
      <c r="B295" s="2834"/>
      <c r="C295" s="2834"/>
      <c r="D295" s="2835"/>
      <c r="E295" s="2836">
        <f t="shared" si="123"/>
        <v>0</v>
      </c>
      <c r="F295" s="2837"/>
      <c r="G295" s="2838">
        <f t="shared" si="124"/>
        <v>0</v>
      </c>
      <c r="H295" s="2839">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6">
        <f t="shared" si="126"/>
        <v>0</v>
      </c>
      <c r="AD295" s="2856"/>
      <c r="AE295" s="2856"/>
      <c r="AF295" s="2856"/>
      <c r="AG295" s="2856"/>
      <c r="AH295" s="2856"/>
      <c r="AI295" s="2856"/>
      <c r="AJ295" s="2856"/>
      <c r="AK295" s="2856"/>
      <c r="AL295" s="2856"/>
      <c r="AM295" s="2856"/>
      <c r="AN295" s="2856"/>
      <c r="AO295" s="2856"/>
      <c r="AP295" s="2856"/>
      <c r="AQ295" s="2856"/>
      <c r="AR295" s="2856"/>
      <c r="AS295" s="2856"/>
      <c r="AT295" s="2866"/>
      <c r="AU295" s="2867"/>
      <c r="AV295" s="1182">
        <f t="shared" si="127"/>
        <v>0</v>
      </c>
      <c r="AW295" s="1182">
        <f t="shared" si="128"/>
        <v>0</v>
      </c>
      <c r="AX295" s="1182">
        <f t="shared" si="129"/>
        <v>0</v>
      </c>
      <c r="AY295" s="2881">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8">
        <f t="shared" si="151"/>
        <v>0</v>
      </c>
    </row>
    <row r="296" spans="1:72">
      <c r="A296" s="2833"/>
      <c r="B296" s="2834"/>
      <c r="C296" s="2834"/>
      <c r="D296" s="2835"/>
      <c r="E296" s="2836">
        <f t="shared" si="123"/>
        <v>0</v>
      </c>
      <c r="F296" s="2837"/>
      <c r="G296" s="2838">
        <f t="shared" si="124"/>
        <v>0</v>
      </c>
      <c r="H296" s="2839">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6">
        <f t="shared" si="126"/>
        <v>0</v>
      </c>
      <c r="AD296" s="2856"/>
      <c r="AE296" s="2856"/>
      <c r="AF296" s="2856"/>
      <c r="AG296" s="2856"/>
      <c r="AH296" s="2856"/>
      <c r="AI296" s="2856"/>
      <c r="AJ296" s="2856"/>
      <c r="AK296" s="2856"/>
      <c r="AL296" s="2856"/>
      <c r="AM296" s="2856"/>
      <c r="AN296" s="2856"/>
      <c r="AO296" s="2856"/>
      <c r="AP296" s="2856"/>
      <c r="AQ296" s="2856"/>
      <c r="AR296" s="2856"/>
      <c r="AS296" s="2856"/>
      <c r="AT296" s="2866"/>
      <c r="AU296" s="2867"/>
      <c r="AV296" s="1182">
        <f t="shared" si="127"/>
        <v>0</v>
      </c>
      <c r="AW296" s="1182">
        <f t="shared" si="128"/>
        <v>0</v>
      </c>
      <c r="AX296" s="1182">
        <f t="shared" si="129"/>
        <v>0</v>
      </c>
      <c r="AY296" s="2881">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8">
        <f t="shared" si="151"/>
        <v>0</v>
      </c>
    </row>
    <row r="297" spans="1:72">
      <c r="A297" s="2833"/>
      <c r="B297" s="2834"/>
      <c r="C297" s="2834"/>
      <c r="D297" s="2835"/>
      <c r="E297" s="2836">
        <f t="shared" si="123"/>
        <v>0</v>
      </c>
      <c r="F297" s="2837"/>
      <c r="G297" s="2838">
        <f t="shared" si="124"/>
        <v>0</v>
      </c>
      <c r="H297" s="2839">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6">
        <f t="shared" si="126"/>
        <v>0</v>
      </c>
      <c r="AD297" s="2856"/>
      <c r="AE297" s="2856"/>
      <c r="AF297" s="2856"/>
      <c r="AG297" s="2856"/>
      <c r="AH297" s="2856"/>
      <c r="AI297" s="2856"/>
      <c r="AJ297" s="2856"/>
      <c r="AK297" s="2856"/>
      <c r="AL297" s="2856"/>
      <c r="AM297" s="2856"/>
      <c r="AN297" s="2856"/>
      <c r="AO297" s="2856"/>
      <c r="AP297" s="2856"/>
      <c r="AQ297" s="2856"/>
      <c r="AR297" s="2856"/>
      <c r="AS297" s="2856"/>
      <c r="AT297" s="2866"/>
      <c r="AU297" s="2867"/>
      <c r="AV297" s="1182">
        <f t="shared" si="127"/>
        <v>0</v>
      </c>
      <c r="AW297" s="1182">
        <f t="shared" si="128"/>
        <v>0</v>
      </c>
      <c r="AX297" s="1182">
        <f t="shared" si="129"/>
        <v>0</v>
      </c>
      <c r="AY297" s="2881">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8">
        <f t="shared" si="151"/>
        <v>0</v>
      </c>
    </row>
    <row r="298" spans="1:72">
      <c r="A298" s="2833"/>
      <c r="B298" s="2834"/>
      <c r="C298" s="2834"/>
      <c r="D298" s="2835"/>
      <c r="E298" s="2836">
        <f t="shared" si="123"/>
        <v>0</v>
      </c>
      <c r="F298" s="2837"/>
      <c r="G298" s="2838">
        <f t="shared" si="124"/>
        <v>0</v>
      </c>
      <c r="H298" s="2839">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6">
        <f t="shared" si="126"/>
        <v>0</v>
      </c>
      <c r="AD298" s="2856"/>
      <c r="AE298" s="2856"/>
      <c r="AF298" s="2856"/>
      <c r="AG298" s="2856"/>
      <c r="AH298" s="2856"/>
      <c r="AI298" s="2856"/>
      <c r="AJ298" s="2856"/>
      <c r="AK298" s="2856"/>
      <c r="AL298" s="2856"/>
      <c r="AM298" s="2856"/>
      <c r="AN298" s="2856"/>
      <c r="AO298" s="2856"/>
      <c r="AP298" s="2856"/>
      <c r="AQ298" s="2856"/>
      <c r="AR298" s="2856"/>
      <c r="AS298" s="2856"/>
      <c r="AT298" s="2866"/>
      <c r="AU298" s="2867"/>
      <c r="AV298" s="1182">
        <f t="shared" si="127"/>
        <v>0</v>
      </c>
      <c r="AW298" s="1182">
        <f t="shared" si="128"/>
        <v>0</v>
      </c>
      <c r="AX298" s="1182">
        <f t="shared" si="129"/>
        <v>0</v>
      </c>
      <c r="AY298" s="2881">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8">
        <f t="shared" si="151"/>
        <v>0</v>
      </c>
    </row>
    <row r="299" spans="1:72">
      <c r="A299" s="2833"/>
      <c r="B299" s="2834"/>
      <c r="C299" s="2834"/>
      <c r="D299" s="2835"/>
      <c r="E299" s="2836">
        <f t="shared" si="123"/>
        <v>0</v>
      </c>
      <c r="F299" s="2837"/>
      <c r="G299" s="2838">
        <f t="shared" si="124"/>
        <v>0</v>
      </c>
      <c r="H299" s="2839">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6">
        <f t="shared" si="126"/>
        <v>0</v>
      </c>
      <c r="AD299" s="2856"/>
      <c r="AE299" s="2856"/>
      <c r="AF299" s="2856"/>
      <c r="AG299" s="2856"/>
      <c r="AH299" s="2856"/>
      <c r="AI299" s="2856"/>
      <c r="AJ299" s="2856"/>
      <c r="AK299" s="2856"/>
      <c r="AL299" s="2856"/>
      <c r="AM299" s="2856"/>
      <c r="AN299" s="2856"/>
      <c r="AO299" s="2856"/>
      <c r="AP299" s="2856"/>
      <c r="AQ299" s="2856"/>
      <c r="AR299" s="2856"/>
      <c r="AS299" s="2856"/>
      <c r="AT299" s="2866"/>
      <c r="AU299" s="2867"/>
      <c r="AV299" s="1182">
        <f t="shared" si="127"/>
        <v>0</v>
      </c>
      <c r="AW299" s="1182">
        <f t="shared" si="128"/>
        <v>0</v>
      </c>
      <c r="AX299" s="1182">
        <f t="shared" si="129"/>
        <v>0</v>
      </c>
      <c r="AY299" s="2881">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8">
        <f t="shared" si="151"/>
        <v>0</v>
      </c>
    </row>
    <row r="300" spans="1:72">
      <c r="A300" s="2833"/>
      <c r="B300" s="2833"/>
      <c r="C300" s="2833"/>
      <c r="D300" s="2835"/>
      <c r="E300" s="2836">
        <f t="shared" si="123"/>
        <v>0</v>
      </c>
      <c r="F300" s="2889"/>
      <c r="G300" s="2838">
        <f t="shared" ref="G300:G331" si="152">H300+AC300+AT300</f>
        <v>0</v>
      </c>
      <c r="H300" s="2839">
        <f t="shared" ref="H300:H331" si="153">SUMIF(I$12:AB$12,"总值",I300:AB300)</f>
        <v>0</v>
      </c>
      <c r="I300" s="2890"/>
      <c r="J300" s="2890"/>
      <c r="K300" s="2846"/>
      <c r="L300" s="2846"/>
      <c r="M300" s="2846"/>
      <c r="N300" s="2846"/>
      <c r="O300" s="2846"/>
      <c r="P300" s="2846"/>
      <c r="Q300" s="2846"/>
      <c r="R300" s="2846"/>
      <c r="S300" s="2846"/>
      <c r="T300" s="2846"/>
      <c r="U300" s="2846"/>
      <c r="V300" s="2846"/>
      <c r="W300" s="2846"/>
      <c r="X300" s="2846"/>
      <c r="Y300" s="2846"/>
      <c r="Z300" s="2846"/>
      <c r="AA300" s="2846"/>
      <c r="AB300" s="2846"/>
      <c r="AC300" s="2836">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2891"/>
      <c r="AV300" s="1182">
        <f t="shared" si="127"/>
        <v>0</v>
      </c>
      <c r="AW300" s="1182">
        <f t="shared" si="128"/>
        <v>0</v>
      </c>
      <c r="AX300" s="1182">
        <f t="shared" si="129"/>
        <v>0</v>
      </c>
      <c r="AY300" s="2881">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8">
        <f t="shared" ref="BT300:BT331" si="176">IF($D300="是",AR300-AS300,0)</f>
        <v>0</v>
      </c>
    </row>
    <row r="301" spans="1:72">
      <c r="A301" s="2833"/>
      <c r="B301" s="2833"/>
      <c r="C301" s="2833"/>
      <c r="D301" s="2835"/>
      <c r="E301" s="2836">
        <f t="shared" si="123"/>
        <v>0</v>
      </c>
      <c r="F301" s="2889"/>
      <c r="G301" s="2838">
        <f t="shared" si="152"/>
        <v>0</v>
      </c>
      <c r="H301" s="2839">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6">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2891"/>
      <c r="AV301" s="1182">
        <f t="shared" si="127"/>
        <v>0</v>
      </c>
      <c r="AW301" s="1182">
        <f t="shared" si="128"/>
        <v>0</v>
      </c>
      <c r="AX301" s="1182">
        <f t="shared" si="129"/>
        <v>0</v>
      </c>
      <c r="AY301" s="2881">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8">
        <f t="shared" si="176"/>
        <v>0</v>
      </c>
    </row>
    <row r="302" spans="1:72">
      <c r="A302" s="2833"/>
      <c r="B302" s="2833"/>
      <c r="C302" s="2833"/>
      <c r="D302" s="2835"/>
      <c r="E302" s="2836">
        <f t="shared" si="123"/>
        <v>0</v>
      </c>
      <c r="F302" s="2889"/>
      <c r="G302" s="2838">
        <f t="shared" si="152"/>
        <v>0</v>
      </c>
      <c r="H302" s="2839">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6">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2891"/>
      <c r="AV302" s="1182">
        <f t="shared" si="127"/>
        <v>0</v>
      </c>
      <c r="AW302" s="1182">
        <f t="shared" si="128"/>
        <v>0</v>
      </c>
      <c r="AX302" s="1182">
        <f t="shared" si="129"/>
        <v>0</v>
      </c>
      <c r="AY302" s="2881">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8">
        <f t="shared" si="176"/>
        <v>0</v>
      </c>
    </row>
    <row r="303" spans="1:72">
      <c r="A303" s="2833"/>
      <c r="B303" s="2834"/>
      <c r="C303" s="2834"/>
      <c r="D303" s="2835"/>
      <c r="E303" s="2836">
        <f t="shared" ref="E303:E334" si="177">IF($C$3="是",ROUND($A$3*G303/$B$3,2),ROUND($A$3*(G303-AT303)/$B$3,2))</f>
        <v>0</v>
      </c>
      <c r="F303" s="2837"/>
      <c r="G303" s="2838">
        <f t="shared" si="152"/>
        <v>0</v>
      </c>
      <c r="H303" s="2839">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6">
        <f t="shared" si="154"/>
        <v>0</v>
      </c>
      <c r="AD303" s="2856"/>
      <c r="AE303" s="2856"/>
      <c r="AF303" s="2856"/>
      <c r="AG303" s="2856"/>
      <c r="AH303" s="2856"/>
      <c r="AI303" s="2856"/>
      <c r="AJ303" s="2856"/>
      <c r="AK303" s="2856"/>
      <c r="AL303" s="2856"/>
      <c r="AM303" s="2856"/>
      <c r="AN303" s="2856"/>
      <c r="AO303" s="2856"/>
      <c r="AP303" s="2856"/>
      <c r="AQ303" s="2856"/>
      <c r="AR303" s="2856"/>
      <c r="AS303" s="2856"/>
      <c r="AT303" s="2866"/>
      <c r="AU303" s="2867"/>
      <c r="AV303" s="1182">
        <f t="shared" ref="AV303:AV334" si="178">A303</f>
        <v>0</v>
      </c>
      <c r="AW303" s="1182">
        <f t="shared" ref="AW303:AW334" si="179">B303</f>
        <v>0</v>
      </c>
      <c r="AX303" s="1182">
        <f t="shared" ref="AX303:AX334" si="180">C303</f>
        <v>0</v>
      </c>
      <c r="AY303" s="2881">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8">
        <f t="shared" si="176"/>
        <v>0</v>
      </c>
    </row>
    <row r="304" spans="1:72">
      <c r="A304" s="2833"/>
      <c r="B304" s="2834"/>
      <c r="C304" s="2834"/>
      <c r="D304" s="2835"/>
      <c r="E304" s="2836">
        <f t="shared" si="177"/>
        <v>0</v>
      </c>
      <c r="F304" s="2837"/>
      <c r="G304" s="2838">
        <f t="shared" si="152"/>
        <v>0</v>
      </c>
      <c r="H304" s="2839">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6">
        <f t="shared" si="154"/>
        <v>0</v>
      </c>
      <c r="AD304" s="2856"/>
      <c r="AE304" s="2856"/>
      <c r="AF304" s="2856"/>
      <c r="AG304" s="2856"/>
      <c r="AH304" s="2856"/>
      <c r="AI304" s="2856"/>
      <c r="AJ304" s="2856"/>
      <c r="AK304" s="2856"/>
      <c r="AL304" s="2856"/>
      <c r="AM304" s="2856"/>
      <c r="AN304" s="2856"/>
      <c r="AO304" s="2856"/>
      <c r="AP304" s="2856"/>
      <c r="AQ304" s="2856"/>
      <c r="AR304" s="2856"/>
      <c r="AS304" s="2856"/>
      <c r="AT304" s="2866"/>
      <c r="AU304" s="2867"/>
      <c r="AV304" s="1182">
        <f t="shared" si="178"/>
        <v>0</v>
      </c>
      <c r="AW304" s="1182">
        <f t="shared" si="179"/>
        <v>0</v>
      </c>
      <c r="AX304" s="1182">
        <f t="shared" si="180"/>
        <v>0</v>
      </c>
      <c r="AY304" s="2881">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8">
        <f t="shared" si="176"/>
        <v>0</v>
      </c>
    </row>
    <row r="305" spans="1:72">
      <c r="A305" s="2833"/>
      <c r="B305" s="2834"/>
      <c r="C305" s="2834"/>
      <c r="D305" s="2835"/>
      <c r="E305" s="2836">
        <f t="shared" si="177"/>
        <v>0</v>
      </c>
      <c r="F305" s="2837"/>
      <c r="G305" s="2838">
        <f t="shared" si="152"/>
        <v>0</v>
      </c>
      <c r="H305" s="2839">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6">
        <f t="shared" si="154"/>
        <v>0</v>
      </c>
      <c r="AD305" s="2856"/>
      <c r="AE305" s="2856"/>
      <c r="AF305" s="2856"/>
      <c r="AG305" s="2856"/>
      <c r="AH305" s="2856"/>
      <c r="AI305" s="2856"/>
      <c r="AJ305" s="2856"/>
      <c r="AK305" s="2856"/>
      <c r="AL305" s="2856"/>
      <c r="AM305" s="2856"/>
      <c r="AN305" s="2856"/>
      <c r="AO305" s="2856"/>
      <c r="AP305" s="2856"/>
      <c r="AQ305" s="2856"/>
      <c r="AR305" s="2856"/>
      <c r="AS305" s="2856"/>
      <c r="AT305" s="2866"/>
      <c r="AU305" s="2867"/>
      <c r="AV305" s="1182">
        <f t="shared" si="178"/>
        <v>0</v>
      </c>
      <c r="AW305" s="1182">
        <f t="shared" si="179"/>
        <v>0</v>
      </c>
      <c r="AX305" s="1182">
        <f t="shared" si="180"/>
        <v>0</v>
      </c>
      <c r="AY305" s="2881">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8">
        <f t="shared" si="176"/>
        <v>0</v>
      </c>
    </row>
    <row r="306" spans="1:72">
      <c r="A306" s="2833"/>
      <c r="B306" s="2834"/>
      <c r="C306" s="2834"/>
      <c r="D306" s="2835"/>
      <c r="E306" s="2836">
        <f t="shared" si="177"/>
        <v>0</v>
      </c>
      <c r="F306" s="2837"/>
      <c r="G306" s="2838">
        <f t="shared" si="152"/>
        <v>0</v>
      </c>
      <c r="H306" s="2839">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6">
        <f t="shared" si="154"/>
        <v>0</v>
      </c>
      <c r="AD306" s="2856"/>
      <c r="AE306" s="2856"/>
      <c r="AF306" s="2856"/>
      <c r="AG306" s="2856"/>
      <c r="AH306" s="2856"/>
      <c r="AI306" s="2856"/>
      <c r="AJ306" s="2856"/>
      <c r="AK306" s="2856"/>
      <c r="AL306" s="2856"/>
      <c r="AM306" s="2856"/>
      <c r="AN306" s="2856"/>
      <c r="AO306" s="2856"/>
      <c r="AP306" s="2856"/>
      <c r="AQ306" s="2856"/>
      <c r="AR306" s="2856"/>
      <c r="AS306" s="2856"/>
      <c r="AT306" s="2866"/>
      <c r="AU306" s="2867"/>
      <c r="AV306" s="1182">
        <f t="shared" si="178"/>
        <v>0</v>
      </c>
      <c r="AW306" s="1182">
        <f t="shared" si="179"/>
        <v>0</v>
      </c>
      <c r="AX306" s="1182">
        <f t="shared" si="180"/>
        <v>0</v>
      </c>
      <c r="AY306" s="2881">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8">
        <f t="shared" si="176"/>
        <v>0</v>
      </c>
    </row>
    <row r="307" spans="1:72">
      <c r="A307" s="2833"/>
      <c r="B307" s="2834"/>
      <c r="C307" s="2834"/>
      <c r="D307" s="2835"/>
      <c r="E307" s="2836">
        <f t="shared" si="177"/>
        <v>0</v>
      </c>
      <c r="F307" s="2837"/>
      <c r="G307" s="2838">
        <f t="shared" si="152"/>
        <v>0</v>
      </c>
      <c r="H307" s="2839">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6">
        <f t="shared" si="154"/>
        <v>0</v>
      </c>
      <c r="AD307" s="2856"/>
      <c r="AE307" s="2856"/>
      <c r="AF307" s="2856"/>
      <c r="AG307" s="2856"/>
      <c r="AH307" s="2856"/>
      <c r="AI307" s="2856"/>
      <c r="AJ307" s="2856"/>
      <c r="AK307" s="2856"/>
      <c r="AL307" s="2856"/>
      <c r="AM307" s="2856"/>
      <c r="AN307" s="2856"/>
      <c r="AO307" s="2856"/>
      <c r="AP307" s="2856"/>
      <c r="AQ307" s="2856"/>
      <c r="AR307" s="2856"/>
      <c r="AS307" s="2856"/>
      <c r="AT307" s="2866"/>
      <c r="AU307" s="2867"/>
      <c r="AV307" s="1182">
        <f t="shared" si="178"/>
        <v>0</v>
      </c>
      <c r="AW307" s="1182">
        <f t="shared" si="179"/>
        <v>0</v>
      </c>
      <c r="AX307" s="1182">
        <f t="shared" si="180"/>
        <v>0</v>
      </c>
      <c r="AY307" s="2881">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8">
        <f t="shared" si="176"/>
        <v>0</v>
      </c>
    </row>
    <row r="308" spans="1:72">
      <c r="A308" s="2833"/>
      <c r="B308" s="2834"/>
      <c r="C308" s="2834"/>
      <c r="D308" s="2835"/>
      <c r="E308" s="2836">
        <f t="shared" si="177"/>
        <v>0</v>
      </c>
      <c r="F308" s="2837"/>
      <c r="G308" s="2838">
        <f t="shared" si="152"/>
        <v>0</v>
      </c>
      <c r="H308" s="2839">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6">
        <f t="shared" si="154"/>
        <v>0</v>
      </c>
      <c r="AD308" s="2856"/>
      <c r="AE308" s="2856"/>
      <c r="AF308" s="2856"/>
      <c r="AG308" s="2856"/>
      <c r="AH308" s="2856"/>
      <c r="AI308" s="2856"/>
      <c r="AJ308" s="2856"/>
      <c r="AK308" s="2856"/>
      <c r="AL308" s="2856"/>
      <c r="AM308" s="2856"/>
      <c r="AN308" s="2856"/>
      <c r="AO308" s="2856"/>
      <c r="AP308" s="2856"/>
      <c r="AQ308" s="2856"/>
      <c r="AR308" s="2856"/>
      <c r="AS308" s="2856"/>
      <c r="AT308" s="2866"/>
      <c r="AU308" s="2867"/>
      <c r="AV308" s="1182">
        <f t="shared" si="178"/>
        <v>0</v>
      </c>
      <c r="AW308" s="1182">
        <f t="shared" si="179"/>
        <v>0</v>
      </c>
      <c r="AX308" s="1182">
        <f t="shared" si="180"/>
        <v>0</v>
      </c>
      <c r="AY308" s="2881">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8">
        <f t="shared" si="176"/>
        <v>0</v>
      </c>
    </row>
    <row r="309" spans="1:72">
      <c r="A309" s="2833"/>
      <c r="B309" s="2834"/>
      <c r="C309" s="2834"/>
      <c r="D309" s="2835"/>
      <c r="E309" s="2836">
        <f t="shared" si="177"/>
        <v>0</v>
      </c>
      <c r="F309" s="2837"/>
      <c r="G309" s="2838">
        <f t="shared" si="152"/>
        <v>0</v>
      </c>
      <c r="H309" s="2839">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6">
        <f t="shared" si="154"/>
        <v>0</v>
      </c>
      <c r="AD309" s="2856"/>
      <c r="AE309" s="2856"/>
      <c r="AF309" s="2856"/>
      <c r="AG309" s="2856"/>
      <c r="AH309" s="2856"/>
      <c r="AI309" s="2856"/>
      <c r="AJ309" s="2856"/>
      <c r="AK309" s="2856"/>
      <c r="AL309" s="2856"/>
      <c r="AM309" s="2856"/>
      <c r="AN309" s="2856"/>
      <c r="AO309" s="2856"/>
      <c r="AP309" s="2856"/>
      <c r="AQ309" s="2856"/>
      <c r="AR309" s="2856"/>
      <c r="AS309" s="2856"/>
      <c r="AT309" s="2866"/>
      <c r="AU309" s="2867"/>
      <c r="AV309" s="1182">
        <f t="shared" si="178"/>
        <v>0</v>
      </c>
      <c r="AW309" s="1182">
        <f t="shared" si="179"/>
        <v>0</v>
      </c>
      <c r="AX309" s="1182">
        <f t="shared" si="180"/>
        <v>0</v>
      </c>
      <c r="AY309" s="2881">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8">
        <f t="shared" si="176"/>
        <v>0</v>
      </c>
    </row>
    <row r="310" spans="1:72">
      <c r="A310" s="2833"/>
      <c r="B310" s="2834"/>
      <c r="C310" s="2834"/>
      <c r="D310" s="2835"/>
      <c r="E310" s="2836">
        <f t="shared" si="177"/>
        <v>0</v>
      </c>
      <c r="F310" s="2837"/>
      <c r="G310" s="2838">
        <f t="shared" si="152"/>
        <v>0</v>
      </c>
      <c r="H310" s="2839">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6">
        <f t="shared" si="154"/>
        <v>0</v>
      </c>
      <c r="AD310" s="2856"/>
      <c r="AE310" s="2856"/>
      <c r="AF310" s="2856"/>
      <c r="AG310" s="2856"/>
      <c r="AH310" s="2856"/>
      <c r="AI310" s="2856"/>
      <c r="AJ310" s="2856"/>
      <c r="AK310" s="2856"/>
      <c r="AL310" s="2856"/>
      <c r="AM310" s="2856"/>
      <c r="AN310" s="2856"/>
      <c r="AO310" s="2856"/>
      <c r="AP310" s="2856"/>
      <c r="AQ310" s="2856"/>
      <c r="AR310" s="2856"/>
      <c r="AS310" s="2856"/>
      <c r="AT310" s="2866"/>
      <c r="AU310" s="2867"/>
      <c r="AV310" s="1182">
        <f t="shared" si="178"/>
        <v>0</v>
      </c>
      <c r="AW310" s="1182">
        <f t="shared" si="179"/>
        <v>0</v>
      </c>
      <c r="AX310" s="1182">
        <f t="shared" si="180"/>
        <v>0</v>
      </c>
      <c r="AY310" s="2881">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8">
        <f t="shared" si="176"/>
        <v>0</v>
      </c>
    </row>
    <row r="311" spans="1:72">
      <c r="A311" s="2833"/>
      <c r="B311" s="2834"/>
      <c r="C311" s="2834"/>
      <c r="D311" s="2835"/>
      <c r="E311" s="2836">
        <f t="shared" si="177"/>
        <v>0</v>
      </c>
      <c r="F311" s="2837"/>
      <c r="G311" s="2838">
        <f t="shared" si="152"/>
        <v>0</v>
      </c>
      <c r="H311" s="2839">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6">
        <f t="shared" si="154"/>
        <v>0</v>
      </c>
      <c r="AD311" s="2856"/>
      <c r="AE311" s="2856"/>
      <c r="AF311" s="2856"/>
      <c r="AG311" s="2856"/>
      <c r="AH311" s="2856"/>
      <c r="AI311" s="2856"/>
      <c r="AJ311" s="2856"/>
      <c r="AK311" s="2856"/>
      <c r="AL311" s="2856"/>
      <c r="AM311" s="2856"/>
      <c r="AN311" s="2856"/>
      <c r="AO311" s="2856"/>
      <c r="AP311" s="2856"/>
      <c r="AQ311" s="2856"/>
      <c r="AR311" s="2856"/>
      <c r="AS311" s="2856"/>
      <c r="AT311" s="2866"/>
      <c r="AU311" s="2867"/>
      <c r="AV311" s="1182">
        <f t="shared" si="178"/>
        <v>0</v>
      </c>
      <c r="AW311" s="1182">
        <f t="shared" si="179"/>
        <v>0</v>
      </c>
      <c r="AX311" s="1182">
        <f t="shared" si="180"/>
        <v>0</v>
      </c>
      <c r="AY311" s="2881">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8">
        <f t="shared" si="176"/>
        <v>0</v>
      </c>
    </row>
    <row r="312" spans="1:72">
      <c r="A312" s="2833"/>
      <c r="B312" s="2834"/>
      <c r="C312" s="2834"/>
      <c r="D312" s="2835"/>
      <c r="E312" s="2836">
        <f t="shared" si="177"/>
        <v>0</v>
      </c>
      <c r="F312" s="2837"/>
      <c r="G312" s="2838">
        <f t="shared" si="152"/>
        <v>0</v>
      </c>
      <c r="H312" s="2839">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6">
        <f t="shared" si="154"/>
        <v>0</v>
      </c>
      <c r="AD312" s="2856"/>
      <c r="AE312" s="2856"/>
      <c r="AF312" s="2856"/>
      <c r="AG312" s="2856"/>
      <c r="AH312" s="2856"/>
      <c r="AI312" s="2856"/>
      <c r="AJ312" s="2856"/>
      <c r="AK312" s="2856"/>
      <c r="AL312" s="2856"/>
      <c r="AM312" s="2856"/>
      <c r="AN312" s="2856"/>
      <c r="AO312" s="2856"/>
      <c r="AP312" s="2856"/>
      <c r="AQ312" s="2856"/>
      <c r="AR312" s="2856"/>
      <c r="AS312" s="2856"/>
      <c r="AT312" s="2866"/>
      <c r="AU312" s="2867"/>
      <c r="AV312" s="1182">
        <f t="shared" si="178"/>
        <v>0</v>
      </c>
      <c r="AW312" s="1182">
        <f t="shared" si="179"/>
        <v>0</v>
      </c>
      <c r="AX312" s="1182">
        <f t="shared" si="180"/>
        <v>0</v>
      </c>
      <c r="AY312" s="2881">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8">
        <f t="shared" si="176"/>
        <v>0</v>
      </c>
    </row>
    <row r="313" spans="1:72">
      <c r="A313" s="2833"/>
      <c r="B313" s="2834"/>
      <c r="C313" s="2834"/>
      <c r="D313" s="2835"/>
      <c r="E313" s="2836">
        <f t="shared" si="177"/>
        <v>0</v>
      </c>
      <c r="F313" s="2837"/>
      <c r="G313" s="2838">
        <f t="shared" si="152"/>
        <v>0</v>
      </c>
      <c r="H313" s="2839">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6">
        <f t="shared" si="154"/>
        <v>0</v>
      </c>
      <c r="AD313" s="2856"/>
      <c r="AE313" s="2856"/>
      <c r="AF313" s="2856"/>
      <c r="AG313" s="2856"/>
      <c r="AH313" s="2856"/>
      <c r="AI313" s="2856"/>
      <c r="AJ313" s="2856"/>
      <c r="AK313" s="2856"/>
      <c r="AL313" s="2856"/>
      <c r="AM313" s="2856"/>
      <c r="AN313" s="2856"/>
      <c r="AO313" s="2856"/>
      <c r="AP313" s="2856"/>
      <c r="AQ313" s="2856"/>
      <c r="AR313" s="2856"/>
      <c r="AS313" s="2856"/>
      <c r="AT313" s="2866"/>
      <c r="AU313" s="2867"/>
      <c r="AV313" s="1182">
        <f t="shared" si="178"/>
        <v>0</v>
      </c>
      <c r="AW313" s="1182">
        <f t="shared" si="179"/>
        <v>0</v>
      </c>
      <c r="AX313" s="1182">
        <f t="shared" si="180"/>
        <v>0</v>
      </c>
      <c r="AY313" s="2881">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8">
        <f t="shared" si="176"/>
        <v>0</v>
      </c>
    </row>
    <row r="314" spans="1:72">
      <c r="A314" s="2833"/>
      <c r="B314" s="2834"/>
      <c r="C314" s="2834"/>
      <c r="D314" s="2835"/>
      <c r="E314" s="2836">
        <f t="shared" si="177"/>
        <v>0</v>
      </c>
      <c r="F314" s="2837"/>
      <c r="G314" s="2838">
        <f t="shared" si="152"/>
        <v>0</v>
      </c>
      <c r="H314" s="2839">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6">
        <f t="shared" si="154"/>
        <v>0</v>
      </c>
      <c r="AD314" s="2856"/>
      <c r="AE314" s="2856"/>
      <c r="AF314" s="2856"/>
      <c r="AG314" s="2856"/>
      <c r="AH314" s="2856"/>
      <c r="AI314" s="2856"/>
      <c r="AJ314" s="2856"/>
      <c r="AK314" s="2856"/>
      <c r="AL314" s="2856"/>
      <c r="AM314" s="2856"/>
      <c r="AN314" s="2856"/>
      <c r="AO314" s="2856"/>
      <c r="AP314" s="2856"/>
      <c r="AQ314" s="2856"/>
      <c r="AR314" s="2856"/>
      <c r="AS314" s="2856"/>
      <c r="AT314" s="2866"/>
      <c r="AU314" s="2867"/>
      <c r="AV314" s="1182">
        <f t="shared" si="178"/>
        <v>0</v>
      </c>
      <c r="AW314" s="1182">
        <f t="shared" si="179"/>
        <v>0</v>
      </c>
      <c r="AX314" s="1182">
        <f t="shared" si="180"/>
        <v>0</v>
      </c>
      <c r="AY314" s="2881">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8">
        <f t="shared" si="176"/>
        <v>0</v>
      </c>
    </row>
    <row r="315" spans="1:72">
      <c r="A315" s="2833"/>
      <c r="B315" s="2834"/>
      <c r="C315" s="2834"/>
      <c r="D315" s="2835"/>
      <c r="E315" s="2836">
        <f t="shared" si="177"/>
        <v>0</v>
      </c>
      <c r="F315" s="2837"/>
      <c r="G315" s="2838">
        <f t="shared" si="152"/>
        <v>0</v>
      </c>
      <c r="H315" s="2839">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6">
        <f t="shared" si="154"/>
        <v>0</v>
      </c>
      <c r="AD315" s="2856"/>
      <c r="AE315" s="2856"/>
      <c r="AF315" s="2856"/>
      <c r="AG315" s="2856"/>
      <c r="AH315" s="2856"/>
      <c r="AI315" s="2856"/>
      <c r="AJ315" s="2856"/>
      <c r="AK315" s="2856"/>
      <c r="AL315" s="2856"/>
      <c r="AM315" s="2856"/>
      <c r="AN315" s="2856"/>
      <c r="AO315" s="2856"/>
      <c r="AP315" s="2856"/>
      <c r="AQ315" s="2856"/>
      <c r="AR315" s="2856"/>
      <c r="AS315" s="2856"/>
      <c r="AT315" s="2866"/>
      <c r="AU315" s="2867"/>
      <c r="AV315" s="1182">
        <f t="shared" si="178"/>
        <v>0</v>
      </c>
      <c r="AW315" s="1182">
        <f t="shared" si="179"/>
        <v>0</v>
      </c>
      <c r="AX315" s="1182">
        <f t="shared" si="180"/>
        <v>0</v>
      </c>
      <c r="AY315" s="2881">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8">
        <f t="shared" si="176"/>
        <v>0</v>
      </c>
    </row>
    <row r="316" spans="1:72">
      <c r="A316" s="2833"/>
      <c r="B316" s="2834"/>
      <c r="C316" s="2834"/>
      <c r="D316" s="2835"/>
      <c r="E316" s="2836">
        <f t="shared" si="177"/>
        <v>0</v>
      </c>
      <c r="F316" s="2837"/>
      <c r="G316" s="2838">
        <f t="shared" si="152"/>
        <v>0</v>
      </c>
      <c r="H316" s="2839">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6">
        <f t="shared" si="154"/>
        <v>0</v>
      </c>
      <c r="AD316" s="2856"/>
      <c r="AE316" s="2856"/>
      <c r="AF316" s="2856"/>
      <c r="AG316" s="2856"/>
      <c r="AH316" s="2856"/>
      <c r="AI316" s="2856"/>
      <c r="AJ316" s="2856"/>
      <c r="AK316" s="2856"/>
      <c r="AL316" s="2856"/>
      <c r="AM316" s="2856"/>
      <c r="AN316" s="2856"/>
      <c r="AO316" s="2856"/>
      <c r="AP316" s="2856"/>
      <c r="AQ316" s="2856"/>
      <c r="AR316" s="2856"/>
      <c r="AS316" s="2856"/>
      <c r="AT316" s="2866"/>
      <c r="AU316" s="2867"/>
      <c r="AV316" s="1182">
        <f t="shared" si="178"/>
        <v>0</v>
      </c>
      <c r="AW316" s="1182">
        <f t="shared" si="179"/>
        <v>0</v>
      </c>
      <c r="AX316" s="1182">
        <f t="shared" si="180"/>
        <v>0</v>
      </c>
      <c r="AY316" s="2881">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8">
        <f t="shared" si="176"/>
        <v>0</v>
      </c>
    </row>
    <row r="317" spans="1:72">
      <c r="A317" s="2833"/>
      <c r="B317" s="2834"/>
      <c r="C317" s="2834"/>
      <c r="D317" s="2835"/>
      <c r="E317" s="2836">
        <f t="shared" si="177"/>
        <v>0</v>
      </c>
      <c r="F317" s="2837"/>
      <c r="G317" s="2838">
        <f t="shared" si="152"/>
        <v>0</v>
      </c>
      <c r="H317" s="2839">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6">
        <f t="shared" si="154"/>
        <v>0</v>
      </c>
      <c r="AD317" s="2856"/>
      <c r="AE317" s="2856"/>
      <c r="AF317" s="2856"/>
      <c r="AG317" s="2856"/>
      <c r="AH317" s="2856"/>
      <c r="AI317" s="2856"/>
      <c r="AJ317" s="2856"/>
      <c r="AK317" s="2856"/>
      <c r="AL317" s="2856"/>
      <c r="AM317" s="2856"/>
      <c r="AN317" s="2856"/>
      <c r="AO317" s="2856"/>
      <c r="AP317" s="2856"/>
      <c r="AQ317" s="2856"/>
      <c r="AR317" s="2856"/>
      <c r="AS317" s="2856"/>
      <c r="AT317" s="2866"/>
      <c r="AU317" s="2867"/>
      <c r="AV317" s="1182">
        <f t="shared" si="178"/>
        <v>0</v>
      </c>
      <c r="AW317" s="1182">
        <f t="shared" si="179"/>
        <v>0</v>
      </c>
      <c r="AX317" s="1182">
        <f t="shared" si="180"/>
        <v>0</v>
      </c>
      <c r="AY317" s="2881">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8">
        <f t="shared" si="176"/>
        <v>0</v>
      </c>
    </row>
    <row r="318" spans="1:72">
      <c r="A318" s="2833"/>
      <c r="B318" s="2834"/>
      <c r="C318" s="2834"/>
      <c r="D318" s="2835"/>
      <c r="E318" s="2836">
        <f t="shared" si="177"/>
        <v>0</v>
      </c>
      <c r="F318" s="2837"/>
      <c r="G318" s="2838">
        <f t="shared" si="152"/>
        <v>0</v>
      </c>
      <c r="H318" s="2839">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6">
        <f t="shared" si="154"/>
        <v>0</v>
      </c>
      <c r="AD318" s="2856"/>
      <c r="AE318" s="2856"/>
      <c r="AF318" s="2856"/>
      <c r="AG318" s="2856"/>
      <c r="AH318" s="2856"/>
      <c r="AI318" s="2856"/>
      <c r="AJ318" s="2856"/>
      <c r="AK318" s="2856"/>
      <c r="AL318" s="2856"/>
      <c r="AM318" s="2856"/>
      <c r="AN318" s="2856"/>
      <c r="AO318" s="2856"/>
      <c r="AP318" s="2856"/>
      <c r="AQ318" s="2856"/>
      <c r="AR318" s="2856"/>
      <c r="AS318" s="2856"/>
      <c r="AT318" s="2866"/>
      <c r="AU318" s="2867"/>
      <c r="AV318" s="1182">
        <f t="shared" si="178"/>
        <v>0</v>
      </c>
      <c r="AW318" s="1182">
        <f t="shared" si="179"/>
        <v>0</v>
      </c>
      <c r="AX318" s="1182">
        <f t="shared" si="180"/>
        <v>0</v>
      </c>
      <c r="AY318" s="2881">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8">
        <f t="shared" si="176"/>
        <v>0</v>
      </c>
    </row>
    <row r="319" spans="1:72">
      <c r="A319" s="2833"/>
      <c r="B319" s="2834"/>
      <c r="C319" s="2834"/>
      <c r="D319" s="2835"/>
      <c r="E319" s="2836">
        <f t="shared" si="177"/>
        <v>0</v>
      </c>
      <c r="F319" s="2837"/>
      <c r="G319" s="2838">
        <f t="shared" si="152"/>
        <v>0</v>
      </c>
      <c r="H319" s="2839">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6">
        <f t="shared" si="154"/>
        <v>0</v>
      </c>
      <c r="AD319" s="2856"/>
      <c r="AE319" s="2856"/>
      <c r="AF319" s="2856"/>
      <c r="AG319" s="2856"/>
      <c r="AH319" s="2856"/>
      <c r="AI319" s="2856"/>
      <c r="AJ319" s="2856"/>
      <c r="AK319" s="2856"/>
      <c r="AL319" s="2856"/>
      <c r="AM319" s="2856"/>
      <c r="AN319" s="2856"/>
      <c r="AO319" s="2856"/>
      <c r="AP319" s="2856"/>
      <c r="AQ319" s="2856"/>
      <c r="AR319" s="2856"/>
      <c r="AS319" s="2856"/>
      <c r="AT319" s="2866"/>
      <c r="AU319" s="2867"/>
      <c r="AV319" s="1182">
        <f t="shared" si="178"/>
        <v>0</v>
      </c>
      <c r="AW319" s="1182">
        <f t="shared" si="179"/>
        <v>0</v>
      </c>
      <c r="AX319" s="1182">
        <f t="shared" si="180"/>
        <v>0</v>
      </c>
      <c r="AY319" s="2881">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8">
        <f t="shared" si="176"/>
        <v>0</v>
      </c>
    </row>
    <row r="320" spans="1:72">
      <c r="A320" s="2833"/>
      <c r="B320" s="2834"/>
      <c r="C320" s="2834"/>
      <c r="D320" s="2835"/>
      <c r="E320" s="2836">
        <f t="shared" si="177"/>
        <v>0</v>
      </c>
      <c r="F320" s="2837"/>
      <c r="G320" s="2838">
        <f t="shared" si="152"/>
        <v>0</v>
      </c>
      <c r="H320" s="2839">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6">
        <f t="shared" si="154"/>
        <v>0</v>
      </c>
      <c r="AD320" s="2856"/>
      <c r="AE320" s="2856"/>
      <c r="AF320" s="2856"/>
      <c r="AG320" s="2856"/>
      <c r="AH320" s="2856"/>
      <c r="AI320" s="2856"/>
      <c r="AJ320" s="2856"/>
      <c r="AK320" s="2856"/>
      <c r="AL320" s="2856"/>
      <c r="AM320" s="2856"/>
      <c r="AN320" s="2856"/>
      <c r="AO320" s="2856"/>
      <c r="AP320" s="2856"/>
      <c r="AQ320" s="2856"/>
      <c r="AR320" s="2856"/>
      <c r="AS320" s="2856"/>
      <c r="AT320" s="2866"/>
      <c r="AU320" s="2867"/>
      <c r="AV320" s="1182">
        <f t="shared" si="178"/>
        <v>0</v>
      </c>
      <c r="AW320" s="1182">
        <f t="shared" si="179"/>
        <v>0</v>
      </c>
      <c r="AX320" s="1182">
        <f t="shared" si="180"/>
        <v>0</v>
      </c>
      <c r="AY320" s="2881">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8">
        <f t="shared" si="176"/>
        <v>0</v>
      </c>
    </row>
    <row r="321" spans="1:72">
      <c r="A321" s="2833"/>
      <c r="B321" s="2834"/>
      <c r="C321" s="2834"/>
      <c r="D321" s="2835"/>
      <c r="E321" s="2836">
        <f t="shared" si="177"/>
        <v>0</v>
      </c>
      <c r="F321" s="2837"/>
      <c r="G321" s="2838">
        <f t="shared" si="152"/>
        <v>0</v>
      </c>
      <c r="H321" s="2839">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6">
        <f t="shared" si="154"/>
        <v>0</v>
      </c>
      <c r="AD321" s="2856"/>
      <c r="AE321" s="2856"/>
      <c r="AF321" s="2856"/>
      <c r="AG321" s="2856"/>
      <c r="AH321" s="2856"/>
      <c r="AI321" s="2856"/>
      <c r="AJ321" s="2856"/>
      <c r="AK321" s="2856"/>
      <c r="AL321" s="2856"/>
      <c r="AM321" s="2856"/>
      <c r="AN321" s="2856"/>
      <c r="AO321" s="2856"/>
      <c r="AP321" s="2856"/>
      <c r="AQ321" s="2856"/>
      <c r="AR321" s="2856"/>
      <c r="AS321" s="2856"/>
      <c r="AT321" s="2866"/>
      <c r="AU321" s="2867"/>
      <c r="AV321" s="1182">
        <f t="shared" si="178"/>
        <v>0</v>
      </c>
      <c r="AW321" s="1182">
        <f t="shared" si="179"/>
        <v>0</v>
      </c>
      <c r="AX321" s="1182">
        <f t="shared" si="180"/>
        <v>0</v>
      </c>
      <c r="AY321" s="2881">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8">
        <f t="shared" si="176"/>
        <v>0</v>
      </c>
    </row>
    <row r="322" spans="1:72">
      <c r="A322" s="2833"/>
      <c r="B322" s="2834"/>
      <c r="C322" s="2834"/>
      <c r="D322" s="2835"/>
      <c r="E322" s="2836">
        <f t="shared" si="177"/>
        <v>0</v>
      </c>
      <c r="F322" s="2837"/>
      <c r="G322" s="2838">
        <f t="shared" si="152"/>
        <v>0</v>
      </c>
      <c r="H322" s="2839">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6">
        <f t="shared" si="154"/>
        <v>0</v>
      </c>
      <c r="AD322" s="2856"/>
      <c r="AE322" s="2856"/>
      <c r="AF322" s="2856"/>
      <c r="AG322" s="2856"/>
      <c r="AH322" s="2856"/>
      <c r="AI322" s="2856"/>
      <c r="AJ322" s="2856"/>
      <c r="AK322" s="2856"/>
      <c r="AL322" s="2856"/>
      <c r="AM322" s="2856"/>
      <c r="AN322" s="2856"/>
      <c r="AO322" s="2856"/>
      <c r="AP322" s="2856"/>
      <c r="AQ322" s="2856"/>
      <c r="AR322" s="2856"/>
      <c r="AS322" s="2856"/>
      <c r="AT322" s="2866"/>
      <c r="AU322" s="2867"/>
      <c r="AV322" s="1182">
        <f t="shared" si="178"/>
        <v>0</v>
      </c>
      <c r="AW322" s="1182">
        <f t="shared" si="179"/>
        <v>0</v>
      </c>
      <c r="AX322" s="1182">
        <f t="shared" si="180"/>
        <v>0</v>
      </c>
      <c r="AY322" s="2881">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8">
        <f t="shared" si="176"/>
        <v>0</v>
      </c>
    </row>
    <row r="323" spans="1:72">
      <c r="A323" s="2833"/>
      <c r="B323" s="2834"/>
      <c r="C323" s="2834"/>
      <c r="D323" s="2835"/>
      <c r="E323" s="2836">
        <f t="shared" si="177"/>
        <v>0</v>
      </c>
      <c r="F323" s="2837"/>
      <c r="G323" s="2838">
        <f t="shared" si="152"/>
        <v>0</v>
      </c>
      <c r="H323" s="2839">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6">
        <f t="shared" si="154"/>
        <v>0</v>
      </c>
      <c r="AD323" s="2856"/>
      <c r="AE323" s="2856"/>
      <c r="AF323" s="2856"/>
      <c r="AG323" s="2856"/>
      <c r="AH323" s="2856"/>
      <c r="AI323" s="2856"/>
      <c r="AJ323" s="2856"/>
      <c r="AK323" s="2856"/>
      <c r="AL323" s="2856"/>
      <c r="AM323" s="2856"/>
      <c r="AN323" s="2856"/>
      <c r="AO323" s="2856"/>
      <c r="AP323" s="2856"/>
      <c r="AQ323" s="2856"/>
      <c r="AR323" s="2856"/>
      <c r="AS323" s="2856"/>
      <c r="AT323" s="2866"/>
      <c r="AU323" s="2867"/>
      <c r="AV323" s="1182">
        <f t="shared" si="178"/>
        <v>0</v>
      </c>
      <c r="AW323" s="1182">
        <f t="shared" si="179"/>
        <v>0</v>
      </c>
      <c r="AX323" s="1182">
        <f t="shared" si="180"/>
        <v>0</v>
      </c>
      <c r="AY323" s="2881">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8">
        <f t="shared" si="176"/>
        <v>0</v>
      </c>
    </row>
    <row r="324" spans="1:72">
      <c r="A324" s="2833"/>
      <c r="B324" s="2834"/>
      <c r="C324" s="2834"/>
      <c r="D324" s="2835"/>
      <c r="E324" s="2836">
        <f t="shared" si="177"/>
        <v>0</v>
      </c>
      <c r="F324" s="2837"/>
      <c r="G324" s="2838">
        <f t="shared" si="152"/>
        <v>0</v>
      </c>
      <c r="H324" s="2839">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6">
        <f t="shared" si="154"/>
        <v>0</v>
      </c>
      <c r="AD324" s="2856"/>
      <c r="AE324" s="2856"/>
      <c r="AF324" s="2856"/>
      <c r="AG324" s="2856"/>
      <c r="AH324" s="2856"/>
      <c r="AI324" s="2856"/>
      <c r="AJ324" s="2856"/>
      <c r="AK324" s="2856"/>
      <c r="AL324" s="2856"/>
      <c r="AM324" s="2856"/>
      <c r="AN324" s="2856"/>
      <c r="AO324" s="2856"/>
      <c r="AP324" s="2856"/>
      <c r="AQ324" s="2856"/>
      <c r="AR324" s="2856"/>
      <c r="AS324" s="2856"/>
      <c r="AT324" s="2866"/>
      <c r="AU324" s="2867"/>
      <c r="AV324" s="1182">
        <f t="shared" si="178"/>
        <v>0</v>
      </c>
      <c r="AW324" s="1182">
        <f t="shared" si="179"/>
        <v>0</v>
      </c>
      <c r="AX324" s="1182">
        <f t="shared" si="180"/>
        <v>0</v>
      </c>
      <c r="AY324" s="2881">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8">
        <f t="shared" si="176"/>
        <v>0</v>
      </c>
    </row>
    <row r="325" spans="1:72">
      <c r="A325" s="2833"/>
      <c r="B325" s="2834"/>
      <c r="C325" s="2834"/>
      <c r="D325" s="2835"/>
      <c r="E325" s="2836">
        <f t="shared" si="177"/>
        <v>0</v>
      </c>
      <c r="F325" s="2837"/>
      <c r="G325" s="2838">
        <f t="shared" si="152"/>
        <v>0</v>
      </c>
      <c r="H325" s="2839">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6">
        <f t="shared" si="154"/>
        <v>0</v>
      </c>
      <c r="AD325" s="2856"/>
      <c r="AE325" s="2856"/>
      <c r="AF325" s="2856"/>
      <c r="AG325" s="2856"/>
      <c r="AH325" s="2856"/>
      <c r="AI325" s="2856"/>
      <c r="AJ325" s="2856"/>
      <c r="AK325" s="2856"/>
      <c r="AL325" s="2856"/>
      <c r="AM325" s="2856"/>
      <c r="AN325" s="2856"/>
      <c r="AO325" s="2856"/>
      <c r="AP325" s="2856"/>
      <c r="AQ325" s="2856"/>
      <c r="AR325" s="2856"/>
      <c r="AS325" s="2856"/>
      <c r="AT325" s="2866"/>
      <c r="AU325" s="2867"/>
      <c r="AV325" s="1182">
        <f t="shared" si="178"/>
        <v>0</v>
      </c>
      <c r="AW325" s="1182">
        <f t="shared" si="179"/>
        <v>0</v>
      </c>
      <c r="AX325" s="1182">
        <f t="shared" si="180"/>
        <v>0</v>
      </c>
      <c r="AY325" s="2881">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8">
        <f t="shared" si="176"/>
        <v>0</v>
      </c>
    </row>
    <row r="326" spans="1:72">
      <c r="A326" s="2833"/>
      <c r="B326" s="2834"/>
      <c r="C326" s="2834"/>
      <c r="D326" s="2835"/>
      <c r="E326" s="2836">
        <f t="shared" si="177"/>
        <v>0</v>
      </c>
      <c r="F326" s="2837"/>
      <c r="G326" s="2838">
        <f t="shared" si="152"/>
        <v>0</v>
      </c>
      <c r="H326" s="2839">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6">
        <f t="shared" si="154"/>
        <v>0</v>
      </c>
      <c r="AD326" s="2856"/>
      <c r="AE326" s="2856"/>
      <c r="AF326" s="2856"/>
      <c r="AG326" s="2856"/>
      <c r="AH326" s="2856"/>
      <c r="AI326" s="2856"/>
      <c r="AJ326" s="2856"/>
      <c r="AK326" s="2856"/>
      <c r="AL326" s="2856"/>
      <c r="AM326" s="2856"/>
      <c r="AN326" s="2856"/>
      <c r="AO326" s="2856"/>
      <c r="AP326" s="2856"/>
      <c r="AQ326" s="2856"/>
      <c r="AR326" s="2856"/>
      <c r="AS326" s="2856"/>
      <c r="AT326" s="2866"/>
      <c r="AU326" s="2867"/>
      <c r="AV326" s="1182">
        <f t="shared" si="178"/>
        <v>0</v>
      </c>
      <c r="AW326" s="1182">
        <f t="shared" si="179"/>
        <v>0</v>
      </c>
      <c r="AX326" s="1182">
        <f t="shared" si="180"/>
        <v>0</v>
      </c>
      <c r="AY326" s="2881">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8">
        <f t="shared" si="176"/>
        <v>0</v>
      </c>
    </row>
    <row r="327" spans="1:72">
      <c r="A327" s="2833"/>
      <c r="B327" s="2834"/>
      <c r="C327" s="2834"/>
      <c r="D327" s="2835"/>
      <c r="E327" s="2836">
        <f t="shared" si="177"/>
        <v>0</v>
      </c>
      <c r="F327" s="2837"/>
      <c r="G327" s="2838">
        <f t="shared" si="152"/>
        <v>0</v>
      </c>
      <c r="H327" s="2839">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6">
        <f t="shared" si="154"/>
        <v>0</v>
      </c>
      <c r="AD327" s="2856"/>
      <c r="AE327" s="2856"/>
      <c r="AF327" s="2856"/>
      <c r="AG327" s="2856"/>
      <c r="AH327" s="2856"/>
      <c r="AI327" s="2856"/>
      <c r="AJ327" s="2856"/>
      <c r="AK327" s="2856"/>
      <c r="AL327" s="2856"/>
      <c r="AM327" s="2856"/>
      <c r="AN327" s="2856"/>
      <c r="AO327" s="2856"/>
      <c r="AP327" s="2856"/>
      <c r="AQ327" s="2856"/>
      <c r="AR327" s="2856"/>
      <c r="AS327" s="2856"/>
      <c r="AT327" s="2866"/>
      <c r="AU327" s="2867"/>
      <c r="AV327" s="1182">
        <f t="shared" si="178"/>
        <v>0</v>
      </c>
      <c r="AW327" s="1182">
        <f t="shared" si="179"/>
        <v>0</v>
      </c>
      <c r="AX327" s="1182">
        <f t="shared" si="180"/>
        <v>0</v>
      </c>
      <c r="AY327" s="2881">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8">
        <f t="shared" si="176"/>
        <v>0</v>
      </c>
    </row>
    <row r="328" spans="1:72">
      <c r="A328" s="2833"/>
      <c r="B328" s="2834"/>
      <c r="C328" s="2834"/>
      <c r="D328" s="2835"/>
      <c r="E328" s="2836">
        <f t="shared" si="177"/>
        <v>0</v>
      </c>
      <c r="F328" s="2837"/>
      <c r="G328" s="2838">
        <f t="shared" si="152"/>
        <v>0</v>
      </c>
      <c r="H328" s="2839">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6">
        <f t="shared" si="154"/>
        <v>0</v>
      </c>
      <c r="AD328" s="2856"/>
      <c r="AE328" s="2856"/>
      <c r="AF328" s="2856"/>
      <c r="AG328" s="2856"/>
      <c r="AH328" s="2856"/>
      <c r="AI328" s="2856"/>
      <c r="AJ328" s="2856"/>
      <c r="AK328" s="2856"/>
      <c r="AL328" s="2856"/>
      <c r="AM328" s="2856"/>
      <c r="AN328" s="2856"/>
      <c r="AO328" s="2856"/>
      <c r="AP328" s="2856"/>
      <c r="AQ328" s="2856"/>
      <c r="AR328" s="2856"/>
      <c r="AS328" s="2856"/>
      <c r="AT328" s="2866"/>
      <c r="AU328" s="2867"/>
      <c r="AV328" s="1182">
        <f t="shared" si="178"/>
        <v>0</v>
      </c>
      <c r="AW328" s="1182">
        <f t="shared" si="179"/>
        <v>0</v>
      </c>
      <c r="AX328" s="1182">
        <f t="shared" si="180"/>
        <v>0</v>
      </c>
      <c r="AY328" s="2881">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8">
        <f t="shared" si="176"/>
        <v>0</v>
      </c>
    </row>
    <row r="329" spans="1:72">
      <c r="A329" s="2833"/>
      <c r="B329" s="2834"/>
      <c r="C329" s="2834"/>
      <c r="D329" s="2835"/>
      <c r="E329" s="2836">
        <f t="shared" si="177"/>
        <v>0</v>
      </c>
      <c r="F329" s="2837"/>
      <c r="G329" s="2838">
        <f t="shared" si="152"/>
        <v>0</v>
      </c>
      <c r="H329" s="2839">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6">
        <f t="shared" si="154"/>
        <v>0</v>
      </c>
      <c r="AD329" s="2856"/>
      <c r="AE329" s="2856"/>
      <c r="AF329" s="2856"/>
      <c r="AG329" s="2856"/>
      <c r="AH329" s="2856"/>
      <c r="AI329" s="2856"/>
      <c r="AJ329" s="2856"/>
      <c r="AK329" s="2856"/>
      <c r="AL329" s="2856"/>
      <c r="AM329" s="2856"/>
      <c r="AN329" s="2856"/>
      <c r="AO329" s="2856"/>
      <c r="AP329" s="2856"/>
      <c r="AQ329" s="2856"/>
      <c r="AR329" s="2856"/>
      <c r="AS329" s="2856"/>
      <c r="AT329" s="2866"/>
      <c r="AU329" s="2867"/>
      <c r="AV329" s="1182">
        <f t="shared" si="178"/>
        <v>0</v>
      </c>
      <c r="AW329" s="1182">
        <f t="shared" si="179"/>
        <v>0</v>
      </c>
      <c r="AX329" s="1182">
        <f t="shared" si="180"/>
        <v>0</v>
      </c>
      <c r="AY329" s="2881">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8">
        <f t="shared" si="176"/>
        <v>0</v>
      </c>
    </row>
    <row r="330" spans="1:72">
      <c r="A330" s="2833"/>
      <c r="B330" s="2834"/>
      <c r="C330" s="2834"/>
      <c r="D330" s="2835"/>
      <c r="E330" s="2836">
        <f t="shared" si="177"/>
        <v>0</v>
      </c>
      <c r="F330" s="2837"/>
      <c r="G330" s="2838">
        <f t="shared" si="152"/>
        <v>0</v>
      </c>
      <c r="H330" s="2839">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6">
        <f t="shared" si="154"/>
        <v>0</v>
      </c>
      <c r="AD330" s="2856"/>
      <c r="AE330" s="2856"/>
      <c r="AF330" s="2856"/>
      <c r="AG330" s="2856"/>
      <c r="AH330" s="2856"/>
      <c r="AI330" s="2856"/>
      <c r="AJ330" s="2856"/>
      <c r="AK330" s="2856"/>
      <c r="AL330" s="2856"/>
      <c r="AM330" s="2856"/>
      <c r="AN330" s="2856"/>
      <c r="AO330" s="2856"/>
      <c r="AP330" s="2856"/>
      <c r="AQ330" s="2856"/>
      <c r="AR330" s="2856"/>
      <c r="AS330" s="2856"/>
      <c r="AT330" s="2866"/>
      <c r="AU330" s="2867"/>
      <c r="AV330" s="1182">
        <f t="shared" si="178"/>
        <v>0</v>
      </c>
      <c r="AW330" s="1182">
        <f t="shared" si="179"/>
        <v>0</v>
      </c>
      <c r="AX330" s="1182">
        <f t="shared" si="180"/>
        <v>0</v>
      </c>
      <c r="AY330" s="2881">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8">
        <f t="shared" si="176"/>
        <v>0</v>
      </c>
    </row>
    <row r="331" spans="1:72">
      <c r="A331" s="2833"/>
      <c r="B331" s="2834"/>
      <c r="C331" s="2834"/>
      <c r="D331" s="2835"/>
      <c r="E331" s="2836">
        <f t="shared" si="177"/>
        <v>0</v>
      </c>
      <c r="F331" s="2837"/>
      <c r="G331" s="2838">
        <f t="shared" si="152"/>
        <v>0</v>
      </c>
      <c r="H331" s="2839">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6">
        <f t="shared" si="154"/>
        <v>0</v>
      </c>
      <c r="AD331" s="2856"/>
      <c r="AE331" s="2856"/>
      <c r="AF331" s="2856"/>
      <c r="AG331" s="2856"/>
      <c r="AH331" s="2856"/>
      <c r="AI331" s="2856"/>
      <c r="AJ331" s="2856"/>
      <c r="AK331" s="2856"/>
      <c r="AL331" s="2856"/>
      <c r="AM331" s="2856"/>
      <c r="AN331" s="2856"/>
      <c r="AO331" s="2856"/>
      <c r="AP331" s="2856"/>
      <c r="AQ331" s="2856"/>
      <c r="AR331" s="2856"/>
      <c r="AS331" s="2856"/>
      <c r="AT331" s="2866"/>
      <c r="AU331" s="2867"/>
      <c r="AV331" s="1182">
        <f t="shared" si="178"/>
        <v>0</v>
      </c>
      <c r="AW331" s="1182">
        <f t="shared" si="179"/>
        <v>0</v>
      </c>
      <c r="AX331" s="1182">
        <f t="shared" si="180"/>
        <v>0</v>
      </c>
      <c r="AY331" s="2881">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8">
        <f t="shared" si="176"/>
        <v>0</v>
      </c>
    </row>
    <row r="332" spans="1:72">
      <c r="A332" s="2833"/>
      <c r="B332" s="2834"/>
      <c r="C332" s="2834"/>
      <c r="D332" s="2835"/>
      <c r="E332" s="2836">
        <f t="shared" si="177"/>
        <v>0</v>
      </c>
      <c r="F332" s="2837"/>
      <c r="G332" s="2838">
        <f t="shared" ref="G332:G363" si="181">H332+AC332+AT332</f>
        <v>0</v>
      </c>
      <c r="H332" s="2839">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6">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66"/>
      <c r="AU332" s="2867"/>
      <c r="AV332" s="1182">
        <f t="shared" si="178"/>
        <v>0</v>
      </c>
      <c r="AW332" s="1182">
        <f t="shared" si="179"/>
        <v>0</v>
      </c>
      <c r="AX332" s="1182">
        <f t="shared" si="180"/>
        <v>0</v>
      </c>
      <c r="AY332" s="2881">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8">
        <f t="shared" ref="BT332:BT363" si="205">IF($D332="是",AR332-AS332,0)</f>
        <v>0</v>
      </c>
    </row>
    <row r="333" spans="1:72">
      <c r="A333" s="2833"/>
      <c r="B333" s="2834"/>
      <c r="C333" s="2834"/>
      <c r="D333" s="2835"/>
      <c r="E333" s="2836">
        <f t="shared" si="177"/>
        <v>0</v>
      </c>
      <c r="F333" s="2837"/>
      <c r="G333" s="2838">
        <f t="shared" si="181"/>
        <v>0</v>
      </c>
      <c r="H333" s="2839">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6">
        <f t="shared" si="183"/>
        <v>0</v>
      </c>
      <c r="AD333" s="2856"/>
      <c r="AE333" s="2856"/>
      <c r="AF333" s="2856"/>
      <c r="AG333" s="2856"/>
      <c r="AH333" s="2856"/>
      <c r="AI333" s="2856"/>
      <c r="AJ333" s="2856"/>
      <c r="AK333" s="2856"/>
      <c r="AL333" s="2856"/>
      <c r="AM333" s="2856"/>
      <c r="AN333" s="2856"/>
      <c r="AO333" s="2856"/>
      <c r="AP333" s="2856"/>
      <c r="AQ333" s="2856"/>
      <c r="AR333" s="2856"/>
      <c r="AS333" s="2856"/>
      <c r="AT333" s="2866"/>
      <c r="AU333" s="2867"/>
      <c r="AV333" s="1182">
        <f t="shared" si="178"/>
        <v>0</v>
      </c>
      <c r="AW333" s="1182">
        <f t="shared" si="179"/>
        <v>0</v>
      </c>
      <c r="AX333" s="1182">
        <f t="shared" si="180"/>
        <v>0</v>
      </c>
      <c r="AY333" s="2881">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8">
        <f t="shared" si="205"/>
        <v>0</v>
      </c>
    </row>
    <row r="334" spans="1:72">
      <c r="A334" s="2833"/>
      <c r="B334" s="2834"/>
      <c r="C334" s="2834"/>
      <c r="D334" s="2835"/>
      <c r="E334" s="2836">
        <f t="shared" si="177"/>
        <v>0</v>
      </c>
      <c r="F334" s="2837"/>
      <c r="G334" s="2838">
        <f t="shared" si="181"/>
        <v>0</v>
      </c>
      <c r="H334" s="2839">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6">
        <f t="shared" si="183"/>
        <v>0</v>
      </c>
      <c r="AD334" s="2856"/>
      <c r="AE334" s="2856"/>
      <c r="AF334" s="2856"/>
      <c r="AG334" s="2856"/>
      <c r="AH334" s="2856"/>
      <c r="AI334" s="2856"/>
      <c r="AJ334" s="2856"/>
      <c r="AK334" s="2856"/>
      <c r="AL334" s="2856"/>
      <c r="AM334" s="2856"/>
      <c r="AN334" s="2856"/>
      <c r="AO334" s="2856"/>
      <c r="AP334" s="2856"/>
      <c r="AQ334" s="2856"/>
      <c r="AR334" s="2856"/>
      <c r="AS334" s="2856"/>
      <c r="AT334" s="2866"/>
      <c r="AU334" s="2867"/>
      <c r="AV334" s="1182">
        <f t="shared" si="178"/>
        <v>0</v>
      </c>
      <c r="AW334" s="1182">
        <f t="shared" si="179"/>
        <v>0</v>
      </c>
      <c r="AX334" s="1182">
        <f t="shared" si="180"/>
        <v>0</v>
      </c>
      <c r="AY334" s="2881">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8">
        <f t="shared" si="205"/>
        <v>0</v>
      </c>
    </row>
    <row r="335" spans="1:72">
      <c r="A335" s="2833"/>
      <c r="B335" s="2834"/>
      <c r="C335" s="2834"/>
      <c r="D335" s="2835"/>
      <c r="E335" s="2836">
        <f t="shared" ref="E335:E366" si="206">IF($C$3="是",ROUND($A$3*G335/$B$3,2),ROUND($A$3*(G335-AT335)/$B$3,2))</f>
        <v>0</v>
      </c>
      <c r="F335" s="2837"/>
      <c r="G335" s="2838">
        <f t="shared" si="181"/>
        <v>0</v>
      </c>
      <c r="H335" s="2839">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6">
        <f t="shared" si="183"/>
        <v>0</v>
      </c>
      <c r="AD335" s="2856"/>
      <c r="AE335" s="2856"/>
      <c r="AF335" s="2856"/>
      <c r="AG335" s="2856"/>
      <c r="AH335" s="2856"/>
      <c r="AI335" s="2856"/>
      <c r="AJ335" s="2856"/>
      <c r="AK335" s="2856"/>
      <c r="AL335" s="2856"/>
      <c r="AM335" s="2856"/>
      <c r="AN335" s="2856"/>
      <c r="AO335" s="2856"/>
      <c r="AP335" s="2856"/>
      <c r="AQ335" s="2856"/>
      <c r="AR335" s="2856"/>
      <c r="AS335" s="2856"/>
      <c r="AT335" s="2866"/>
      <c r="AU335" s="2867"/>
      <c r="AV335" s="1182">
        <f t="shared" ref="AV335:AV366" si="207">A335</f>
        <v>0</v>
      </c>
      <c r="AW335" s="1182">
        <f t="shared" ref="AW335:AW366" si="208">B335</f>
        <v>0</v>
      </c>
      <c r="AX335" s="1182">
        <f t="shared" ref="AX335:AX366" si="209">C335</f>
        <v>0</v>
      </c>
      <c r="AY335" s="2881">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8">
        <f t="shared" si="205"/>
        <v>0</v>
      </c>
    </row>
    <row r="336" spans="1:72">
      <c r="A336" s="2833"/>
      <c r="B336" s="2834"/>
      <c r="C336" s="2834"/>
      <c r="D336" s="2835"/>
      <c r="E336" s="2836">
        <f t="shared" si="206"/>
        <v>0</v>
      </c>
      <c r="F336" s="2837"/>
      <c r="G336" s="2838">
        <f t="shared" si="181"/>
        <v>0</v>
      </c>
      <c r="H336" s="2839">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6">
        <f t="shared" si="183"/>
        <v>0</v>
      </c>
      <c r="AD336" s="2856"/>
      <c r="AE336" s="2856"/>
      <c r="AF336" s="2856"/>
      <c r="AG336" s="2856"/>
      <c r="AH336" s="2856"/>
      <c r="AI336" s="2856"/>
      <c r="AJ336" s="2856"/>
      <c r="AK336" s="2856"/>
      <c r="AL336" s="2856"/>
      <c r="AM336" s="2856"/>
      <c r="AN336" s="2856"/>
      <c r="AO336" s="2856"/>
      <c r="AP336" s="2856"/>
      <c r="AQ336" s="2856"/>
      <c r="AR336" s="2856"/>
      <c r="AS336" s="2856"/>
      <c r="AT336" s="2866"/>
      <c r="AU336" s="2867"/>
      <c r="AV336" s="1182">
        <f t="shared" si="207"/>
        <v>0</v>
      </c>
      <c r="AW336" s="1182">
        <f t="shared" si="208"/>
        <v>0</v>
      </c>
      <c r="AX336" s="1182">
        <f t="shared" si="209"/>
        <v>0</v>
      </c>
      <c r="AY336" s="2881">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8">
        <f t="shared" si="205"/>
        <v>0</v>
      </c>
    </row>
    <row r="337" spans="1:72">
      <c r="A337" s="2833"/>
      <c r="B337" s="2834"/>
      <c r="C337" s="2834"/>
      <c r="D337" s="2835"/>
      <c r="E337" s="2836">
        <f t="shared" si="206"/>
        <v>0</v>
      </c>
      <c r="F337" s="2837"/>
      <c r="G337" s="2838">
        <f t="shared" si="181"/>
        <v>0</v>
      </c>
      <c r="H337" s="2839">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6">
        <f t="shared" si="183"/>
        <v>0</v>
      </c>
      <c r="AD337" s="2856"/>
      <c r="AE337" s="2856"/>
      <c r="AF337" s="2856"/>
      <c r="AG337" s="2856"/>
      <c r="AH337" s="2856"/>
      <c r="AI337" s="2856"/>
      <c r="AJ337" s="2856"/>
      <c r="AK337" s="2856"/>
      <c r="AL337" s="2856"/>
      <c r="AM337" s="2856"/>
      <c r="AN337" s="2856"/>
      <c r="AO337" s="2856"/>
      <c r="AP337" s="2856"/>
      <c r="AQ337" s="2856"/>
      <c r="AR337" s="2856"/>
      <c r="AS337" s="2856"/>
      <c r="AT337" s="2866"/>
      <c r="AU337" s="2867"/>
      <c r="AV337" s="1182">
        <f t="shared" si="207"/>
        <v>0</v>
      </c>
      <c r="AW337" s="1182">
        <f t="shared" si="208"/>
        <v>0</v>
      </c>
      <c r="AX337" s="1182">
        <f t="shared" si="209"/>
        <v>0</v>
      </c>
      <c r="AY337" s="2881">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8">
        <f t="shared" si="205"/>
        <v>0</v>
      </c>
    </row>
    <row r="338" spans="1:72">
      <c r="A338" s="2833"/>
      <c r="B338" s="2834"/>
      <c r="C338" s="2834"/>
      <c r="D338" s="2835"/>
      <c r="E338" s="2836">
        <f t="shared" si="206"/>
        <v>0</v>
      </c>
      <c r="F338" s="2837"/>
      <c r="G338" s="2838">
        <f t="shared" si="181"/>
        <v>0</v>
      </c>
      <c r="H338" s="2839">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6">
        <f t="shared" si="183"/>
        <v>0</v>
      </c>
      <c r="AD338" s="2856"/>
      <c r="AE338" s="2856"/>
      <c r="AF338" s="2856"/>
      <c r="AG338" s="2856"/>
      <c r="AH338" s="2856"/>
      <c r="AI338" s="2856"/>
      <c r="AJ338" s="2856"/>
      <c r="AK338" s="2856"/>
      <c r="AL338" s="2856"/>
      <c r="AM338" s="2856"/>
      <c r="AN338" s="2856"/>
      <c r="AO338" s="2856"/>
      <c r="AP338" s="2856"/>
      <c r="AQ338" s="2856"/>
      <c r="AR338" s="2856"/>
      <c r="AS338" s="2856"/>
      <c r="AT338" s="2866"/>
      <c r="AU338" s="2867"/>
      <c r="AV338" s="1182">
        <f t="shared" si="207"/>
        <v>0</v>
      </c>
      <c r="AW338" s="1182">
        <f t="shared" si="208"/>
        <v>0</v>
      </c>
      <c r="AX338" s="1182">
        <f t="shared" si="209"/>
        <v>0</v>
      </c>
      <c r="AY338" s="2881">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8">
        <f t="shared" si="205"/>
        <v>0</v>
      </c>
    </row>
    <row r="339" spans="1:72">
      <c r="A339" s="2833"/>
      <c r="B339" s="2834"/>
      <c r="C339" s="2834"/>
      <c r="D339" s="2835"/>
      <c r="E339" s="2836">
        <f t="shared" si="206"/>
        <v>0</v>
      </c>
      <c r="F339" s="2837"/>
      <c r="G339" s="2838">
        <f t="shared" si="181"/>
        <v>0</v>
      </c>
      <c r="H339" s="2839">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6">
        <f t="shared" si="183"/>
        <v>0</v>
      </c>
      <c r="AD339" s="2856"/>
      <c r="AE339" s="2856"/>
      <c r="AF339" s="2856"/>
      <c r="AG339" s="2856"/>
      <c r="AH339" s="2856"/>
      <c r="AI339" s="2856"/>
      <c r="AJ339" s="2856"/>
      <c r="AK339" s="2856"/>
      <c r="AL339" s="2856"/>
      <c r="AM339" s="2856"/>
      <c r="AN339" s="2856"/>
      <c r="AO339" s="2856"/>
      <c r="AP339" s="2856"/>
      <c r="AQ339" s="2856"/>
      <c r="AR339" s="2856"/>
      <c r="AS339" s="2856"/>
      <c r="AT339" s="2866"/>
      <c r="AU339" s="2867"/>
      <c r="AV339" s="1182">
        <f t="shared" si="207"/>
        <v>0</v>
      </c>
      <c r="AW339" s="1182">
        <f t="shared" si="208"/>
        <v>0</v>
      </c>
      <c r="AX339" s="1182">
        <f t="shared" si="209"/>
        <v>0</v>
      </c>
      <c r="AY339" s="2881">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8">
        <f t="shared" si="205"/>
        <v>0</v>
      </c>
    </row>
    <row r="340" spans="1:72">
      <c r="A340" s="2833"/>
      <c r="B340" s="2834"/>
      <c r="C340" s="2834"/>
      <c r="D340" s="2835"/>
      <c r="E340" s="2836">
        <f t="shared" si="206"/>
        <v>0</v>
      </c>
      <c r="F340" s="2837"/>
      <c r="G340" s="2838">
        <f t="shared" si="181"/>
        <v>0</v>
      </c>
      <c r="H340" s="2839">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6">
        <f t="shared" si="183"/>
        <v>0</v>
      </c>
      <c r="AD340" s="2856"/>
      <c r="AE340" s="2856"/>
      <c r="AF340" s="2856"/>
      <c r="AG340" s="2856"/>
      <c r="AH340" s="2856"/>
      <c r="AI340" s="2856"/>
      <c r="AJ340" s="2856"/>
      <c r="AK340" s="2856"/>
      <c r="AL340" s="2856"/>
      <c r="AM340" s="2856"/>
      <c r="AN340" s="2856"/>
      <c r="AO340" s="2856"/>
      <c r="AP340" s="2856"/>
      <c r="AQ340" s="2856"/>
      <c r="AR340" s="2856"/>
      <c r="AS340" s="2856"/>
      <c r="AT340" s="2866"/>
      <c r="AU340" s="2867"/>
      <c r="AV340" s="1182">
        <f t="shared" si="207"/>
        <v>0</v>
      </c>
      <c r="AW340" s="1182">
        <f t="shared" si="208"/>
        <v>0</v>
      </c>
      <c r="AX340" s="1182">
        <f t="shared" si="209"/>
        <v>0</v>
      </c>
      <c r="AY340" s="2881">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8">
        <f t="shared" si="205"/>
        <v>0</v>
      </c>
    </row>
    <row r="341" spans="1:72">
      <c r="A341" s="2833"/>
      <c r="B341" s="2834"/>
      <c r="C341" s="2834"/>
      <c r="D341" s="2835"/>
      <c r="E341" s="2836">
        <f t="shared" si="206"/>
        <v>0</v>
      </c>
      <c r="F341" s="2837"/>
      <c r="G341" s="2838">
        <f t="shared" si="181"/>
        <v>0</v>
      </c>
      <c r="H341" s="2839">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6">
        <f t="shared" si="183"/>
        <v>0</v>
      </c>
      <c r="AD341" s="2856"/>
      <c r="AE341" s="2856"/>
      <c r="AF341" s="2856"/>
      <c r="AG341" s="2856"/>
      <c r="AH341" s="2856"/>
      <c r="AI341" s="2856"/>
      <c r="AJ341" s="2856"/>
      <c r="AK341" s="2856"/>
      <c r="AL341" s="2856"/>
      <c r="AM341" s="2856"/>
      <c r="AN341" s="2856"/>
      <c r="AO341" s="2856"/>
      <c r="AP341" s="2856"/>
      <c r="AQ341" s="2856"/>
      <c r="AR341" s="2856"/>
      <c r="AS341" s="2856"/>
      <c r="AT341" s="2866"/>
      <c r="AU341" s="2867"/>
      <c r="AV341" s="1182">
        <f t="shared" si="207"/>
        <v>0</v>
      </c>
      <c r="AW341" s="1182">
        <f t="shared" si="208"/>
        <v>0</v>
      </c>
      <c r="AX341" s="1182">
        <f t="shared" si="209"/>
        <v>0</v>
      </c>
      <c r="AY341" s="2881">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8">
        <f t="shared" si="205"/>
        <v>0</v>
      </c>
    </row>
    <row r="342" spans="1:72">
      <c r="A342" s="2833"/>
      <c r="B342" s="2834"/>
      <c r="C342" s="2834"/>
      <c r="D342" s="2835"/>
      <c r="E342" s="2836">
        <f t="shared" si="206"/>
        <v>0</v>
      </c>
      <c r="F342" s="2837"/>
      <c r="G342" s="2838">
        <f t="shared" si="181"/>
        <v>0</v>
      </c>
      <c r="H342" s="2839">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6">
        <f t="shared" si="183"/>
        <v>0</v>
      </c>
      <c r="AD342" s="2856"/>
      <c r="AE342" s="2856"/>
      <c r="AF342" s="2856"/>
      <c r="AG342" s="2856"/>
      <c r="AH342" s="2856"/>
      <c r="AI342" s="2856"/>
      <c r="AJ342" s="2856"/>
      <c r="AK342" s="2856"/>
      <c r="AL342" s="2856"/>
      <c r="AM342" s="2856"/>
      <c r="AN342" s="2856"/>
      <c r="AO342" s="2856"/>
      <c r="AP342" s="2856"/>
      <c r="AQ342" s="2856"/>
      <c r="AR342" s="2856"/>
      <c r="AS342" s="2856"/>
      <c r="AT342" s="2866"/>
      <c r="AU342" s="2867"/>
      <c r="AV342" s="1182">
        <f t="shared" si="207"/>
        <v>0</v>
      </c>
      <c r="AW342" s="1182">
        <f t="shared" si="208"/>
        <v>0</v>
      </c>
      <c r="AX342" s="1182">
        <f t="shared" si="209"/>
        <v>0</v>
      </c>
      <c r="AY342" s="2881">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8">
        <f t="shared" si="205"/>
        <v>0</v>
      </c>
    </row>
    <row r="343" spans="1:72">
      <c r="A343" s="2833"/>
      <c r="B343" s="2834"/>
      <c r="C343" s="2834"/>
      <c r="D343" s="2835"/>
      <c r="E343" s="2836">
        <f t="shared" si="206"/>
        <v>0</v>
      </c>
      <c r="F343" s="2837"/>
      <c r="G343" s="2838">
        <f t="shared" si="181"/>
        <v>0</v>
      </c>
      <c r="H343" s="2839">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6">
        <f t="shared" si="183"/>
        <v>0</v>
      </c>
      <c r="AD343" s="2856"/>
      <c r="AE343" s="2856"/>
      <c r="AF343" s="2856"/>
      <c r="AG343" s="2856"/>
      <c r="AH343" s="2856"/>
      <c r="AI343" s="2856"/>
      <c r="AJ343" s="2856"/>
      <c r="AK343" s="2856"/>
      <c r="AL343" s="2856"/>
      <c r="AM343" s="2856"/>
      <c r="AN343" s="2856"/>
      <c r="AO343" s="2856"/>
      <c r="AP343" s="2856"/>
      <c r="AQ343" s="2856"/>
      <c r="AR343" s="2856"/>
      <c r="AS343" s="2856"/>
      <c r="AT343" s="2866"/>
      <c r="AU343" s="2867"/>
      <c r="AV343" s="1182">
        <f t="shared" si="207"/>
        <v>0</v>
      </c>
      <c r="AW343" s="1182">
        <f t="shared" si="208"/>
        <v>0</v>
      </c>
      <c r="AX343" s="1182">
        <f t="shared" si="209"/>
        <v>0</v>
      </c>
      <c r="AY343" s="2881">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8">
        <f t="shared" si="205"/>
        <v>0</v>
      </c>
    </row>
    <row r="344" spans="1:72">
      <c r="A344" s="2833"/>
      <c r="B344" s="2834"/>
      <c r="C344" s="2834"/>
      <c r="D344" s="2835"/>
      <c r="E344" s="2836">
        <f t="shared" si="206"/>
        <v>0</v>
      </c>
      <c r="F344" s="2837"/>
      <c r="G344" s="2838">
        <f t="shared" si="181"/>
        <v>0</v>
      </c>
      <c r="H344" s="2839">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6">
        <f t="shared" si="183"/>
        <v>0</v>
      </c>
      <c r="AD344" s="2856"/>
      <c r="AE344" s="2856"/>
      <c r="AF344" s="2856"/>
      <c r="AG344" s="2856"/>
      <c r="AH344" s="2856"/>
      <c r="AI344" s="2856"/>
      <c r="AJ344" s="2856"/>
      <c r="AK344" s="2856"/>
      <c r="AL344" s="2856"/>
      <c r="AM344" s="2856"/>
      <c r="AN344" s="2856"/>
      <c r="AO344" s="2856"/>
      <c r="AP344" s="2856"/>
      <c r="AQ344" s="2856"/>
      <c r="AR344" s="2856"/>
      <c r="AS344" s="2856"/>
      <c r="AT344" s="2866"/>
      <c r="AU344" s="2867"/>
      <c r="AV344" s="1182">
        <f t="shared" si="207"/>
        <v>0</v>
      </c>
      <c r="AW344" s="1182">
        <f t="shared" si="208"/>
        <v>0</v>
      </c>
      <c r="AX344" s="1182">
        <f t="shared" si="209"/>
        <v>0</v>
      </c>
      <c r="AY344" s="2881">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8">
        <f t="shared" si="205"/>
        <v>0</v>
      </c>
    </row>
    <row r="345" spans="1:72">
      <c r="A345" s="2833"/>
      <c r="B345" s="2834"/>
      <c r="C345" s="2834"/>
      <c r="D345" s="2835"/>
      <c r="E345" s="2836">
        <f t="shared" si="206"/>
        <v>0</v>
      </c>
      <c r="F345" s="2837"/>
      <c r="G345" s="2838">
        <f t="shared" si="181"/>
        <v>0</v>
      </c>
      <c r="H345" s="2839">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6">
        <f t="shared" si="183"/>
        <v>0</v>
      </c>
      <c r="AD345" s="2856"/>
      <c r="AE345" s="2856"/>
      <c r="AF345" s="2856"/>
      <c r="AG345" s="2856"/>
      <c r="AH345" s="2856"/>
      <c r="AI345" s="2856"/>
      <c r="AJ345" s="2856"/>
      <c r="AK345" s="2856"/>
      <c r="AL345" s="2856"/>
      <c r="AM345" s="2856"/>
      <c r="AN345" s="2856"/>
      <c r="AO345" s="2856"/>
      <c r="AP345" s="2856"/>
      <c r="AQ345" s="2856"/>
      <c r="AR345" s="2856"/>
      <c r="AS345" s="2856"/>
      <c r="AT345" s="2866"/>
      <c r="AU345" s="2867"/>
      <c r="AV345" s="1182">
        <f t="shared" si="207"/>
        <v>0</v>
      </c>
      <c r="AW345" s="1182">
        <f t="shared" si="208"/>
        <v>0</v>
      </c>
      <c r="AX345" s="1182">
        <f t="shared" si="209"/>
        <v>0</v>
      </c>
      <c r="AY345" s="2881">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8">
        <f t="shared" si="205"/>
        <v>0</v>
      </c>
    </row>
    <row r="346" spans="1:72">
      <c r="A346" s="2833"/>
      <c r="B346" s="2834"/>
      <c r="C346" s="2834"/>
      <c r="D346" s="2835"/>
      <c r="E346" s="2836">
        <f t="shared" si="206"/>
        <v>0</v>
      </c>
      <c r="F346" s="2837"/>
      <c r="G346" s="2838">
        <f t="shared" si="181"/>
        <v>0</v>
      </c>
      <c r="H346" s="2839">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6">
        <f t="shared" si="183"/>
        <v>0</v>
      </c>
      <c r="AD346" s="2856"/>
      <c r="AE346" s="2856"/>
      <c r="AF346" s="2856"/>
      <c r="AG346" s="2856"/>
      <c r="AH346" s="2856"/>
      <c r="AI346" s="2856"/>
      <c r="AJ346" s="2856"/>
      <c r="AK346" s="2856"/>
      <c r="AL346" s="2856"/>
      <c r="AM346" s="2856"/>
      <c r="AN346" s="2856"/>
      <c r="AO346" s="2856"/>
      <c r="AP346" s="2856"/>
      <c r="AQ346" s="2856"/>
      <c r="AR346" s="2856"/>
      <c r="AS346" s="2856"/>
      <c r="AT346" s="2866"/>
      <c r="AU346" s="2867"/>
      <c r="AV346" s="1182">
        <f t="shared" si="207"/>
        <v>0</v>
      </c>
      <c r="AW346" s="1182">
        <f t="shared" si="208"/>
        <v>0</v>
      </c>
      <c r="AX346" s="1182">
        <f t="shared" si="209"/>
        <v>0</v>
      </c>
      <c r="AY346" s="2881">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8">
        <f t="shared" si="205"/>
        <v>0</v>
      </c>
    </row>
    <row r="347" spans="1:72">
      <c r="A347" s="2833"/>
      <c r="B347" s="2834"/>
      <c r="C347" s="2834"/>
      <c r="D347" s="2835"/>
      <c r="E347" s="2836">
        <f t="shared" si="206"/>
        <v>0</v>
      </c>
      <c r="F347" s="2837"/>
      <c r="G347" s="2838">
        <f t="shared" si="181"/>
        <v>0</v>
      </c>
      <c r="H347" s="2839">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6">
        <f t="shared" si="183"/>
        <v>0</v>
      </c>
      <c r="AD347" s="2856"/>
      <c r="AE347" s="2856"/>
      <c r="AF347" s="2856"/>
      <c r="AG347" s="2856"/>
      <c r="AH347" s="2856"/>
      <c r="AI347" s="2856"/>
      <c r="AJ347" s="2856"/>
      <c r="AK347" s="2856"/>
      <c r="AL347" s="2856"/>
      <c r="AM347" s="2856"/>
      <c r="AN347" s="2856"/>
      <c r="AO347" s="2856"/>
      <c r="AP347" s="2856"/>
      <c r="AQ347" s="2856"/>
      <c r="AR347" s="2856"/>
      <c r="AS347" s="2856"/>
      <c r="AT347" s="2866"/>
      <c r="AU347" s="2867"/>
      <c r="AV347" s="1182">
        <f t="shared" si="207"/>
        <v>0</v>
      </c>
      <c r="AW347" s="1182">
        <f t="shared" si="208"/>
        <v>0</v>
      </c>
      <c r="AX347" s="1182">
        <f t="shared" si="209"/>
        <v>0</v>
      </c>
      <c r="AY347" s="2881">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8">
        <f t="shared" si="205"/>
        <v>0</v>
      </c>
    </row>
    <row r="348" spans="1:72">
      <c r="A348" s="2833"/>
      <c r="B348" s="2834"/>
      <c r="C348" s="2834"/>
      <c r="D348" s="2835"/>
      <c r="E348" s="2836">
        <f t="shared" si="206"/>
        <v>0</v>
      </c>
      <c r="F348" s="2837"/>
      <c r="G348" s="2838">
        <f t="shared" si="181"/>
        <v>0</v>
      </c>
      <c r="H348" s="2839">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6">
        <f t="shared" si="183"/>
        <v>0</v>
      </c>
      <c r="AD348" s="2856"/>
      <c r="AE348" s="2856"/>
      <c r="AF348" s="2856"/>
      <c r="AG348" s="2856"/>
      <c r="AH348" s="2856"/>
      <c r="AI348" s="2856"/>
      <c r="AJ348" s="2856"/>
      <c r="AK348" s="2856"/>
      <c r="AL348" s="2856"/>
      <c r="AM348" s="2856"/>
      <c r="AN348" s="2856"/>
      <c r="AO348" s="2856"/>
      <c r="AP348" s="2856"/>
      <c r="AQ348" s="2856"/>
      <c r="AR348" s="2856"/>
      <c r="AS348" s="2856"/>
      <c r="AT348" s="2866"/>
      <c r="AU348" s="2867"/>
      <c r="AV348" s="1182">
        <f t="shared" si="207"/>
        <v>0</v>
      </c>
      <c r="AW348" s="1182">
        <f t="shared" si="208"/>
        <v>0</v>
      </c>
      <c r="AX348" s="1182">
        <f t="shared" si="209"/>
        <v>0</v>
      </c>
      <c r="AY348" s="2881">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8">
        <f t="shared" si="205"/>
        <v>0</v>
      </c>
    </row>
    <row r="349" spans="1:72">
      <c r="A349" s="2833"/>
      <c r="B349" s="2834"/>
      <c r="C349" s="2834"/>
      <c r="D349" s="2835"/>
      <c r="E349" s="2836">
        <f t="shared" si="206"/>
        <v>0</v>
      </c>
      <c r="F349" s="2837"/>
      <c r="G349" s="2838">
        <f t="shared" si="181"/>
        <v>0</v>
      </c>
      <c r="H349" s="2839">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6">
        <f t="shared" si="183"/>
        <v>0</v>
      </c>
      <c r="AD349" s="2856"/>
      <c r="AE349" s="2856"/>
      <c r="AF349" s="2856"/>
      <c r="AG349" s="2856"/>
      <c r="AH349" s="2856"/>
      <c r="AI349" s="2856"/>
      <c r="AJ349" s="2856"/>
      <c r="AK349" s="2856"/>
      <c r="AL349" s="2856"/>
      <c r="AM349" s="2856"/>
      <c r="AN349" s="2856"/>
      <c r="AO349" s="2856"/>
      <c r="AP349" s="2856"/>
      <c r="AQ349" s="2856"/>
      <c r="AR349" s="2856"/>
      <c r="AS349" s="2856"/>
      <c r="AT349" s="2866"/>
      <c r="AU349" s="2867"/>
      <c r="AV349" s="1182">
        <f t="shared" si="207"/>
        <v>0</v>
      </c>
      <c r="AW349" s="1182">
        <f t="shared" si="208"/>
        <v>0</v>
      </c>
      <c r="AX349" s="1182">
        <f t="shared" si="209"/>
        <v>0</v>
      </c>
      <c r="AY349" s="2881">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8">
        <f t="shared" si="205"/>
        <v>0</v>
      </c>
    </row>
    <row r="350" spans="1:72">
      <c r="A350" s="2833"/>
      <c r="B350" s="2834"/>
      <c r="C350" s="2834"/>
      <c r="D350" s="2835"/>
      <c r="E350" s="2836">
        <f t="shared" si="206"/>
        <v>0</v>
      </c>
      <c r="F350" s="2837"/>
      <c r="G350" s="2838">
        <f t="shared" si="181"/>
        <v>0</v>
      </c>
      <c r="H350" s="2839">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6">
        <f t="shared" si="183"/>
        <v>0</v>
      </c>
      <c r="AD350" s="2856"/>
      <c r="AE350" s="2856"/>
      <c r="AF350" s="2856"/>
      <c r="AG350" s="2856"/>
      <c r="AH350" s="2856"/>
      <c r="AI350" s="2856"/>
      <c r="AJ350" s="2856"/>
      <c r="AK350" s="2856"/>
      <c r="AL350" s="2856"/>
      <c r="AM350" s="2856"/>
      <c r="AN350" s="2856"/>
      <c r="AO350" s="2856"/>
      <c r="AP350" s="2856"/>
      <c r="AQ350" s="2856"/>
      <c r="AR350" s="2856"/>
      <c r="AS350" s="2856"/>
      <c r="AT350" s="2866"/>
      <c r="AU350" s="2867"/>
      <c r="AV350" s="1182">
        <f t="shared" si="207"/>
        <v>0</v>
      </c>
      <c r="AW350" s="1182">
        <f t="shared" si="208"/>
        <v>0</v>
      </c>
      <c r="AX350" s="1182">
        <f t="shared" si="209"/>
        <v>0</v>
      </c>
      <c r="AY350" s="2881">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8">
        <f t="shared" si="205"/>
        <v>0</v>
      </c>
    </row>
    <row r="351" spans="1:72">
      <c r="A351" s="2833"/>
      <c r="B351" s="2834"/>
      <c r="C351" s="2834"/>
      <c r="D351" s="2835"/>
      <c r="E351" s="2836">
        <f t="shared" si="206"/>
        <v>0</v>
      </c>
      <c r="F351" s="2837"/>
      <c r="G351" s="2838">
        <f t="shared" si="181"/>
        <v>0</v>
      </c>
      <c r="H351" s="2839">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6">
        <f t="shared" si="183"/>
        <v>0</v>
      </c>
      <c r="AD351" s="2856"/>
      <c r="AE351" s="2856"/>
      <c r="AF351" s="2856"/>
      <c r="AG351" s="2856"/>
      <c r="AH351" s="2856"/>
      <c r="AI351" s="2856"/>
      <c r="AJ351" s="2856"/>
      <c r="AK351" s="2856"/>
      <c r="AL351" s="2856"/>
      <c r="AM351" s="2856"/>
      <c r="AN351" s="2856"/>
      <c r="AO351" s="2856"/>
      <c r="AP351" s="2856"/>
      <c r="AQ351" s="2856"/>
      <c r="AR351" s="2856"/>
      <c r="AS351" s="2856"/>
      <c r="AT351" s="2866"/>
      <c r="AU351" s="2867"/>
      <c r="AV351" s="1182">
        <f t="shared" si="207"/>
        <v>0</v>
      </c>
      <c r="AW351" s="1182">
        <f t="shared" si="208"/>
        <v>0</v>
      </c>
      <c r="AX351" s="1182">
        <f t="shared" si="209"/>
        <v>0</v>
      </c>
      <c r="AY351" s="2881">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8">
        <f t="shared" si="205"/>
        <v>0</v>
      </c>
    </row>
    <row r="352" spans="1:72">
      <c r="A352" s="2833"/>
      <c r="B352" s="2834"/>
      <c r="C352" s="2834"/>
      <c r="D352" s="2835"/>
      <c r="E352" s="2836">
        <f t="shared" si="206"/>
        <v>0</v>
      </c>
      <c r="F352" s="2837"/>
      <c r="G352" s="2838">
        <f t="shared" si="181"/>
        <v>0</v>
      </c>
      <c r="H352" s="2839">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6">
        <f t="shared" si="183"/>
        <v>0</v>
      </c>
      <c r="AD352" s="2856"/>
      <c r="AE352" s="2856"/>
      <c r="AF352" s="2856"/>
      <c r="AG352" s="2856"/>
      <c r="AH352" s="2856"/>
      <c r="AI352" s="2856"/>
      <c r="AJ352" s="2856"/>
      <c r="AK352" s="2856"/>
      <c r="AL352" s="2856"/>
      <c r="AM352" s="2856"/>
      <c r="AN352" s="2856"/>
      <c r="AO352" s="2856"/>
      <c r="AP352" s="2856"/>
      <c r="AQ352" s="2856"/>
      <c r="AR352" s="2856"/>
      <c r="AS352" s="2856"/>
      <c r="AT352" s="2866"/>
      <c r="AU352" s="2867"/>
      <c r="AV352" s="1182">
        <f t="shared" si="207"/>
        <v>0</v>
      </c>
      <c r="AW352" s="1182">
        <f t="shared" si="208"/>
        <v>0</v>
      </c>
      <c r="AX352" s="1182">
        <f t="shared" si="209"/>
        <v>0</v>
      </c>
      <c r="AY352" s="2881">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8">
        <f t="shared" si="205"/>
        <v>0</v>
      </c>
    </row>
    <row r="353" spans="1:72">
      <c r="A353" s="2833"/>
      <c r="B353" s="2834"/>
      <c r="C353" s="2834"/>
      <c r="D353" s="2835"/>
      <c r="E353" s="2836">
        <f t="shared" si="206"/>
        <v>0</v>
      </c>
      <c r="F353" s="2837"/>
      <c r="G353" s="2838">
        <f t="shared" si="181"/>
        <v>0</v>
      </c>
      <c r="H353" s="2839">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6">
        <f t="shared" si="183"/>
        <v>0</v>
      </c>
      <c r="AD353" s="2856"/>
      <c r="AE353" s="2856"/>
      <c r="AF353" s="2856"/>
      <c r="AG353" s="2856"/>
      <c r="AH353" s="2856"/>
      <c r="AI353" s="2856"/>
      <c r="AJ353" s="2856"/>
      <c r="AK353" s="2856"/>
      <c r="AL353" s="2856"/>
      <c r="AM353" s="2856"/>
      <c r="AN353" s="2856"/>
      <c r="AO353" s="2856"/>
      <c r="AP353" s="2856"/>
      <c r="AQ353" s="2856"/>
      <c r="AR353" s="2856"/>
      <c r="AS353" s="2856"/>
      <c r="AT353" s="2866"/>
      <c r="AU353" s="2867"/>
      <c r="AV353" s="1182">
        <f t="shared" si="207"/>
        <v>0</v>
      </c>
      <c r="AW353" s="1182">
        <f t="shared" si="208"/>
        <v>0</v>
      </c>
      <c r="AX353" s="1182">
        <f t="shared" si="209"/>
        <v>0</v>
      </c>
      <c r="AY353" s="2881">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8">
        <f t="shared" si="205"/>
        <v>0</v>
      </c>
    </row>
    <row r="354" spans="1:72">
      <c r="A354" s="2833"/>
      <c r="B354" s="2834"/>
      <c r="C354" s="2834"/>
      <c r="D354" s="2835"/>
      <c r="E354" s="2836">
        <f t="shared" si="206"/>
        <v>0</v>
      </c>
      <c r="F354" s="2837"/>
      <c r="G354" s="2838">
        <f t="shared" si="181"/>
        <v>0</v>
      </c>
      <c r="H354" s="2839">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6">
        <f t="shared" si="183"/>
        <v>0</v>
      </c>
      <c r="AD354" s="2856"/>
      <c r="AE354" s="2856"/>
      <c r="AF354" s="2856"/>
      <c r="AG354" s="2856"/>
      <c r="AH354" s="2856"/>
      <c r="AI354" s="2856"/>
      <c r="AJ354" s="2856"/>
      <c r="AK354" s="2856"/>
      <c r="AL354" s="2856"/>
      <c r="AM354" s="2856"/>
      <c r="AN354" s="2856"/>
      <c r="AO354" s="2856"/>
      <c r="AP354" s="2856"/>
      <c r="AQ354" s="2856"/>
      <c r="AR354" s="2856"/>
      <c r="AS354" s="2856"/>
      <c r="AT354" s="2866"/>
      <c r="AU354" s="2867"/>
      <c r="AV354" s="1182">
        <f t="shared" si="207"/>
        <v>0</v>
      </c>
      <c r="AW354" s="1182">
        <f t="shared" si="208"/>
        <v>0</v>
      </c>
      <c r="AX354" s="1182">
        <f t="shared" si="209"/>
        <v>0</v>
      </c>
      <c r="AY354" s="2881">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8">
        <f t="shared" si="205"/>
        <v>0</v>
      </c>
    </row>
    <row r="355" spans="1:72">
      <c r="A355" s="2833"/>
      <c r="B355" s="2834"/>
      <c r="C355" s="2834"/>
      <c r="D355" s="2835"/>
      <c r="E355" s="2836">
        <f t="shared" si="206"/>
        <v>0</v>
      </c>
      <c r="F355" s="2837"/>
      <c r="G355" s="2838">
        <f t="shared" si="181"/>
        <v>0</v>
      </c>
      <c r="H355" s="2839">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6">
        <f t="shared" si="183"/>
        <v>0</v>
      </c>
      <c r="AD355" s="2856"/>
      <c r="AE355" s="2856"/>
      <c r="AF355" s="2856"/>
      <c r="AG355" s="2856"/>
      <c r="AH355" s="2856"/>
      <c r="AI355" s="2856"/>
      <c r="AJ355" s="2856"/>
      <c r="AK355" s="2856"/>
      <c r="AL355" s="2856"/>
      <c r="AM355" s="2856"/>
      <c r="AN355" s="2856"/>
      <c r="AO355" s="2856"/>
      <c r="AP355" s="2856"/>
      <c r="AQ355" s="2856"/>
      <c r="AR355" s="2856"/>
      <c r="AS355" s="2856"/>
      <c r="AT355" s="2866"/>
      <c r="AU355" s="2867"/>
      <c r="AV355" s="1182">
        <f t="shared" si="207"/>
        <v>0</v>
      </c>
      <c r="AW355" s="1182">
        <f t="shared" si="208"/>
        <v>0</v>
      </c>
      <c r="AX355" s="1182">
        <f t="shared" si="209"/>
        <v>0</v>
      </c>
      <c r="AY355" s="2881">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8">
        <f t="shared" si="205"/>
        <v>0</v>
      </c>
    </row>
    <row r="356" spans="1:72">
      <c r="A356" s="2833"/>
      <c r="B356" s="2834"/>
      <c r="C356" s="2834"/>
      <c r="D356" s="2835"/>
      <c r="E356" s="2836">
        <f t="shared" si="206"/>
        <v>0</v>
      </c>
      <c r="F356" s="2837"/>
      <c r="G356" s="2838">
        <f t="shared" si="181"/>
        <v>0</v>
      </c>
      <c r="H356" s="2839">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6">
        <f t="shared" si="183"/>
        <v>0</v>
      </c>
      <c r="AD356" s="2856"/>
      <c r="AE356" s="2856"/>
      <c r="AF356" s="2856"/>
      <c r="AG356" s="2856"/>
      <c r="AH356" s="2856"/>
      <c r="AI356" s="2856"/>
      <c r="AJ356" s="2856"/>
      <c r="AK356" s="2856"/>
      <c r="AL356" s="2856"/>
      <c r="AM356" s="2856"/>
      <c r="AN356" s="2856"/>
      <c r="AO356" s="2856"/>
      <c r="AP356" s="2856"/>
      <c r="AQ356" s="2856"/>
      <c r="AR356" s="2856"/>
      <c r="AS356" s="2856"/>
      <c r="AT356" s="2866"/>
      <c r="AU356" s="2867"/>
      <c r="AV356" s="1182">
        <f t="shared" si="207"/>
        <v>0</v>
      </c>
      <c r="AW356" s="1182">
        <f t="shared" si="208"/>
        <v>0</v>
      </c>
      <c r="AX356" s="1182">
        <f t="shared" si="209"/>
        <v>0</v>
      </c>
      <c r="AY356" s="2881">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8">
        <f t="shared" si="205"/>
        <v>0</v>
      </c>
    </row>
    <row r="357" spans="1:72">
      <c r="A357" s="2833"/>
      <c r="B357" s="2834"/>
      <c r="C357" s="2834"/>
      <c r="D357" s="2835"/>
      <c r="E357" s="2836">
        <f t="shared" si="206"/>
        <v>0</v>
      </c>
      <c r="F357" s="2837"/>
      <c r="G357" s="2838">
        <f t="shared" si="181"/>
        <v>0</v>
      </c>
      <c r="H357" s="2839">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6">
        <f t="shared" si="183"/>
        <v>0</v>
      </c>
      <c r="AD357" s="2856"/>
      <c r="AE357" s="2856"/>
      <c r="AF357" s="2856"/>
      <c r="AG357" s="2856"/>
      <c r="AH357" s="2856"/>
      <c r="AI357" s="2856"/>
      <c r="AJ357" s="2856"/>
      <c r="AK357" s="2856"/>
      <c r="AL357" s="2856"/>
      <c r="AM357" s="2856"/>
      <c r="AN357" s="2856"/>
      <c r="AO357" s="2856"/>
      <c r="AP357" s="2856"/>
      <c r="AQ357" s="2856"/>
      <c r="AR357" s="2856"/>
      <c r="AS357" s="2856"/>
      <c r="AT357" s="2866"/>
      <c r="AU357" s="2867"/>
      <c r="AV357" s="1182">
        <f t="shared" si="207"/>
        <v>0</v>
      </c>
      <c r="AW357" s="1182">
        <f t="shared" si="208"/>
        <v>0</v>
      </c>
      <c r="AX357" s="1182">
        <f t="shared" si="209"/>
        <v>0</v>
      </c>
      <c r="AY357" s="2881">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8">
        <f t="shared" si="205"/>
        <v>0</v>
      </c>
    </row>
    <row r="358" spans="1:72">
      <c r="A358" s="2833"/>
      <c r="B358" s="2834"/>
      <c r="C358" s="2834"/>
      <c r="D358" s="2835"/>
      <c r="E358" s="2836">
        <f t="shared" si="206"/>
        <v>0</v>
      </c>
      <c r="F358" s="2837"/>
      <c r="G358" s="2838">
        <f t="shared" si="181"/>
        <v>0</v>
      </c>
      <c r="H358" s="2839">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6">
        <f t="shared" si="183"/>
        <v>0</v>
      </c>
      <c r="AD358" s="2856"/>
      <c r="AE358" s="2856"/>
      <c r="AF358" s="2856"/>
      <c r="AG358" s="2856"/>
      <c r="AH358" s="2856"/>
      <c r="AI358" s="2856"/>
      <c r="AJ358" s="2856"/>
      <c r="AK358" s="2856"/>
      <c r="AL358" s="2856"/>
      <c r="AM358" s="2856"/>
      <c r="AN358" s="2856"/>
      <c r="AO358" s="2856"/>
      <c r="AP358" s="2856"/>
      <c r="AQ358" s="2856"/>
      <c r="AR358" s="2856"/>
      <c r="AS358" s="2856"/>
      <c r="AT358" s="2866"/>
      <c r="AU358" s="2867"/>
      <c r="AV358" s="1182">
        <f t="shared" si="207"/>
        <v>0</v>
      </c>
      <c r="AW358" s="1182">
        <f t="shared" si="208"/>
        <v>0</v>
      </c>
      <c r="AX358" s="1182">
        <f t="shared" si="209"/>
        <v>0</v>
      </c>
      <c r="AY358" s="2881">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8">
        <f t="shared" si="205"/>
        <v>0</v>
      </c>
    </row>
    <row r="359" spans="1:72">
      <c r="A359" s="2833"/>
      <c r="B359" s="2834"/>
      <c r="C359" s="2834"/>
      <c r="D359" s="2835"/>
      <c r="E359" s="2836">
        <f t="shared" si="206"/>
        <v>0</v>
      </c>
      <c r="F359" s="2837"/>
      <c r="G359" s="2838">
        <f t="shared" si="181"/>
        <v>0</v>
      </c>
      <c r="H359" s="2839">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6">
        <f t="shared" si="183"/>
        <v>0</v>
      </c>
      <c r="AD359" s="2856"/>
      <c r="AE359" s="2856"/>
      <c r="AF359" s="2856"/>
      <c r="AG359" s="2856"/>
      <c r="AH359" s="2856"/>
      <c r="AI359" s="2856"/>
      <c r="AJ359" s="2856"/>
      <c r="AK359" s="2856"/>
      <c r="AL359" s="2856"/>
      <c r="AM359" s="2856"/>
      <c r="AN359" s="2856"/>
      <c r="AO359" s="2856"/>
      <c r="AP359" s="2856"/>
      <c r="AQ359" s="2856"/>
      <c r="AR359" s="2856"/>
      <c r="AS359" s="2856"/>
      <c r="AT359" s="2866"/>
      <c r="AU359" s="2867"/>
      <c r="AV359" s="1182">
        <f t="shared" si="207"/>
        <v>0</v>
      </c>
      <c r="AW359" s="1182">
        <f t="shared" si="208"/>
        <v>0</v>
      </c>
      <c r="AX359" s="1182">
        <f t="shared" si="209"/>
        <v>0</v>
      </c>
      <c r="AY359" s="2881">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8">
        <f t="shared" si="205"/>
        <v>0</v>
      </c>
    </row>
    <row r="360" spans="1:72">
      <c r="A360" s="2833"/>
      <c r="B360" s="2834"/>
      <c r="C360" s="2834"/>
      <c r="D360" s="2835"/>
      <c r="E360" s="2836">
        <f t="shared" si="206"/>
        <v>0</v>
      </c>
      <c r="F360" s="2837"/>
      <c r="G360" s="2838">
        <f t="shared" si="181"/>
        <v>0</v>
      </c>
      <c r="H360" s="2839">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6">
        <f t="shared" si="183"/>
        <v>0</v>
      </c>
      <c r="AD360" s="2856"/>
      <c r="AE360" s="2856"/>
      <c r="AF360" s="2856"/>
      <c r="AG360" s="2856"/>
      <c r="AH360" s="2856"/>
      <c r="AI360" s="2856"/>
      <c r="AJ360" s="2856"/>
      <c r="AK360" s="2856"/>
      <c r="AL360" s="2856"/>
      <c r="AM360" s="2856"/>
      <c r="AN360" s="2856"/>
      <c r="AO360" s="2856"/>
      <c r="AP360" s="2856"/>
      <c r="AQ360" s="2856"/>
      <c r="AR360" s="2856"/>
      <c r="AS360" s="2856"/>
      <c r="AT360" s="2866"/>
      <c r="AU360" s="2867"/>
      <c r="AV360" s="1182">
        <f t="shared" si="207"/>
        <v>0</v>
      </c>
      <c r="AW360" s="1182">
        <f t="shared" si="208"/>
        <v>0</v>
      </c>
      <c r="AX360" s="1182">
        <f t="shared" si="209"/>
        <v>0</v>
      </c>
      <c r="AY360" s="2881">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8">
        <f t="shared" si="205"/>
        <v>0</v>
      </c>
    </row>
    <row r="361" spans="1:72">
      <c r="A361" s="2833"/>
      <c r="B361" s="2834"/>
      <c r="C361" s="2834"/>
      <c r="D361" s="2835"/>
      <c r="E361" s="2836">
        <f t="shared" si="206"/>
        <v>0</v>
      </c>
      <c r="F361" s="2837"/>
      <c r="G361" s="2838">
        <f t="shared" si="181"/>
        <v>0</v>
      </c>
      <c r="H361" s="2839">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6">
        <f t="shared" si="183"/>
        <v>0</v>
      </c>
      <c r="AD361" s="2856"/>
      <c r="AE361" s="2856"/>
      <c r="AF361" s="2856"/>
      <c r="AG361" s="2856"/>
      <c r="AH361" s="2856"/>
      <c r="AI361" s="2856"/>
      <c r="AJ361" s="2856"/>
      <c r="AK361" s="2856"/>
      <c r="AL361" s="2856"/>
      <c r="AM361" s="2856"/>
      <c r="AN361" s="2856"/>
      <c r="AO361" s="2856"/>
      <c r="AP361" s="2856"/>
      <c r="AQ361" s="2856"/>
      <c r="AR361" s="2856"/>
      <c r="AS361" s="2856"/>
      <c r="AT361" s="2866"/>
      <c r="AU361" s="2867"/>
      <c r="AV361" s="1182">
        <f t="shared" si="207"/>
        <v>0</v>
      </c>
      <c r="AW361" s="1182">
        <f t="shared" si="208"/>
        <v>0</v>
      </c>
      <c r="AX361" s="1182">
        <f t="shared" si="209"/>
        <v>0</v>
      </c>
      <c r="AY361" s="2881">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8">
        <f t="shared" si="205"/>
        <v>0</v>
      </c>
    </row>
    <row r="362" spans="1:72">
      <c r="A362" s="2833"/>
      <c r="B362" s="2834"/>
      <c r="C362" s="2834"/>
      <c r="D362" s="2835"/>
      <c r="E362" s="2836">
        <f t="shared" si="206"/>
        <v>0</v>
      </c>
      <c r="F362" s="2837"/>
      <c r="G362" s="2838">
        <f t="shared" si="181"/>
        <v>0</v>
      </c>
      <c r="H362" s="2839">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6">
        <f t="shared" si="183"/>
        <v>0</v>
      </c>
      <c r="AD362" s="2856"/>
      <c r="AE362" s="2856"/>
      <c r="AF362" s="2856"/>
      <c r="AG362" s="2856"/>
      <c r="AH362" s="2856"/>
      <c r="AI362" s="2856"/>
      <c r="AJ362" s="2856"/>
      <c r="AK362" s="2856"/>
      <c r="AL362" s="2856"/>
      <c r="AM362" s="2856"/>
      <c r="AN362" s="2856"/>
      <c r="AO362" s="2856"/>
      <c r="AP362" s="2856"/>
      <c r="AQ362" s="2856"/>
      <c r="AR362" s="2856"/>
      <c r="AS362" s="2856"/>
      <c r="AT362" s="2866"/>
      <c r="AU362" s="2867"/>
      <c r="AV362" s="1182">
        <f t="shared" si="207"/>
        <v>0</v>
      </c>
      <c r="AW362" s="1182">
        <f t="shared" si="208"/>
        <v>0</v>
      </c>
      <c r="AX362" s="1182">
        <f t="shared" si="209"/>
        <v>0</v>
      </c>
      <c r="AY362" s="2881">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8">
        <f t="shared" si="205"/>
        <v>0</v>
      </c>
    </row>
    <row r="363" spans="1:72">
      <c r="A363" s="2833"/>
      <c r="B363" s="2834"/>
      <c r="C363" s="2834"/>
      <c r="D363" s="2835"/>
      <c r="E363" s="2836">
        <f t="shared" si="206"/>
        <v>0</v>
      </c>
      <c r="F363" s="2837"/>
      <c r="G363" s="2838">
        <f t="shared" si="181"/>
        <v>0</v>
      </c>
      <c r="H363" s="2839">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6">
        <f t="shared" si="183"/>
        <v>0</v>
      </c>
      <c r="AD363" s="2856"/>
      <c r="AE363" s="2856"/>
      <c r="AF363" s="2856"/>
      <c r="AG363" s="2856"/>
      <c r="AH363" s="2856"/>
      <c r="AI363" s="2856"/>
      <c r="AJ363" s="2856"/>
      <c r="AK363" s="2856"/>
      <c r="AL363" s="2856"/>
      <c r="AM363" s="2856"/>
      <c r="AN363" s="2856"/>
      <c r="AO363" s="2856"/>
      <c r="AP363" s="2856"/>
      <c r="AQ363" s="2856"/>
      <c r="AR363" s="2856"/>
      <c r="AS363" s="2856"/>
      <c r="AT363" s="2866"/>
      <c r="AU363" s="2867"/>
      <c r="AV363" s="1182">
        <f t="shared" si="207"/>
        <v>0</v>
      </c>
      <c r="AW363" s="1182">
        <f t="shared" si="208"/>
        <v>0</v>
      </c>
      <c r="AX363" s="1182">
        <f t="shared" si="209"/>
        <v>0</v>
      </c>
      <c r="AY363" s="2881">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8">
        <f t="shared" si="205"/>
        <v>0</v>
      </c>
    </row>
    <row r="364" spans="1:72">
      <c r="A364" s="2833"/>
      <c r="B364" s="2834"/>
      <c r="C364" s="2834"/>
      <c r="D364" s="2835"/>
      <c r="E364" s="2836">
        <f t="shared" si="206"/>
        <v>0</v>
      </c>
      <c r="F364" s="2837"/>
      <c r="G364" s="2838">
        <f t="shared" ref="G364:G397" si="210">H364+AC364+AT364</f>
        <v>0</v>
      </c>
      <c r="H364" s="2839">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6">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66"/>
      <c r="AU364" s="2867"/>
      <c r="AV364" s="1182">
        <f t="shared" si="207"/>
        <v>0</v>
      </c>
      <c r="AW364" s="1182">
        <f t="shared" si="208"/>
        <v>0</v>
      </c>
      <c r="AX364" s="1182">
        <f t="shared" si="209"/>
        <v>0</v>
      </c>
      <c r="AY364" s="2881">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8">
        <f t="shared" ref="BT364:BT397" si="234">IF($D364="是",AR364-AS364,0)</f>
        <v>0</v>
      </c>
    </row>
    <row r="365" spans="1:72">
      <c r="A365" s="2833"/>
      <c r="B365" s="2834"/>
      <c r="C365" s="2834"/>
      <c r="D365" s="2835"/>
      <c r="E365" s="2836">
        <f t="shared" si="206"/>
        <v>0</v>
      </c>
      <c r="F365" s="2837"/>
      <c r="G365" s="2838">
        <f t="shared" si="210"/>
        <v>0</v>
      </c>
      <c r="H365" s="2839">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6">
        <f t="shared" si="212"/>
        <v>0</v>
      </c>
      <c r="AD365" s="2856"/>
      <c r="AE365" s="2856"/>
      <c r="AF365" s="2856"/>
      <c r="AG365" s="2856"/>
      <c r="AH365" s="2856"/>
      <c r="AI365" s="2856"/>
      <c r="AJ365" s="2856"/>
      <c r="AK365" s="2856"/>
      <c r="AL365" s="2856"/>
      <c r="AM365" s="2856"/>
      <c r="AN365" s="2856"/>
      <c r="AO365" s="2856"/>
      <c r="AP365" s="2856"/>
      <c r="AQ365" s="2856"/>
      <c r="AR365" s="2856"/>
      <c r="AS365" s="2856"/>
      <c r="AT365" s="2866"/>
      <c r="AU365" s="2867"/>
      <c r="AV365" s="1182">
        <f t="shared" si="207"/>
        <v>0</v>
      </c>
      <c r="AW365" s="1182">
        <f t="shared" si="208"/>
        <v>0</v>
      </c>
      <c r="AX365" s="1182">
        <f t="shared" si="209"/>
        <v>0</v>
      </c>
      <c r="AY365" s="2881">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8">
        <f t="shared" si="234"/>
        <v>0</v>
      </c>
    </row>
    <row r="366" spans="1:72">
      <c r="A366" s="2833"/>
      <c r="B366" s="2834"/>
      <c r="C366" s="2834"/>
      <c r="D366" s="2835"/>
      <c r="E366" s="2836">
        <f t="shared" si="206"/>
        <v>0</v>
      </c>
      <c r="F366" s="2837"/>
      <c r="G366" s="2838">
        <f t="shared" si="210"/>
        <v>0</v>
      </c>
      <c r="H366" s="2839">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6">
        <f t="shared" si="212"/>
        <v>0</v>
      </c>
      <c r="AD366" s="2856"/>
      <c r="AE366" s="2856"/>
      <c r="AF366" s="2856"/>
      <c r="AG366" s="2856"/>
      <c r="AH366" s="2856"/>
      <c r="AI366" s="2856"/>
      <c r="AJ366" s="2856"/>
      <c r="AK366" s="2856"/>
      <c r="AL366" s="2856"/>
      <c r="AM366" s="2856"/>
      <c r="AN366" s="2856"/>
      <c r="AO366" s="2856"/>
      <c r="AP366" s="2856"/>
      <c r="AQ366" s="2856"/>
      <c r="AR366" s="2856"/>
      <c r="AS366" s="2856"/>
      <c r="AT366" s="2866"/>
      <c r="AU366" s="2867"/>
      <c r="AV366" s="1182">
        <f t="shared" si="207"/>
        <v>0</v>
      </c>
      <c r="AW366" s="1182">
        <f t="shared" si="208"/>
        <v>0</v>
      </c>
      <c r="AX366" s="1182">
        <f t="shared" si="209"/>
        <v>0</v>
      </c>
      <c r="AY366" s="2881">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8">
        <f t="shared" si="234"/>
        <v>0</v>
      </c>
    </row>
    <row r="367" spans="1:72">
      <c r="A367" s="2833"/>
      <c r="B367" s="2834"/>
      <c r="C367" s="2834"/>
      <c r="D367" s="2835"/>
      <c r="E367" s="2836">
        <f t="shared" ref="E367:E397" si="235">IF($C$3="是",ROUND($A$3*G367/$B$3,2),ROUND($A$3*(G367-AT367)/$B$3,2))</f>
        <v>0</v>
      </c>
      <c r="F367" s="2837"/>
      <c r="G367" s="2838">
        <f t="shared" si="210"/>
        <v>0</v>
      </c>
      <c r="H367" s="2839">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6">
        <f t="shared" si="212"/>
        <v>0</v>
      </c>
      <c r="AD367" s="2856"/>
      <c r="AE367" s="2856"/>
      <c r="AF367" s="2856"/>
      <c r="AG367" s="2856"/>
      <c r="AH367" s="2856"/>
      <c r="AI367" s="2856"/>
      <c r="AJ367" s="2856"/>
      <c r="AK367" s="2856"/>
      <c r="AL367" s="2856"/>
      <c r="AM367" s="2856"/>
      <c r="AN367" s="2856"/>
      <c r="AO367" s="2856"/>
      <c r="AP367" s="2856"/>
      <c r="AQ367" s="2856"/>
      <c r="AR367" s="2856"/>
      <c r="AS367" s="2856"/>
      <c r="AT367" s="2866"/>
      <c r="AU367" s="2867"/>
      <c r="AV367" s="1182">
        <f t="shared" ref="AV367:AV397" si="236">A367</f>
        <v>0</v>
      </c>
      <c r="AW367" s="1182">
        <f t="shared" ref="AW367:AW397" si="237">B367</f>
        <v>0</v>
      </c>
      <c r="AX367" s="1182">
        <f t="shared" ref="AX367:AX397" si="238">C367</f>
        <v>0</v>
      </c>
      <c r="AY367" s="2881">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8">
        <f t="shared" si="234"/>
        <v>0</v>
      </c>
    </row>
    <row r="368" spans="1:72">
      <c r="A368" s="2833"/>
      <c r="B368" s="2834"/>
      <c r="C368" s="2834"/>
      <c r="D368" s="2835"/>
      <c r="E368" s="2836">
        <f t="shared" si="235"/>
        <v>0</v>
      </c>
      <c r="F368" s="2837"/>
      <c r="G368" s="2838">
        <f t="shared" si="210"/>
        <v>0</v>
      </c>
      <c r="H368" s="2839">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6">
        <f t="shared" si="212"/>
        <v>0</v>
      </c>
      <c r="AD368" s="2856"/>
      <c r="AE368" s="2856"/>
      <c r="AF368" s="2856"/>
      <c r="AG368" s="2856"/>
      <c r="AH368" s="2856"/>
      <c r="AI368" s="2856"/>
      <c r="AJ368" s="2856"/>
      <c r="AK368" s="2856"/>
      <c r="AL368" s="2856"/>
      <c r="AM368" s="2856"/>
      <c r="AN368" s="2856"/>
      <c r="AO368" s="2856"/>
      <c r="AP368" s="2856"/>
      <c r="AQ368" s="2856"/>
      <c r="AR368" s="2856"/>
      <c r="AS368" s="2856"/>
      <c r="AT368" s="2866"/>
      <c r="AU368" s="2867"/>
      <c r="AV368" s="1182">
        <f t="shared" si="236"/>
        <v>0</v>
      </c>
      <c r="AW368" s="1182">
        <f t="shared" si="237"/>
        <v>0</v>
      </c>
      <c r="AX368" s="1182">
        <f t="shared" si="238"/>
        <v>0</v>
      </c>
      <c r="AY368" s="2881">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8">
        <f t="shared" si="234"/>
        <v>0</v>
      </c>
    </row>
    <row r="369" spans="1:72">
      <c r="A369" s="2833"/>
      <c r="B369" s="2834"/>
      <c r="C369" s="2834"/>
      <c r="D369" s="2835"/>
      <c r="E369" s="2836">
        <f t="shared" si="235"/>
        <v>0</v>
      </c>
      <c r="F369" s="2837"/>
      <c r="G369" s="2838">
        <f t="shared" si="210"/>
        <v>0</v>
      </c>
      <c r="H369" s="2839">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6">
        <f t="shared" si="212"/>
        <v>0</v>
      </c>
      <c r="AD369" s="2856"/>
      <c r="AE369" s="2856"/>
      <c r="AF369" s="2856"/>
      <c r="AG369" s="2856"/>
      <c r="AH369" s="2856"/>
      <c r="AI369" s="2856"/>
      <c r="AJ369" s="2856"/>
      <c r="AK369" s="2856"/>
      <c r="AL369" s="2856"/>
      <c r="AM369" s="2856"/>
      <c r="AN369" s="2856"/>
      <c r="AO369" s="2856"/>
      <c r="AP369" s="2856"/>
      <c r="AQ369" s="2856"/>
      <c r="AR369" s="2856"/>
      <c r="AS369" s="2856"/>
      <c r="AT369" s="2866"/>
      <c r="AU369" s="2867"/>
      <c r="AV369" s="1182">
        <f t="shared" si="236"/>
        <v>0</v>
      </c>
      <c r="AW369" s="1182">
        <f t="shared" si="237"/>
        <v>0</v>
      </c>
      <c r="AX369" s="1182">
        <f t="shared" si="238"/>
        <v>0</v>
      </c>
      <c r="AY369" s="2881">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8">
        <f t="shared" si="234"/>
        <v>0</v>
      </c>
    </row>
    <row r="370" spans="1:72">
      <c r="A370" s="2833"/>
      <c r="B370" s="2834"/>
      <c r="C370" s="2834"/>
      <c r="D370" s="2835"/>
      <c r="E370" s="2836">
        <f t="shared" si="235"/>
        <v>0</v>
      </c>
      <c r="F370" s="2837"/>
      <c r="G370" s="2838">
        <f t="shared" si="210"/>
        <v>0</v>
      </c>
      <c r="H370" s="2839">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6">
        <f t="shared" si="212"/>
        <v>0</v>
      </c>
      <c r="AD370" s="2856"/>
      <c r="AE370" s="2856"/>
      <c r="AF370" s="2856"/>
      <c r="AG370" s="2856"/>
      <c r="AH370" s="2856"/>
      <c r="AI370" s="2856"/>
      <c r="AJ370" s="2856"/>
      <c r="AK370" s="2856"/>
      <c r="AL370" s="2856"/>
      <c r="AM370" s="2856"/>
      <c r="AN370" s="2856"/>
      <c r="AO370" s="2856"/>
      <c r="AP370" s="2856"/>
      <c r="AQ370" s="2856"/>
      <c r="AR370" s="2856"/>
      <c r="AS370" s="2856"/>
      <c r="AT370" s="2866"/>
      <c r="AU370" s="2867"/>
      <c r="AV370" s="1182">
        <f t="shared" si="236"/>
        <v>0</v>
      </c>
      <c r="AW370" s="1182">
        <f t="shared" si="237"/>
        <v>0</v>
      </c>
      <c r="AX370" s="1182">
        <f t="shared" si="238"/>
        <v>0</v>
      </c>
      <c r="AY370" s="2881">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8">
        <f t="shared" si="234"/>
        <v>0</v>
      </c>
    </row>
    <row r="371" spans="1:72">
      <c r="A371" s="2833"/>
      <c r="B371" s="2834"/>
      <c r="C371" s="2834"/>
      <c r="D371" s="2835"/>
      <c r="E371" s="2836">
        <f t="shared" si="235"/>
        <v>0</v>
      </c>
      <c r="F371" s="2837"/>
      <c r="G371" s="2838">
        <f t="shared" si="210"/>
        <v>0</v>
      </c>
      <c r="H371" s="2839">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6">
        <f t="shared" si="212"/>
        <v>0</v>
      </c>
      <c r="AD371" s="2856"/>
      <c r="AE371" s="2856"/>
      <c r="AF371" s="2856"/>
      <c r="AG371" s="2856"/>
      <c r="AH371" s="2856"/>
      <c r="AI371" s="2856"/>
      <c r="AJ371" s="2856"/>
      <c r="AK371" s="2856"/>
      <c r="AL371" s="2856"/>
      <c r="AM371" s="2856"/>
      <c r="AN371" s="2856"/>
      <c r="AO371" s="2856"/>
      <c r="AP371" s="2856"/>
      <c r="AQ371" s="2856"/>
      <c r="AR371" s="2856"/>
      <c r="AS371" s="2856"/>
      <c r="AT371" s="2866"/>
      <c r="AU371" s="2867"/>
      <c r="AV371" s="1182">
        <f t="shared" si="236"/>
        <v>0</v>
      </c>
      <c r="AW371" s="1182">
        <f t="shared" si="237"/>
        <v>0</v>
      </c>
      <c r="AX371" s="1182">
        <f t="shared" si="238"/>
        <v>0</v>
      </c>
      <c r="AY371" s="2881">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8">
        <f t="shared" si="234"/>
        <v>0</v>
      </c>
    </row>
    <row r="372" spans="1:72">
      <c r="A372" s="2833"/>
      <c r="B372" s="2834"/>
      <c r="C372" s="2834"/>
      <c r="D372" s="2835"/>
      <c r="E372" s="2836">
        <f t="shared" si="235"/>
        <v>0</v>
      </c>
      <c r="F372" s="2837"/>
      <c r="G372" s="2838">
        <f t="shared" si="210"/>
        <v>0</v>
      </c>
      <c r="H372" s="2839">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6">
        <f t="shared" si="212"/>
        <v>0</v>
      </c>
      <c r="AD372" s="2856"/>
      <c r="AE372" s="2856"/>
      <c r="AF372" s="2856"/>
      <c r="AG372" s="2856"/>
      <c r="AH372" s="2856"/>
      <c r="AI372" s="2856"/>
      <c r="AJ372" s="2856"/>
      <c r="AK372" s="2856"/>
      <c r="AL372" s="2856"/>
      <c r="AM372" s="2856"/>
      <c r="AN372" s="2856"/>
      <c r="AO372" s="2856"/>
      <c r="AP372" s="2856"/>
      <c r="AQ372" s="2856"/>
      <c r="AR372" s="2856"/>
      <c r="AS372" s="2856"/>
      <c r="AT372" s="2866"/>
      <c r="AU372" s="2867"/>
      <c r="AV372" s="1182">
        <f t="shared" si="236"/>
        <v>0</v>
      </c>
      <c r="AW372" s="1182">
        <f t="shared" si="237"/>
        <v>0</v>
      </c>
      <c r="AX372" s="1182">
        <f t="shared" si="238"/>
        <v>0</v>
      </c>
      <c r="AY372" s="2881">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8">
        <f t="shared" si="234"/>
        <v>0</v>
      </c>
    </row>
    <row r="373" spans="1:72">
      <c r="A373" s="2833"/>
      <c r="B373" s="2834"/>
      <c r="C373" s="2834"/>
      <c r="D373" s="2835"/>
      <c r="E373" s="2836">
        <f t="shared" si="235"/>
        <v>0</v>
      </c>
      <c r="F373" s="2837"/>
      <c r="G373" s="2838">
        <f t="shared" si="210"/>
        <v>0</v>
      </c>
      <c r="H373" s="2839">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6">
        <f t="shared" si="212"/>
        <v>0</v>
      </c>
      <c r="AD373" s="2856"/>
      <c r="AE373" s="2856"/>
      <c r="AF373" s="2856"/>
      <c r="AG373" s="2856"/>
      <c r="AH373" s="2856"/>
      <c r="AI373" s="2856"/>
      <c r="AJ373" s="2856"/>
      <c r="AK373" s="2856"/>
      <c r="AL373" s="2856"/>
      <c r="AM373" s="2856"/>
      <c r="AN373" s="2856"/>
      <c r="AO373" s="2856"/>
      <c r="AP373" s="2856"/>
      <c r="AQ373" s="2856"/>
      <c r="AR373" s="2856"/>
      <c r="AS373" s="2856"/>
      <c r="AT373" s="2866"/>
      <c r="AU373" s="2867"/>
      <c r="AV373" s="1182">
        <f t="shared" si="236"/>
        <v>0</v>
      </c>
      <c r="AW373" s="1182">
        <f t="shared" si="237"/>
        <v>0</v>
      </c>
      <c r="AX373" s="1182">
        <f t="shared" si="238"/>
        <v>0</v>
      </c>
      <c r="AY373" s="2881">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8">
        <f t="shared" si="234"/>
        <v>0</v>
      </c>
    </row>
    <row r="374" spans="1:72">
      <c r="A374" s="2833"/>
      <c r="B374" s="2834"/>
      <c r="C374" s="2834"/>
      <c r="D374" s="2835"/>
      <c r="E374" s="2836">
        <f t="shared" si="235"/>
        <v>0</v>
      </c>
      <c r="F374" s="2837"/>
      <c r="G374" s="2838">
        <f t="shared" si="210"/>
        <v>0</v>
      </c>
      <c r="H374" s="2839">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6">
        <f t="shared" si="212"/>
        <v>0</v>
      </c>
      <c r="AD374" s="2856"/>
      <c r="AE374" s="2856"/>
      <c r="AF374" s="2856"/>
      <c r="AG374" s="2856"/>
      <c r="AH374" s="2856"/>
      <c r="AI374" s="2856"/>
      <c r="AJ374" s="2856"/>
      <c r="AK374" s="2856"/>
      <c r="AL374" s="2856"/>
      <c r="AM374" s="2856"/>
      <c r="AN374" s="2856"/>
      <c r="AO374" s="2856"/>
      <c r="AP374" s="2856"/>
      <c r="AQ374" s="2856"/>
      <c r="AR374" s="2856"/>
      <c r="AS374" s="2856"/>
      <c r="AT374" s="2866"/>
      <c r="AU374" s="2867"/>
      <c r="AV374" s="1182">
        <f t="shared" si="236"/>
        <v>0</v>
      </c>
      <c r="AW374" s="1182">
        <f t="shared" si="237"/>
        <v>0</v>
      </c>
      <c r="AX374" s="1182">
        <f t="shared" si="238"/>
        <v>0</v>
      </c>
      <c r="AY374" s="2881">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8">
        <f t="shared" si="234"/>
        <v>0</v>
      </c>
    </row>
    <row r="375" spans="1:72">
      <c r="A375" s="2833"/>
      <c r="B375" s="2834"/>
      <c r="C375" s="2834"/>
      <c r="D375" s="2835"/>
      <c r="E375" s="2836">
        <f t="shared" si="235"/>
        <v>0</v>
      </c>
      <c r="F375" s="2837"/>
      <c r="G375" s="2838">
        <f t="shared" si="210"/>
        <v>0</v>
      </c>
      <c r="H375" s="2839">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6">
        <f t="shared" si="212"/>
        <v>0</v>
      </c>
      <c r="AD375" s="2856"/>
      <c r="AE375" s="2856"/>
      <c r="AF375" s="2856"/>
      <c r="AG375" s="2856"/>
      <c r="AH375" s="2856"/>
      <c r="AI375" s="2856"/>
      <c r="AJ375" s="2856"/>
      <c r="AK375" s="2856"/>
      <c r="AL375" s="2856"/>
      <c r="AM375" s="2856"/>
      <c r="AN375" s="2856"/>
      <c r="AO375" s="2856"/>
      <c r="AP375" s="2856"/>
      <c r="AQ375" s="2856"/>
      <c r="AR375" s="2856"/>
      <c r="AS375" s="2856"/>
      <c r="AT375" s="2866"/>
      <c r="AU375" s="2867"/>
      <c r="AV375" s="1182">
        <f t="shared" si="236"/>
        <v>0</v>
      </c>
      <c r="AW375" s="1182">
        <f t="shared" si="237"/>
        <v>0</v>
      </c>
      <c r="AX375" s="1182">
        <f t="shared" si="238"/>
        <v>0</v>
      </c>
      <c r="AY375" s="2881">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8">
        <f t="shared" si="234"/>
        <v>0</v>
      </c>
    </row>
    <row r="376" spans="1:72">
      <c r="A376" s="2833"/>
      <c r="B376" s="2834"/>
      <c r="C376" s="2834"/>
      <c r="D376" s="2835"/>
      <c r="E376" s="2836">
        <f t="shared" si="235"/>
        <v>0</v>
      </c>
      <c r="F376" s="2837"/>
      <c r="G376" s="2838">
        <f t="shared" si="210"/>
        <v>0</v>
      </c>
      <c r="H376" s="2839">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6">
        <f t="shared" si="212"/>
        <v>0</v>
      </c>
      <c r="AD376" s="2856"/>
      <c r="AE376" s="2856"/>
      <c r="AF376" s="2856"/>
      <c r="AG376" s="2856"/>
      <c r="AH376" s="2856"/>
      <c r="AI376" s="2856"/>
      <c r="AJ376" s="2856"/>
      <c r="AK376" s="2856"/>
      <c r="AL376" s="2856"/>
      <c r="AM376" s="2856"/>
      <c r="AN376" s="2856"/>
      <c r="AO376" s="2856"/>
      <c r="AP376" s="2856"/>
      <c r="AQ376" s="2856"/>
      <c r="AR376" s="2856"/>
      <c r="AS376" s="2856"/>
      <c r="AT376" s="2866"/>
      <c r="AU376" s="2867"/>
      <c r="AV376" s="1182">
        <f t="shared" si="236"/>
        <v>0</v>
      </c>
      <c r="AW376" s="1182">
        <f t="shared" si="237"/>
        <v>0</v>
      </c>
      <c r="AX376" s="1182">
        <f t="shared" si="238"/>
        <v>0</v>
      </c>
      <c r="AY376" s="2881">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8">
        <f t="shared" si="234"/>
        <v>0</v>
      </c>
    </row>
    <row r="377" spans="1:72">
      <c r="A377" s="2833"/>
      <c r="B377" s="2834"/>
      <c r="C377" s="2834"/>
      <c r="D377" s="2835"/>
      <c r="E377" s="2836">
        <f t="shared" si="235"/>
        <v>0</v>
      </c>
      <c r="F377" s="2837"/>
      <c r="G377" s="2838">
        <f t="shared" si="210"/>
        <v>0</v>
      </c>
      <c r="H377" s="2839">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6">
        <f t="shared" si="212"/>
        <v>0</v>
      </c>
      <c r="AD377" s="2856"/>
      <c r="AE377" s="2856"/>
      <c r="AF377" s="2856"/>
      <c r="AG377" s="2856"/>
      <c r="AH377" s="2856"/>
      <c r="AI377" s="2856"/>
      <c r="AJ377" s="2856"/>
      <c r="AK377" s="2856"/>
      <c r="AL377" s="2856"/>
      <c r="AM377" s="2856"/>
      <c r="AN377" s="2856"/>
      <c r="AO377" s="2856"/>
      <c r="AP377" s="2856"/>
      <c r="AQ377" s="2856"/>
      <c r="AR377" s="2856"/>
      <c r="AS377" s="2856"/>
      <c r="AT377" s="2866"/>
      <c r="AU377" s="2867"/>
      <c r="AV377" s="1182">
        <f t="shared" si="236"/>
        <v>0</v>
      </c>
      <c r="AW377" s="1182">
        <f t="shared" si="237"/>
        <v>0</v>
      </c>
      <c r="AX377" s="1182">
        <f t="shared" si="238"/>
        <v>0</v>
      </c>
      <c r="AY377" s="2881">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8">
        <f t="shared" si="234"/>
        <v>0</v>
      </c>
    </row>
    <row r="378" spans="1:72">
      <c r="A378" s="2833"/>
      <c r="B378" s="2834"/>
      <c r="C378" s="2834"/>
      <c r="D378" s="2835"/>
      <c r="E378" s="2836">
        <f t="shared" si="235"/>
        <v>0</v>
      </c>
      <c r="F378" s="2837"/>
      <c r="G378" s="2838">
        <f t="shared" si="210"/>
        <v>0</v>
      </c>
      <c r="H378" s="2839">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6">
        <f t="shared" si="212"/>
        <v>0</v>
      </c>
      <c r="AD378" s="2856"/>
      <c r="AE378" s="2856"/>
      <c r="AF378" s="2856"/>
      <c r="AG378" s="2856"/>
      <c r="AH378" s="2856"/>
      <c r="AI378" s="2856"/>
      <c r="AJ378" s="2856"/>
      <c r="AK378" s="2856"/>
      <c r="AL378" s="2856"/>
      <c r="AM378" s="2856"/>
      <c r="AN378" s="2856"/>
      <c r="AO378" s="2856"/>
      <c r="AP378" s="2856"/>
      <c r="AQ378" s="2856"/>
      <c r="AR378" s="2856"/>
      <c r="AS378" s="2856"/>
      <c r="AT378" s="2866"/>
      <c r="AU378" s="2867"/>
      <c r="AV378" s="1182">
        <f t="shared" si="236"/>
        <v>0</v>
      </c>
      <c r="AW378" s="1182">
        <f t="shared" si="237"/>
        <v>0</v>
      </c>
      <c r="AX378" s="1182">
        <f t="shared" si="238"/>
        <v>0</v>
      </c>
      <c r="AY378" s="2881">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8">
        <f t="shared" si="234"/>
        <v>0</v>
      </c>
    </row>
    <row r="379" spans="1:72">
      <c r="A379" s="2833"/>
      <c r="B379" s="2834"/>
      <c r="C379" s="2834"/>
      <c r="D379" s="2835"/>
      <c r="E379" s="2836">
        <f t="shared" si="235"/>
        <v>0</v>
      </c>
      <c r="F379" s="2837"/>
      <c r="G379" s="2838">
        <f t="shared" si="210"/>
        <v>0</v>
      </c>
      <c r="H379" s="2839">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6">
        <f t="shared" si="212"/>
        <v>0</v>
      </c>
      <c r="AD379" s="2856"/>
      <c r="AE379" s="2856"/>
      <c r="AF379" s="2856"/>
      <c r="AG379" s="2856"/>
      <c r="AH379" s="2856"/>
      <c r="AI379" s="2856"/>
      <c r="AJ379" s="2856"/>
      <c r="AK379" s="2856"/>
      <c r="AL379" s="2856"/>
      <c r="AM379" s="2856"/>
      <c r="AN379" s="2856"/>
      <c r="AO379" s="2856"/>
      <c r="AP379" s="2856"/>
      <c r="AQ379" s="2856"/>
      <c r="AR379" s="2856"/>
      <c r="AS379" s="2856"/>
      <c r="AT379" s="2866"/>
      <c r="AU379" s="2867"/>
      <c r="AV379" s="1182">
        <f t="shared" si="236"/>
        <v>0</v>
      </c>
      <c r="AW379" s="1182">
        <f t="shared" si="237"/>
        <v>0</v>
      </c>
      <c r="AX379" s="1182">
        <f t="shared" si="238"/>
        <v>0</v>
      </c>
      <c r="AY379" s="2881">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8">
        <f t="shared" si="234"/>
        <v>0</v>
      </c>
    </row>
    <row r="380" spans="1:72">
      <c r="A380" s="2833"/>
      <c r="B380" s="2834"/>
      <c r="C380" s="2834"/>
      <c r="D380" s="2835"/>
      <c r="E380" s="2836">
        <f t="shared" si="235"/>
        <v>0</v>
      </c>
      <c r="F380" s="2837"/>
      <c r="G380" s="2838">
        <f t="shared" si="210"/>
        <v>0</v>
      </c>
      <c r="H380" s="2839">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6">
        <f t="shared" si="212"/>
        <v>0</v>
      </c>
      <c r="AD380" s="2856"/>
      <c r="AE380" s="2856"/>
      <c r="AF380" s="2856"/>
      <c r="AG380" s="2856"/>
      <c r="AH380" s="2856"/>
      <c r="AI380" s="2856"/>
      <c r="AJ380" s="2856"/>
      <c r="AK380" s="2856"/>
      <c r="AL380" s="2856"/>
      <c r="AM380" s="2856"/>
      <c r="AN380" s="2856"/>
      <c r="AO380" s="2856"/>
      <c r="AP380" s="2856"/>
      <c r="AQ380" s="2856"/>
      <c r="AR380" s="2856"/>
      <c r="AS380" s="2856"/>
      <c r="AT380" s="2866"/>
      <c r="AU380" s="2867"/>
      <c r="AV380" s="1182">
        <f t="shared" si="236"/>
        <v>0</v>
      </c>
      <c r="AW380" s="1182">
        <f t="shared" si="237"/>
        <v>0</v>
      </c>
      <c r="AX380" s="1182">
        <f t="shared" si="238"/>
        <v>0</v>
      </c>
      <c r="AY380" s="2881">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8">
        <f t="shared" si="234"/>
        <v>0</v>
      </c>
    </row>
    <row r="381" spans="1:72">
      <c r="A381" s="2833"/>
      <c r="B381" s="2834"/>
      <c r="C381" s="2834"/>
      <c r="D381" s="2835"/>
      <c r="E381" s="2836">
        <f t="shared" si="235"/>
        <v>0</v>
      </c>
      <c r="F381" s="2837"/>
      <c r="G381" s="2838">
        <f t="shared" si="210"/>
        <v>0</v>
      </c>
      <c r="H381" s="2839">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6">
        <f t="shared" si="212"/>
        <v>0</v>
      </c>
      <c r="AD381" s="2856"/>
      <c r="AE381" s="2856"/>
      <c r="AF381" s="2856"/>
      <c r="AG381" s="2856"/>
      <c r="AH381" s="2856"/>
      <c r="AI381" s="2856"/>
      <c r="AJ381" s="2856"/>
      <c r="AK381" s="2856"/>
      <c r="AL381" s="2856"/>
      <c r="AM381" s="2856"/>
      <c r="AN381" s="2856"/>
      <c r="AO381" s="2856"/>
      <c r="AP381" s="2856"/>
      <c r="AQ381" s="2856"/>
      <c r="AR381" s="2856"/>
      <c r="AS381" s="2856"/>
      <c r="AT381" s="2866"/>
      <c r="AU381" s="2867"/>
      <c r="AV381" s="1182">
        <f t="shared" si="236"/>
        <v>0</v>
      </c>
      <c r="AW381" s="1182">
        <f t="shared" si="237"/>
        <v>0</v>
      </c>
      <c r="AX381" s="1182">
        <f t="shared" si="238"/>
        <v>0</v>
      </c>
      <c r="AY381" s="2881">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8">
        <f t="shared" si="234"/>
        <v>0</v>
      </c>
    </row>
    <row r="382" spans="1:72">
      <c r="A382" s="2833"/>
      <c r="B382" s="2834"/>
      <c r="C382" s="2834"/>
      <c r="D382" s="2835"/>
      <c r="E382" s="2836">
        <f t="shared" si="235"/>
        <v>0</v>
      </c>
      <c r="F382" s="2837"/>
      <c r="G382" s="2838">
        <f t="shared" si="210"/>
        <v>0</v>
      </c>
      <c r="H382" s="2839">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6">
        <f t="shared" si="212"/>
        <v>0</v>
      </c>
      <c r="AD382" s="2856"/>
      <c r="AE382" s="2856"/>
      <c r="AF382" s="2856"/>
      <c r="AG382" s="2856"/>
      <c r="AH382" s="2856"/>
      <c r="AI382" s="2856"/>
      <c r="AJ382" s="2856"/>
      <c r="AK382" s="2856"/>
      <c r="AL382" s="2856"/>
      <c r="AM382" s="2856"/>
      <c r="AN382" s="2856"/>
      <c r="AO382" s="2856"/>
      <c r="AP382" s="2856"/>
      <c r="AQ382" s="2856"/>
      <c r="AR382" s="2856"/>
      <c r="AS382" s="2856"/>
      <c r="AT382" s="2866"/>
      <c r="AU382" s="2867"/>
      <c r="AV382" s="1182">
        <f t="shared" si="236"/>
        <v>0</v>
      </c>
      <c r="AW382" s="1182">
        <f t="shared" si="237"/>
        <v>0</v>
      </c>
      <c r="AX382" s="1182">
        <f t="shared" si="238"/>
        <v>0</v>
      </c>
      <c r="AY382" s="2881">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8">
        <f t="shared" si="234"/>
        <v>0</v>
      </c>
    </row>
    <row r="383" spans="1:72">
      <c r="A383" s="2833"/>
      <c r="B383" s="2834"/>
      <c r="C383" s="2834"/>
      <c r="D383" s="2835"/>
      <c r="E383" s="2836">
        <f t="shared" si="235"/>
        <v>0</v>
      </c>
      <c r="F383" s="2837"/>
      <c r="G383" s="2838">
        <f t="shared" si="210"/>
        <v>0</v>
      </c>
      <c r="H383" s="2839">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6">
        <f t="shared" si="212"/>
        <v>0</v>
      </c>
      <c r="AD383" s="2856"/>
      <c r="AE383" s="2856"/>
      <c r="AF383" s="2856"/>
      <c r="AG383" s="2856"/>
      <c r="AH383" s="2856"/>
      <c r="AI383" s="2856"/>
      <c r="AJ383" s="2856"/>
      <c r="AK383" s="2856"/>
      <c r="AL383" s="2856"/>
      <c r="AM383" s="2856"/>
      <c r="AN383" s="2856"/>
      <c r="AO383" s="2856"/>
      <c r="AP383" s="2856"/>
      <c r="AQ383" s="2856"/>
      <c r="AR383" s="2856"/>
      <c r="AS383" s="2856"/>
      <c r="AT383" s="2866"/>
      <c r="AU383" s="2867"/>
      <c r="AV383" s="1182">
        <f t="shared" si="236"/>
        <v>0</v>
      </c>
      <c r="AW383" s="1182">
        <f t="shared" si="237"/>
        <v>0</v>
      </c>
      <c r="AX383" s="1182">
        <f t="shared" si="238"/>
        <v>0</v>
      </c>
      <c r="AY383" s="2881">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8">
        <f t="shared" si="234"/>
        <v>0</v>
      </c>
    </row>
    <row r="384" spans="1:72">
      <c r="A384" s="2833"/>
      <c r="B384" s="2834"/>
      <c r="C384" s="2834"/>
      <c r="D384" s="2835"/>
      <c r="E384" s="2836">
        <f t="shared" si="235"/>
        <v>0</v>
      </c>
      <c r="F384" s="2837"/>
      <c r="G384" s="2838">
        <f t="shared" si="210"/>
        <v>0</v>
      </c>
      <c r="H384" s="2839">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6">
        <f t="shared" si="212"/>
        <v>0</v>
      </c>
      <c r="AD384" s="2856"/>
      <c r="AE384" s="2856"/>
      <c r="AF384" s="2856"/>
      <c r="AG384" s="2856"/>
      <c r="AH384" s="2856"/>
      <c r="AI384" s="2856"/>
      <c r="AJ384" s="2856"/>
      <c r="AK384" s="2856"/>
      <c r="AL384" s="2856"/>
      <c r="AM384" s="2856"/>
      <c r="AN384" s="2856"/>
      <c r="AO384" s="2856"/>
      <c r="AP384" s="2856"/>
      <c r="AQ384" s="2856"/>
      <c r="AR384" s="2856"/>
      <c r="AS384" s="2856"/>
      <c r="AT384" s="2866"/>
      <c r="AU384" s="2867"/>
      <c r="AV384" s="1182">
        <f t="shared" si="236"/>
        <v>0</v>
      </c>
      <c r="AW384" s="1182">
        <f t="shared" si="237"/>
        <v>0</v>
      </c>
      <c r="AX384" s="1182">
        <f t="shared" si="238"/>
        <v>0</v>
      </c>
      <c r="AY384" s="2881">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8">
        <f t="shared" si="234"/>
        <v>0</v>
      </c>
    </row>
    <row r="385" spans="1:72">
      <c r="A385" s="2833"/>
      <c r="B385" s="2834"/>
      <c r="C385" s="2834"/>
      <c r="D385" s="2835"/>
      <c r="E385" s="2836">
        <f t="shared" si="235"/>
        <v>0</v>
      </c>
      <c r="F385" s="2837"/>
      <c r="G385" s="2838">
        <f t="shared" si="210"/>
        <v>0</v>
      </c>
      <c r="H385" s="2839">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6">
        <f t="shared" si="212"/>
        <v>0</v>
      </c>
      <c r="AD385" s="2856"/>
      <c r="AE385" s="2856"/>
      <c r="AF385" s="2856"/>
      <c r="AG385" s="2856"/>
      <c r="AH385" s="2856"/>
      <c r="AI385" s="2856"/>
      <c r="AJ385" s="2856"/>
      <c r="AK385" s="2856"/>
      <c r="AL385" s="2856"/>
      <c r="AM385" s="2856"/>
      <c r="AN385" s="2856"/>
      <c r="AO385" s="2856"/>
      <c r="AP385" s="2856"/>
      <c r="AQ385" s="2856"/>
      <c r="AR385" s="2856"/>
      <c r="AS385" s="2856"/>
      <c r="AT385" s="2866"/>
      <c r="AU385" s="2867"/>
      <c r="AV385" s="1182">
        <f t="shared" si="236"/>
        <v>0</v>
      </c>
      <c r="AW385" s="1182">
        <f t="shared" si="237"/>
        <v>0</v>
      </c>
      <c r="AX385" s="1182">
        <f t="shared" si="238"/>
        <v>0</v>
      </c>
      <c r="AY385" s="2881">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8">
        <f t="shared" si="234"/>
        <v>0</v>
      </c>
    </row>
    <row r="386" spans="1:72">
      <c r="A386" s="2833"/>
      <c r="B386" s="2834"/>
      <c r="C386" s="2834"/>
      <c r="D386" s="2835"/>
      <c r="E386" s="2836">
        <f t="shared" si="235"/>
        <v>0</v>
      </c>
      <c r="F386" s="2837"/>
      <c r="G386" s="2838">
        <f t="shared" si="210"/>
        <v>0</v>
      </c>
      <c r="H386" s="2839">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6">
        <f t="shared" si="212"/>
        <v>0</v>
      </c>
      <c r="AD386" s="2856"/>
      <c r="AE386" s="2856"/>
      <c r="AF386" s="2856"/>
      <c r="AG386" s="2856"/>
      <c r="AH386" s="2856"/>
      <c r="AI386" s="2856"/>
      <c r="AJ386" s="2856"/>
      <c r="AK386" s="2856"/>
      <c r="AL386" s="2856"/>
      <c r="AM386" s="2856"/>
      <c r="AN386" s="2856"/>
      <c r="AO386" s="2856"/>
      <c r="AP386" s="2856"/>
      <c r="AQ386" s="2856"/>
      <c r="AR386" s="2856"/>
      <c r="AS386" s="2856"/>
      <c r="AT386" s="2866"/>
      <c r="AU386" s="2867"/>
      <c r="AV386" s="1182">
        <f t="shared" si="236"/>
        <v>0</v>
      </c>
      <c r="AW386" s="1182">
        <f t="shared" si="237"/>
        <v>0</v>
      </c>
      <c r="AX386" s="1182">
        <f t="shared" si="238"/>
        <v>0</v>
      </c>
      <c r="AY386" s="2881">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8">
        <f t="shared" si="234"/>
        <v>0</v>
      </c>
    </row>
    <row r="387" spans="1:72">
      <c r="A387" s="2833"/>
      <c r="B387" s="2834"/>
      <c r="C387" s="2834"/>
      <c r="D387" s="2835"/>
      <c r="E387" s="2836">
        <f t="shared" si="235"/>
        <v>0</v>
      </c>
      <c r="F387" s="2837"/>
      <c r="G387" s="2838">
        <f t="shared" si="210"/>
        <v>0</v>
      </c>
      <c r="H387" s="2839">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6">
        <f t="shared" si="212"/>
        <v>0</v>
      </c>
      <c r="AD387" s="2856"/>
      <c r="AE387" s="2856"/>
      <c r="AF387" s="2856"/>
      <c r="AG387" s="2856"/>
      <c r="AH387" s="2856"/>
      <c r="AI387" s="2856"/>
      <c r="AJ387" s="2856"/>
      <c r="AK387" s="2856"/>
      <c r="AL387" s="2856"/>
      <c r="AM387" s="2856"/>
      <c r="AN387" s="2856"/>
      <c r="AO387" s="2856"/>
      <c r="AP387" s="2856"/>
      <c r="AQ387" s="2856"/>
      <c r="AR387" s="2856"/>
      <c r="AS387" s="2856"/>
      <c r="AT387" s="2866"/>
      <c r="AU387" s="2867"/>
      <c r="AV387" s="1182">
        <f t="shared" si="236"/>
        <v>0</v>
      </c>
      <c r="AW387" s="1182">
        <f t="shared" si="237"/>
        <v>0</v>
      </c>
      <c r="AX387" s="1182">
        <f t="shared" si="238"/>
        <v>0</v>
      </c>
      <c r="AY387" s="2881">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8">
        <f t="shared" si="234"/>
        <v>0</v>
      </c>
    </row>
    <row r="388" spans="1:72">
      <c r="A388" s="2833"/>
      <c r="B388" s="2834"/>
      <c r="C388" s="2834"/>
      <c r="D388" s="2835"/>
      <c r="E388" s="2836">
        <f t="shared" si="235"/>
        <v>0</v>
      </c>
      <c r="F388" s="2837"/>
      <c r="G388" s="2838">
        <f t="shared" si="210"/>
        <v>0</v>
      </c>
      <c r="H388" s="2839">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6">
        <f t="shared" si="212"/>
        <v>0</v>
      </c>
      <c r="AD388" s="2856"/>
      <c r="AE388" s="2856"/>
      <c r="AF388" s="2856"/>
      <c r="AG388" s="2856"/>
      <c r="AH388" s="2856"/>
      <c r="AI388" s="2856"/>
      <c r="AJ388" s="2856"/>
      <c r="AK388" s="2856"/>
      <c r="AL388" s="2856"/>
      <c r="AM388" s="2856"/>
      <c r="AN388" s="2856"/>
      <c r="AO388" s="2856"/>
      <c r="AP388" s="2856"/>
      <c r="AQ388" s="2856"/>
      <c r="AR388" s="2856"/>
      <c r="AS388" s="2856"/>
      <c r="AT388" s="2866"/>
      <c r="AU388" s="2867"/>
      <c r="AV388" s="1182">
        <f t="shared" si="236"/>
        <v>0</v>
      </c>
      <c r="AW388" s="1182">
        <f t="shared" si="237"/>
        <v>0</v>
      </c>
      <c r="AX388" s="1182">
        <f t="shared" si="238"/>
        <v>0</v>
      </c>
      <c r="AY388" s="2881">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8">
        <f t="shared" si="234"/>
        <v>0</v>
      </c>
    </row>
    <row r="389" spans="1:72">
      <c r="A389" s="2833"/>
      <c r="B389" s="2834"/>
      <c r="C389" s="2834"/>
      <c r="D389" s="2835"/>
      <c r="E389" s="2836">
        <f t="shared" si="235"/>
        <v>0</v>
      </c>
      <c r="F389" s="2837"/>
      <c r="G389" s="2838">
        <f t="shared" si="210"/>
        <v>0</v>
      </c>
      <c r="H389" s="2839">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6">
        <f t="shared" si="212"/>
        <v>0</v>
      </c>
      <c r="AD389" s="2856"/>
      <c r="AE389" s="2856"/>
      <c r="AF389" s="2856"/>
      <c r="AG389" s="2856"/>
      <c r="AH389" s="2856"/>
      <c r="AI389" s="2856"/>
      <c r="AJ389" s="2856"/>
      <c r="AK389" s="2856"/>
      <c r="AL389" s="2856"/>
      <c r="AM389" s="2856"/>
      <c r="AN389" s="2856"/>
      <c r="AO389" s="2856"/>
      <c r="AP389" s="2856"/>
      <c r="AQ389" s="2856"/>
      <c r="AR389" s="2856"/>
      <c r="AS389" s="2856"/>
      <c r="AT389" s="2866"/>
      <c r="AU389" s="2867"/>
      <c r="AV389" s="1182">
        <f t="shared" si="236"/>
        <v>0</v>
      </c>
      <c r="AW389" s="1182">
        <f t="shared" si="237"/>
        <v>0</v>
      </c>
      <c r="AX389" s="1182">
        <f t="shared" si="238"/>
        <v>0</v>
      </c>
      <c r="AY389" s="2881">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8">
        <f t="shared" si="234"/>
        <v>0</v>
      </c>
    </row>
    <row r="390" spans="1:72">
      <c r="A390" s="2833"/>
      <c r="B390" s="2834"/>
      <c r="C390" s="2834"/>
      <c r="D390" s="2835"/>
      <c r="E390" s="2836">
        <f t="shared" si="235"/>
        <v>0</v>
      </c>
      <c r="F390" s="2837"/>
      <c r="G390" s="2838">
        <f t="shared" si="210"/>
        <v>0</v>
      </c>
      <c r="H390" s="2839">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6">
        <f t="shared" si="212"/>
        <v>0</v>
      </c>
      <c r="AD390" s="2856"/>
      <c r="AE390" s="2856"/>
      <c r="AF390" s="2856"/>
      <c r="AG390" s="2856"/>
      <c r="AH390" s="2856"/>
      <c r="AI390" s="2856"/>
      <c r="AJ390" s="2856"/>
      <c r="AK390" s="2856"/>
      <c r="AL390" s="2856"/>
      <c r="AM390" s="2856"/>
      <c r="AN390" s="2856"/>
      <c r="AO390" s="2856"/>
      <c r="AP390" s="2856"/>
      <c r="AQ390" s="2856"/>
      <c r="AR390" s="2856"/>
      <c r="AS390" s="2856"/>
      <c r="AT390" s="2866"/>
      <c r="AU390" s="2867"/>
      <c r="AV390" s="1182">
        <f t="shared" si="236"/>
        <v>0</v>
      </c>
      <c r="AW390" s="1182">
        <f t="shared" si="237"/>
        <v>0</v>
      </c>
      <c r="AX390" s="1182">
        <f t="shared" si="238"/>
        <v>0</v>
      </c>
      <c r="AY390" s="2881">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8">
        <f t="shared" si="234"/>
        <v>0</v>
      </c>
    </row>
    <row r="391" spans="1:72">
      <c r="A391" s="2833"/>
      <c r="B391" s="2834"/>
      <c r="C391" s="2834"/>
      <c r="D391" s="2835"/>
      <c r="E391" s="2836">
        <f t="shared" si="235"/>
        <v>0</v>
      </c>
      <c r="F391" s="2837"/>
      <c r="G391" s="2838">
        <f t="shared" si="210"/>
        <v>0</v>
      </c>
      <c r="H391" s="2839">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6">
        <f t="shared" si="212"/>
        <v>0</v>
      </c>
      <c r="AD391" s="2856"/>
      <c r="AE391" s="2856"/>
      <c r="AF391" s="2856"/>
      <c r="AG391" s="2856"/>
      <c r="AH391" s="2856"/>
      <c r="AI391" s="2856"/>
      <c r="AJ391" s="2856"/>
      <c r="AK391" s="2856"/>
      <c r="AL391" s="2856"/>
      <c r="AM391" s="2856"/>
      <c r="AN391" s="2856"/>
      <c r="AO391" s="2856"/>
      <c r="AP391" s="2856"/>
      <c r="AQ391" s="2856"/>
      <c r="AR391" s="2856"/>
      <c r="AS391" s="2856"/>
      <c r="AT391" s="2866"/>
      <c r="AU391" s="2867"/>
      <c r="AV391" s="1182">
        <f t="shared" si="236"/>
        <v>0</v>
      </c>
      <c r="AW391" s="1182">
        <f t="shared" si="237"/>
        <v>0</v>
      </c>
      <c r="AX391" s="1182">
        <f t="shared" si="238"/>
        <v>0</v>
      </c>
      <c r="AY391" s="2881">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8">
        <f t="shared" si="234"/>
        <v>0</v>
      </c>
    </row>
    <row r="392" spans="1:72">
      <c r="A392" s="2833"/>
      <c r="B392" s="2834"/>
      <c r="C392" s="2834"/>
      <c r="D392" s="2835"/>
      <c r="E392" s="2836">
        <f t="shared" si="235"/>
        <v>0</v>
      </c>
      <c r="F392" s="2837"/>
      <c r="G392" s="2838">
        <f t="shared" si="210"/>
        <v>0</v>
      </c>
      <c r="H392" s="2839">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6">
        <f t="shared" si="212"/>
        <v>0</v>
      </c>
      <c r="AD392" s="2856"/>
      <c r="AE392" s="2856"/>
      <c r="AF392" s="2856"/>
      <c r="AG392" s="2856"/>
      <c r="AH392" s="2856"/>
      <c r="AI392" s="2856"/>
      <c r="AJ392" s="2856"/>
      <c r="AK392" s="2856"/>
      <c r="AL392" s="2856"/>
      <c r="AM392" s="2856"/>
      <c r="AN392" s="2856"/>
      <c r="AO392" s="2856"/>
      <c r="AP392" s="2856"/>
      <c r="AQ392" s="2856"/>
      <c r="AR392" s="2856"/>
      <c r="AS392" s="2856"/>
      <c r="AT392" s="2866"/>
      <c r="AU392" s="2867"/>
      <c r="AV392" s="1182">
        <f t="shared" si="236"/>
        <v>0</v>
      </c>
      <c r="AW392" s="1182">
        <f t="shared" si="237"/>
        <v>0</v>
      </c>
      <c r="AX392" s="1182">
        <f t="shared" si="238"/>
        <v>0</v>
      </c>
      <c r="AY392" s="2881">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8">
        <f t="shared" si="234"/>
        <v>0</v>
      </c>
    </row>
    <row r="393" spans="1:72">
      <c r="A393" s="2833"/>
      <c r="B393" s="2834"/>
      <c r="C393" s="2834"/>
      <c r="D393" s="2835"/>
      <c r="E393" s="2836">
        <f t="shared" si="235"/>
        <v>0</v>
      </c>
      <c r="F393" s="2837"/>
      <c r="G393" s="2838">
        <f t="shared" si="210"/>
        <v>0</v>
      </c>
      <c r="H393" s="2839">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6">
        <f t="shared" si="212"/>
        <v>0</v>
      </c>
      <c r="AD393" s="2856"/>
      <c r="AE393" s="2856"/>
      <c r="AF393" s="2856"/>
      <c r="AG393" s="2856"/>
      <c r="AH393" s="2856"/>
      <c r="AI393" s="2856"/>
      <c r="AJ393" s="2856"/>
      <c r="AK393" s="2856"/>
      <c r="AL393" s="2856"/>
      <c r="AM393" s="2856"/>
      <c r="AN393" s="2856"/>
      <c r="AO393" s="2856"/>
      <c r="AP393" s="2856"/>
      <c r="AQ393" s="2856"/>
      <c r="AR393" s="2856"/>
      <c r="AS393" s="2856"/>
      <c r="AT393" s="2866"/>
      <c r="AU393" s="2867"/>
      <c r="AV393" s="1182">
        <f t="shared" si="236"/>
        <v>0</v>
      </c>
      <c r="AW393" s="1182">
        <f t="shared" si="237"/>
        <v>0</v>
      </c>
      <c r="AX393" s="1182">
        <f t="shared" si="238"/>
        <v>0</v>
      </c>
      <c r="AY393" s="2881">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8">
        <f t="shared" si="234"/>
        <v>0</v>
      </c>
    </row>
    <row r="394" spans="1:72">
      <c r="A394" s="2833"/>
      <c r="B394" s="2834"/>
      <c r="C394" s="2834"/>
      <c r="D394" s="2835"/>
      <c r="E394" s="2836">
        <f t="shared" si="235"/>
        <v>0</v>
      </c>
      <c r="F394" s="2837"/>
      <c r="G394" s="2838">
        <f t="shared" si="210"/>
        <v>0</v>
      </c>
      <c r="H394" s="2839">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6">
        <f t="shared" si="212"/>
        <v>0</v>
      </c>
      <c r="AD394" s="2856"/>
      <c r="AE394" s="2856"/>
      <c r="AF394" s="2856"/>
      <c r="AG394" s="2856"/>
      <c r="AH394" s="2856"/>
      <c r="AI394" s="2856"/>
      <c r="AJ394" s="2856"/>
      <c r="AK394" s="2856"/>
      <c r="AL394" s="2856"/>
      <c r="AM394" s="2856"/>
      <c r="AN394" s="2856"/>
      <c r="AO394" s="2856"/>
      <c r="AP394" s="2856"/>
      <c r="AQ394" s="2856"/>
      <c r="AR394" s="2856"/>
      <c r="AS394" s="2856"/>
      <c r="AT394" s="2866"/>
      <c r="AU394" s="2867"/>
      <c r="AV394" s="1182">
        <f t="shared" si="236"/>
        <v>0</v>
      </c>
      <c r="AW394" s="1182">
        <f t="shared" si="237"/>
        <v>0</v>
      </c>
      <c r="AX394" s="1182">
        <f t="shared" si="238"/>
        <v>0</v>
      </c>
      <c r="AY394" s="2881">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8">
        <f t="shared" si="234"/>
        <v>0</v>
      </c>
    </row>
    <row r="395" spans="1:72">
      <c r="A395" s="2833"/>
      <c r="B395" s="2833"/>
      <c r="C395" s="2833"/>
      <c r="D395" s="2835"/>
      <c r="E395" s="2836">
        <f t="shared" si="235"/>
        <v>0</v>
      </c>
      <c r="F395" s="2889"/>
      <c r="G395" s="2838">
        <f t="shared" si="210"/>
        <v>0</v>
      </c>
      <c r="H395" s="2839">
        <f t="shared" si="211"/>
        <v>0</v>
      </c>
      <c r="I395" s="2890"/>
      <c r="J395" s="2890"/>
      <c r="K395" s="2846"/>
      <c r="L395" s="2846"/>
      <c r="M395" s="2846"/>
      <c r="N395" s="2846"/>
      <c r="O395" s="2846"/>
      <c r="P395" s="2846"/>
      <c r="Q395" s="2846"/>
      <c r="R395" s="2846"/>
      <c r="S395" s="2846"/>
      <c r="T395" s="2846"/>
      <c r="U395" s="2846"/>
      <c r="V395" s="2846"/>
      <c r="W395" s="2846"/>
      <c r="X395" s="2846"/>
      <c r="Y395" s="2846"/>
      <c r="Z395" s="2846"/>
      <c r="AA395" s="2846"/>
      <c r="AB395" s="2846"/>
      <c r="AC395" s="2836">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2891"/>
      <c r="AV395" s="1182">
        <f t="shared" si="236"/>
        <v>0</v>
      </c>
      <c r="AW395" s="1182">
        <f t="shared" si="237"/>
        <v>0</v>
      </c>
      <c r="AX395" s="1182">
        <f t="shared" si="238"/>
        <v>0</v>
      </c>
      <c r="AY395" s="2881">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8">
        <f t="shared" si="234"/>
        <v>0</v>
      </c>
    </row>
    <row r="396" spans="1:72">
      <c r="A396" s="2833"/>
      <c r="B396" s="2833"/>
      <c r="C396" s="2833"/>
      <c r="D396" s="2835"/>
      <c r="E396" s="2836">
        <f t="shared" si="235"/>
        <v>0</v>
      </c>
      <c r="F396" s="2889"/>
      <c r="G396" s="2838">
        <f t="shared" si="210"/>
        <v>0</v>
      </c>
      <c r="H396" s="2839">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6">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2891"/>
      <c r="AV396" s="1182">
        <f t="shared" si="236"/>
        <v>0</v>
      </c>
      <c r="AW396" s="1182">
        <f t="shared" si="237"/>
        <v>0</v>
      </c>
      <c r="AX396" s="1182">
        <f t="shared" si="238"/>
        <v>0</v>
      </c>
      <c r="AY396" s="2881">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8">
        <f t="shared" si="234"/>
        <v>0</v>
      </c>
    </row>
    <row r="397" spans="1:72">
      <c r="A397" s="2833"/>
      <c r="B397" s="2833"/>
      <c r="C397" s="2833"/>
      <c r="D397" s="2835"/>
      <c r="E397" s="2836">
        <f t="shared" si="235"/>
        <v>0</v>
      </c>
      <c r="F397" s="2889"/>
      <c r="G397" s="2838">
        <f t="shared" si="210"/>
        <v>0</v>
      </c>
      <c r="H397" s="2839">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6">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2891"/>
      <c r="AV397" s="1182">
        <f t="shared" si="236"/>
        <v>0</v>
      </c>
      <c r="AW397" s="1182">
        <f t="shared" si="237"/>
        <v>0</v>
      </c>
      <c r="AX397" s="1182">
        <f t="shared" si="238"/>
        <v>0</v>
      </c>
      <c r="AY397" s="2881">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8">
        <f t="shared" si="234"/>
        <v>0</v>
      </c>
    </row>
    <row r="398" spans="1:72">
      <c r="A398" s="2833"/>
      <c r="B398" s="2834"/>
      <c r="C398" s="2834"/>
      <c r="D398" s="2835"/>
      <c r="E398" s="2836">
        <f t="shared" ref="E398:E492" si="239">IF($C$3="是",ROUND($A$3*G398/$B$3,2),ROUND($A$3*(G398-AT398)/$B$3,2))</f>
        <v>0</v>
      </c>
      <c r="F398" s="2837"/>
      <c r="G398" s="2838">
        <f t="shared" ref="G398:G489" si="240">H398+AC398+AT398</f>
        <v>0</v>
      </c>
      <c r="H398" s="2839">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6">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66"/>
      <c r="AU398" s="2867"/>
      <c r="AV398" s="1182">
        <f t="shared" ref="AV398:AV492" si="243">A398</f>
        <v>0</v>
      </c>
      <c r="AW398" s="1182">
        <f t="shared" ref="AW398:AW492" si="244">B398</f>
        <v>0</v>
      </c>
      <c r="AX398" s="1182">
        <f t="shared" ref="AX398:AX492" si="245">C398</f>
        <v>0</v>
      </c>
      <c r="AY398" s="2881">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8">
        <f t="shared" ref="BT398:BT489" si="267">IF($D398="是",AR398-AS398,0)</f>
        <v>0</v>
      </c>
    </row>
    <row r="399" spans="1:72">
      <c r="A399" s="2833"/>
      <c r="B399" s="2834"/>
      <c r="C399" s="2834"/>
      <c r="D399" s="2835"/>
      <c r="E399" s="2836">
        <f t="shared" si="239"/>
        <v>0</v>
      </c>
      <c r="F399" s="2837"/>
      <c r="G399" s="2838">
        <f t="shared" si="240"/>
        <v>0</v>
      </c>
      <c r="H399" s="2839">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6">
        <f t="shared" si="242"/>
        <v>0</v>
      </c>
      <c r="AD399" s="2856"/>
      <c r="AE399" s="2856"/>
      <c r="AF399" s="2856"/>
      <c r="AG399" s="2856"/>
      <c r="AH399" s="2856"/>
      <c r="AI399" s="2856"/>
      <c r="AJ399" s="2856"/>
      <c r="AK399" s="2856"/>
      <c r="AL399" s="2856"/>
      <c r="AM399" s="2856"/>
      <c r="AN399" s="2856"/>
      <c r="AO399" s="2856"/>
      <c r="AP399" s="2856"/>
      <c r="AQ399" s="2856"/>
      <c r="AR399" s="2856"/>
      <c r="AS399" s="2856"/>
      <c r="AT399" s="2866"/>
      <c r="AU399" s="2867"/>
      <c r="AV399" s="1182">
        <f t="shared" si="243"/>
        <v>0</v>
      </c>
      <c r="AW399" s="1182">
        <f t="shared" si="244"/>
        <v>0</v>
      </c>
      <c r="AX399" s="1182">
        <f t="shared" si="245"/>
        <v>0</v>
      </c>
      <c r="AY399" s="2881">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8">
        <f t="shared" si="267"/>
        <v>0</v>
      </c>
    </row>
    <row r="400" spans="1:72">
      <c r="A400" s="2833"/>
      <c r="B400" s="2834"/>
      <c r="C400" s="2834"/>
      <c r="D400" s="2835"/>
      <c r="E400" s="2836">
        <f t="shared" si="239"/>
        <v>0</v>
      </c>
      <c r="F400" s="2837"/>
      <c r="G400" s="2838">
        <f t="shared" si="240"/>
        <v>0</v>
      </c>
      <c r="H400" s="2839">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6">
        <f t="shared" si="242"/>
        <v>0</v>
      </c>
      <c r="AD400" s="2856"/>
      <c r="AE400" s="2856"/>
      <c r="AF400" s="2856"/>
      <c r="AG400" s="2856"/>
      <c r="AH400" s="2856"/>
      <c r="AI400" s="2856"/>
      <c r="AJ400" s="2856"/>
      <c r="AK400" s="2856"/>
      <c r="AL400" s="2856"/>
      <c r="AM400" s="2856"/>
      <c r="AN400" s="2856"/>
      <c r="AO400" s="2856"/>
      <c r="AP400" s="2856"/>
      <c r="AQ400" s="2856"/>
      <c r="AR400" s="2856"/>
      <c r="AS400" s="2856"/>
      <c r="AT400" s="2866"/>
      <c r="AU400" s="2867"/>
      <c r="AV400" s="1182">
        <f t="shared" si="243"/>
        <v>0</v>
      </c>
      <c r="AW400" s="1182">
        <f t="shared" si="244"/>
        <v>0</v>
      </c>
      <c r="AX400" s="1182">
        <f t="shared" si="245"/>
        <v>0</v>
      </c>
      <c r="AY400" s="2881">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8">
        <f t="shared" si="267"/>
        <v>0</v>
      </c>
    </row>
    <row r="401" spans="1:72">
      <c r="A401" s="2833"/>
      <c r="B401" s="2834"/>
      <c r="C401" s="2834"/>
      <c r="D401" s="2835"/>
      <c r="E401" s="2836">
        <f t="shared" si="239"/>
        <v>0</v>
      </c>
      <c r="F401" s="2837"/>
      <c r="G401" s="2838">
        <f t="shared" si="240"/>
        <v>0</v>
      </c>
      <c r="H401" s="2839">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6">
        <f t="shared" si="242"/>
        <v>0</v>
      </c>
      <c r="AD401" s="2856"/>
      <c r="AE401" s="2856"/>
      <c r="AF401" s="2856"/>
      <c r="AG401" s="2856"/>
      <c r="AH401" s="2856"/>
      <c r="AI401" s="2856"/>
      <c r="AJ401" s="2856"/>
      <c r="AK401" s="2856"/>
      <c r="AL401" s="2856"/>
      <c r="AM401" s="2856"/>
      <c r="AN401" s="2856"/>
      <c r="AO401" s="2856"/>
      <c r="AP401" s="2856"/>
      <c r="AQ401" s="2856"/>
      <c r="AR401" s="2856"/>
      <c r="AS401" s="2856"/>
      <c r="AT401" s="2866"/>
      <c r="AU401" s="2867"/>
      <c r="AV401" s="1182">
        <f t="shared" si="243"/>
        <v>0</v>
      </c>
      <c r="AW401" s="1182">
        <f t="shared" si="244"/>
        <v>0</v>
      </c>
      <c r="AX401" s="1182">
        <f t="shared" si="245"/>
        <v>0</v>
      </c>
      <c r="AY401" s="2881">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8">
        <f t="shared" si="267"/>
        <v>0</v>
      </c>
    </row>
    <row r="402" spans="1:72">
      <c r="A402" s="2833"/>
      <c r="B402" s="2834"/>
      <c r="C402" s="2834"/>
      <c r="D402" s="2835"/>
      <c r="E402" s="2836">
        <f t="shared" si="239"/>
        <v>0</v>
      </c>
      <c r="F402" s="2837"/>
      <c r="G402" s="2838">
        <f t="shared" si="240"/>
        <v>0</v>
      </c>
      <c r="H402" s="2839">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6">
        <f t="shared" si="242"/>
        <v>0</v>
      </c>
      <c r="AD402" s="2856"/>
      <c r="AE402" s="2856"/>
      <c r="AF402" s="2856"/>
      <c r="AG402" s="2856"/>
      <c r="AH402" s="2856"/>
      <c r="AI402" s="2856"/>
      <c r="AJ402" s="2856"/>
      <c r="AK402" s="2856"/>
      <c r="AL402" s="2856"/>
      <c r="AM402" s="2856"/>
      <c r="AN402" s="2856"/>
      <c r="AO402" s="2856"/>
      <c r="AP402" s="2856"/>
      <c r="AQ402" s="2856"/>
      <c r="AR402" s="2856"/>
      <c r="AS402" s="2856"/>
      <c r="AT402" s="2866"/>
      <c r="AU402" s="2867"/>
      <c r="AV402" s="1182">
        <f t="shared" si="243"/>
        <v>0</v>
      </c>
      <c r="AW402" s="1182">
        <f t="shared" si="244"/>
        <v>0</v>
      </c>
      <c r="AX402" s="1182">
        <f t="shared" si="245"/>
        <v>0</v>
      </c>
      <c r="AY402" s="2881">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8">
        <f t="shared" si="267"/>
        <v>0</v>
      </c>
    </row>
    <row r="403" spans="1:72">
      <c r="A403" s="2833"/>
      <c r="B403" s="2834"/>
      <c r="C403" s="2834"/>
      <c r="D403" s="2835"/>
      <c r="E403" s="2836">
        <f t="shared" si="239"/>
        <v>0</v>
      </c>
      <c r="F403" s="2837"/>
      <c r="G403" s="2838">
        <f t="shared" si="240"/>
        <v>0</v>
      </c>
      <c r="H403" s="2839">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6">
        <f t="shared" si="242"/>
        <v>0</v>
      </c>
      <c r="AD403" s="2856"/>
      <c r="AE403" s="2856"/>
      <c r="AF403" s="2856"/>
      <c r="AG403" s="2856"/>
      <c r="AH403" s="2856"/>
      <c r="AI403" s="2856"/>
      <c r="AJ403" s="2856"/>
      <c r="AK403" s="2856"/>
      <c r="AL403" s="2856"/>
      <c r="AM403" s="2856"/>
      <c r="AN403" s="2856"/>
      <c r="AO403" s="2856"/>
      <c r="AP403" s="2856"/>
      <c r="AQ403" s="2856"/>
      <c r="AR403" s="2856"/>
      <c r="AS403" s="2856"/>
      <c r="AT403" s="2866"/>
      <c r="AU403" s="2867"/>
      <c r="AV403" s="1182">
        <f t="shared" si="243"/>
        <v>0</v>
      </c>
      <c r="AW403" s="1182">
        <f t="shared" si="244"/>
        <v>0</v>
      </c>
      <c r="AX403" s="1182">
        <f t="shared" si="245"/>
        <v>0</v>
      </c>
      <c r="AY403" s="2881">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8">
        <f t="shared" si="267"/>
        <v>0</v>
      </c>
    </row>
    <row r="404" spans="1:72">
      <c r="A404" s="2833"/>
      <c r="B404" s="2834"/>
      <c r="C404" s="2834"/>
      <c r="D404" s="2835"/>
      <c r="E404" s="2836">
        <f t="shared" si="239"/>
        <v>0</v>
      </c>
      <c r="F404" s="2837"/>
      <c r="G404" s="2838">
        <f t="shared" si="240"/>
        <v>0</v>
      </c>
      <c r="H404" s="2839">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6">
        <f t="shared" si="242"/>
        <v>0</v>
      </c>
      <c r="AD404" s="2856"/>
      <c r="AE404" s="2856"/>
      <c r="AF404" s="2856"/>
      <c r="AG404" s="2856"/>
      <c r="AH404" s="2856"/>
      <c r="AI404" s="2856"/>
      <c r="AJ404" s="2856"/>
      <c r="AK404" s="2856"/>
      <c r="AL404" s="2856"/>
      <c r="AM404" s="2856"/>
      <c r="AN404" s="2856"/>
      <c r="AO404" s="2856"/>
      <c r="AP404" s="2856"/>
      <c r="AQ404" s="2856"/>
      <c r="AR404" s="2856"/>
      <c r="AS404" s="2856"/>
      <c r="AT404" s="2866"/>
      <c r="AU404" s="2867"/>
      <c r="AV404" s="1182">
        <f t="shared" si="243"/>
        <v>0</v>
      </c>
      <c r="AW404" s="1182">
        <f t="shared" si="244"/>
        <v>0</v>
      </c>
      <c r="AX404" s="1182">
        <f t="shared" si="245"/>
        <v>0</v>
      </c>
      <c r="AY404" s="2881">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8">
        <f t="shared" si="267"/>
        <v>0</v>
      </c>
    </row>
    <row r="405" spans="1:72">
      <c r="A405" s="2833"/>
      <c r="B405" s="2834"/>
      <c r="C405" s="2834"/>
      <c r="D405" s="2835"/>
      <c r="E405" s="2836">
        <f t="shared" si="239"/>
        <v>0</v>
      </c>
      <c r="F405" s="2837"/>
      <c r="G405" s="2838">
        <f t="shared" si="240"/>
        <v>0</v>
      </c>
      <c r="H405" s="2839">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6">
        <f t="shared" si="242"/>
        <v>0</v>
      </c>
      <c r="AD405" s="2856"/>
      <c r="AE405" s="2856"/>
      <c r="AF405" s="2856"/>
      <c r="AG405" s="2856"/>
      <c r="AH405" s="2856"/>
      <c r="AI405" s="2856"/>
      <c r="AJ405" s="2856"/>
      <c r="AK405" s="2856"/>
      <c r="AL405" s="2856"/>
      <c r="AM405" s="2856"/>
      <c r="AN405" s="2856"/>
      <c r="AO405" s="2856"/>
      <c r="AP405" s="2856"/>
      <c r="AQ405" s="2856"/>
      <c r="AR405" s="2856"/>
      <c r="AS405" s="2856"/>
      <c r="AT405" s="2866"/>
      <c r="AU405" s="2867"/>
      <c r="AV405" s="1182">
        <f t="shared" si="243"/>
        <v>0</v>
      </c>
      <c r="AW405" s="1182">
        <f t="shared" si="244"/>
        <v>0</v>
      </c>
      <c r="AX405" s="1182">
        <f t="shared" si="245"/>
        <v>0</v>
      </c>
      <c r="AY405" s="2881">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8">
        <f t="shared" si="267"/>
        <v>0</v>
      </c>
    </row>
    <row r="406" spans="1:72">
      <c r="A406" s="2833"/>
      <c r="B406" s="2834"/>
      <c r="C406" s="2834"/>
      <c r="D406" s="2835"/>
      <c r="E406" s="2836">
        <f t="shared" si="239"/>
        <v>0</v>
      </c>
      <c r="F406" s="2837"/>
      <c r="G406" s="2838">
        <f t="shared" si="240"/>
        <v>0</v>
      </c>
      <c r="H406" s="2839">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6">
        <f t="shared" si="242"/>
        <v>0</v>
      </c>
      <c r="AD406" s="2856"/>
      <c r="AE406" s="2856"/>
      <c r="AF406" s="2856"/>
      <c r="AG406" s="2856"/>
      <c r="AH406" s="2856"/>
      <c r="AI406" s="2856"/>
      <c r="AJ406" s="2856"/>
      <c r="AK406" s="2856"/>
      <c r="AL406" s="2856"/>
      <c r="AM406" s="2856"/>
      <c r="AN406" s="2856"/>
      <c r="AO406" s="2856"/>
      <c r="AP406" s="2856"/>
      <c r="AQ406" s="2856"/>
      <c r="AR406" s="2856"/>
      <c r="AS406" s="2856"/>
      <c r="AT406" s="2866"/>
      <c r="AU406" s="2867"/>
      <c r="AV406" s="1182">
        <f t="shared" si="243"/>
        <v>0</v>
      </c>
      <c r="AW406" s="1182">
        <f t="shared" si="244"/>
        <v>0</v>
      </c>
      <c r="AX406" s="1182">
        <f t="shared" si="245"/>
        <v>0</v>
      </c>
      <c r="AY406" s="2881">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8">
        <f t="shared" si="267"/>
        <v>0</v>
      </c>
    </row>
    <row r="407" spans="1:72">
      <c r="A407" s="2833"/>
      <c r="B407" s="2834"/>
      <c r="C407" s="2834"/>
      <c r="D407" s="2835"/>
      <c r="E407" s="2836">
        <f t="shared" si="239"/>
        <v>0</v>
      </c>
      <c r="F407" s="2837"/>
      <c r="G407" s="2838">
        <f t="shared" si="240"/>
        <v>0</v>
      </c>
      <c r="H407" s="2839">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6">
        <f t="shared" si="242"/>
        <v>0</v>
      </c>
      <c r="AD407" s="2856"/>
      <c r="AE407" s="2856"/>
      <c r="AF407" s="2856"/>
      <c r="AG407" s="2856"/>
      <c r="AH407" s="2856"/>
      <c r="AI407" s="2856"/>
      <c r="AJ407" s="2856"/>
      <c r="AK407" s="2856"/>
      <c r="AL407" s="2856"/>
      <c r="AM407" s="2856"/>
      <c r="AN407" s="2856"/>
      <c r="AO407" s="2856"/>
      <c r="AP407" s="2856"/>
      <c r="AQ407" s="2856"/>
      <c r="AR407" s="2856"/>
      <c r="AS407" s="2856"/>
      <c r="AT407" s="2866"/>
      <c r="AU407" s="2867"/>
      <c r="AV407" s="1182">
        <f t="shared" si="243"/>
        <v>0</v>
      </c>
      <c r="AW407" s="1182">
        <f t="shared" si="244"/>
        <v>0</v>
      </c>
      <c r="AX407" s="1182">
        <f t="shared" si="245"/>
        <v>0</v>
      </c>
      <c r="AY407" s="2881">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8">
        <f t="shared" si="267"/>
        <v>0</v>
      </c>
    </row>
    <row r="408" spans="1:72">
      <c r="A408" s="2833"/>
      <c r="B408" s="2834"/>
      <c r="C408" s="2834"/>
      <c r="D408" s="2835"/>
      <c r="E408" s="2836">
        <f t="shared" si="239"/>
        <v>0</v>
      </c>
      <c r="F408" s="2837"/>
      <c r="G408" s="2838">
        <f t="shared" si="240"/>
        <v>0</v>
      </c>
      <c r="H408" s="2839">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6">
        <f t="shared" si="242"/>
        <v>0</v>
      </c>
      <c r="AD408" s="2856"/>
      <c r="AE408" s="2856"/>
      <c r="AF408" s="2856"/>
      <c r="AG408" s="2856"/>
      <c r="AH408" s="2856"/>
      <c r="AI408" s="2856"/>
      <c r="AJ408" s="2856"/>
      <c r="AK408" s="2856"/>
      <c r="AL408" s="2856"/>
      <c r="AM408" s="2856"/>
      <c r="AN408" s="2856"/>
      <c r="AO408" s="2856"/>
      <c r="AP408" s="2856"/>
      <c r="AQ408" s="2856"/>
      <c r="AR408" s="2856"/>
      <c r="AS408" s="2856"/>
      <c r="AT408" s="2866"/>
      <c r="AU408" s="2867"/>
      <c r="AV408" s="1182">
        <f t="shared" si="243"/>
        <v>0</v>
      </c>
      <c r="AW408" s="1182">
        <f t="shared" si="244"/>
        <v>0</v>
      </c>
      <c r="AX408" s="1182">
        <f t="shared" si="245"/>
        <v>0</v>
      </c>
      <c r="AY408" s="2881">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8">
        <f t="shared" si="267"/>
        <v>0</v>
      </c>
    </row>
    <row r="409" spans="1:72">
      <c r="A409" s="2833"/>
      <c r="B409" s="2834"/>
      <c r="C409" s="2834"/>
      <c r="D409" s="2835"/>
      <c r="E409" s="2836">
        <f t="shared" si="239"/>
        <v>0</v>
      </c>
      <c r="F409" s="2837"/>
      <c r="G409" s="2838">
        <f t="shared" si="240"/>
        <v>0</v>
      </c>
      <c r="H409" s="2839">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6">
        <f t="shared" si="242"/>
        <v>0</v>
      </c>
      <c r="AD409" s="2856"/>
      <c r="AE409" s="2856"/>
      <c r="AF409" s="2856"/>
      <c r="AG409" s="2856"/>
      <c r="AH409" s="2856"/>
      <c r="AI409" s="2856"/>
      <c r="AJ409" s="2856"/>
      <c r="AK409" s="2856"/>
      <c r="AL409" s="2856"/>
      <c r="AM409" s="2856"/>
      <c r="AN409" s="2856"/>
      <c r="AO409" s="2856"/>
      <c r="AP409" s="2856"/>
      <c r="AQ409" s="2856"/>
      <c r="AR409" s="2856"/>
      <c r="AS409" s="2856"/>
      <c r="AT409" s="2866"/>
      <c r="AU409" s="2867"/>
      <c r="AV409" s="1182">
        <f t="shared" si="243"/>
        <v>0</v>
      </c>
      <c r="AW409" s="1182">
        <f t="shared" si="244"/>
        <v>0</v>
      </c>
      <c r="AX409" s="1182">
        <f t="shared" si="245"/>
        <v>0</v>
      </c>
      <c r="AY409" s="2881">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8">
        <f t="shared" si="267"/>
        <v>0</v>
      </c>
    </row>
    <row r="410" spans="1:72">
      <c r="A410" s="2833"/>
      <c r="B410" s="2834"/>
      <c r="C410" s="2834"/>
      <c r="D410" s="2835"/>
      <c r="E410" s="2836">
        <f t="shared" si="239"/>
        <v>0</v>
      </c>
      <c r="F410" s="2837"/>
      <c r="G410" s="2838">
        <f t="shared" si="240"/>
        <v>0</v>
      </c>
      <c r="H410" s="2839">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6">
        <f t="shared" si="242"/>
        <v>0</v>
      </c>
      <c r="AD410" s="2856"/>
      <c r="AE410" s="2856"/>
      <c r="AF410" s="2856"/>
      <c r="AG410" s="2856"/>
      <c r="AH410" s="2856"/>
      <c r="AI410" s="2856"/>
      <c r="AJ410" s="2856"/>
      <c r="AK410" s="2856"/>
      <c r="AL410" s="2856"/>
      <c r="AM410" s="2856"/>
      <c r="AN410" s="2856"/>
      <c r="AO410" s="2856"/>
      <c r="AP410" s="2856"/>
      <c r="AQ410" s="2856"/>
      <c r="AR410" s="2856"/>
      <c r="AS410" s="2856"/>
      <c r="AT410" s="2866"/>
      <c r="AU410" s="2867"/>
      <c r="AV410" s="1182">
        <f t="shared" si="243"/>
        <v>0</v>
      </c>
      <c r="AW410" s="1182">
        <f t="shared" si="244"/>
        <v>0</v>
      </c>
      <c r="AX410" s="1182">
        <f t="shared" si="245"/>
        <v>0</v>
      </c>
      <c r="AY410" s="2881">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8">
        <f t="shared" si="267"/>
        <v>0</v>
      </c>
    </row>
    <row r="411" spans="1:72">
      <c r="A411" s="2833"/>
      <c r="B411" s="2834"/>
      <c r="C411" s="2834"/>
      <c r="D411" s="2835"/>
      <c r="E411" s="2836">
        <f t="shared" si="239"/>
        <v>0</v>
      </c>
      <c r="F411" s="2837"/>
      <c r="G411" s="2838">
        <f t="shared" si="240"/>
        <v>0</v>
      </c>
      <c r="H411" s="2839">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6">
        <f t="shared" si="242"/>
        <v>0</v>
      </c>
      <c r="AD411" s="2856"/>
      <c r="AE411" s="2856"/>
      <c r="AF411" s="2856"/>
      <c r="AG411" s="2856"/>
      <c r="AH411" s="2856"/>
      <c r="AI411" s="2856"/>
      <c r="AJ411" s="2856"/>
      <c r="AK411" s="2856"/>
      <c r="AL411" s="2856"/>
      <c r="AM411" s="2856"/>
      <c r="AN411" s="2856"/>
      <c r="AO411" s="2856"/>
      <c r="AP411" s="2856"/>
      <c r="AQ411" s="2856"/>
      <c r="AR411" s="2856"/>
      <c r="AS411" s="2856"/>
      <c r="AT411" s="2866"/>
      <c r="AU411" s="2867"/>
      <c r="AV411" s="1182">
        <f t="shared" si="243"/>
        <v>0</v>
      </c>
      <c r="AW411" s="1182">
        <f t="shared" si="244"/>
        <v>0</v>
      </c>
      <c r="AX411" s="1182">
        <f t="shared" si="245"/>
        <v>0</v>
      </c>
      <c r="AY411" s="2881">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8">
        <f t="shared" si="267"/>
        <v>0</v>
      </c>
    </row>
    <row r="412" spans="1:72">
      <c r="A412" s="2833"/>
      <c r="B412" s="2834"/>
      <c r="C412" s="2834"/>
      <c r="D412" s="2835"/>
      <c r="E412" s="2836">
        <f t="shared" si="239"/>
        <v>0</v>
      </c>
      <c r="F412" s="2837"/>
      <c r="G412" s="2838">
        <f t="shared" si="240"/>
        <v>0</v>
      </c>
      <c r="H412" s="2839">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6">
        <f t="shared" si="242"/>
        <v>0</v>
      </c>
      <c r="AD412" s="2856"/>
      <c r="AE412" s="2856"/>
      <c r="AF412" s="2856"/>
      <c r="AG412" s="2856"/>
      <c r="AH412" s="2856"/>
      <c r="AI412" s="2856"/>
      <c r="AJ412" s="2856"/>
      <c r="AK412" s="2856"/>
      <c r="AL412" s="2856"/>
      <c r="AM412" s="2856"/>
      <c r="AN412" s="2856"/>
      <c r="AO412" s="2856"/>
      <c r="AP412" s="2856"/>
      <c r="AQ412" s="2856"/>
      <c r="AR412" s="2856"/>
      <c r="AS412" s="2856"/>
      <c r="AT412" s="2866"/>
      <c r="AU412" s="2867"/>
      <c r="AV412" s="1182">
        <f t="shared" si="243"/>
        <v>0</v>
      </c>
      <c r="AW412" s="1182">
        <f t="shared" si="244"/>
        <v>0</v>
      </c>
      <c r="AX412" s="1182">
        <f t="shared" si="245"/>
        <v>0</v>
      </c>
      <c r="AY412" s="2881">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8">
        <f t="shared" si="267"/>
        <v>0</v>
      </c>
    </row>
    <row r="413" spans="1:72">
      <c r="A413" s="2833"/>
      <c r="B413" s="2834"/>
      <c r="C413" s="2834"/>
      <c r="D413" s="2835"/>
      <c r="E413" s="2836">
        <f t="shared" si="239"/>
        <v>0</v>
      </c>
      <c r="F413" s="2837"/>
      <c r="G413" s="2838">
        <f t="shared" si="240"/>
        <v>0</v>
      </c>
      <c r="H413" s="2839">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6">
        <f t="shared" si="242"/>
        <v>0</v>
      </c>
      <c r="AD413" s="2856"/>
      <c r="AE413" s="2856"/>
      <c r="AF413" s="2856"/>
      <c r="AG413" s="2856"/>
      <c r="AH413" s="2856"/>
      <c r="AI413" s="2856"/>
      <c r="AJ413" s="2856"/>
      <c r="AK413" s="2856"/>
      <c r="AL413" s="2856"/>
      <c r="AM413" s="2856"/>
      <c r="AN413" s="2856"/>
      <c r="AO413" s="2856"/>
      <c r="AP413" s="2856"/>
      <c r="AQ413" s="2856"/>
      <c r="AR413" s="2856"/>
      <c r="AS413" s="2856"/>
      <c r="AT413" s="2866"/>
      <c r="AU413" s="2867"/>
      <c r="AV413" s="1182">
        <f t="shared" si="243"/>
        <v>0</v>
      </c>
      <c r="AW413" s="1182">
        <f t="shared" si="244"/>
        <v>0</v>
      </c>
      <c r="AX413" s="1182">
        <f t="shared" si="245"/>
        <v>0</v>
      </c>
      <c r="AY413" s="2881">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8">
        <f t="shared" si="267"/>
        <v>0</v>
      </c>
    </row>
    <row r="414" spans="1:72">
      <c r="A414" s="2833"/>
      <c r="B414" s="2834"/>
      <c r="C414" s="2834"/>
      <c r="D414" s="2835"/>
      <c r="E414" s="2836">
        <f t="shared" si="239"/>
        <v>0</v>
      </c>
      <c r="F414" s="2837"/>
      <c r="G414" s="2838">
        <f t="shared" si="240"/>
        <v>0</v>
      </c>
      <c r="H414" s="2839">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6">
        <f t="shared" si="242"/>
        <v>0</v>
      </c>
      <c r="AD414" s="2856"/>
      <c r="AE414" s="2856"/>
      <c r="AF414" s="2856"/>
      <c r="AG414" s="2856"/>
      <c r="AH414" s="2856"/>
      <c r="AI414" s="2856"/>
      <c r="AJ414" s="2856"/>
      <c r="AK414" s="2856"/>
      <c r="AL414" s="2856"/>
      <c r="AM414" s="2856"/>
      <c r="AN414" s="2856"/>
      <c r="AO414" s="2856"/>
      <c r="AP414" s="2856"/>
      <c r="AQ414" s="2856"/>
      <c r="AR414" s="2856"/>
      <c r="AS414" s="2856"/>
      <c r="AT414" s="2866"/>
      <c r="AU414" s="2867"/>
      <c r="AV414" s="1182">
        <f t="shared" si="243"/>
        <v>0</v>
      </c>
      <c r="AW414" s="1182">
        <f t="shared" si="244"/>
        <v>0</v>
      </c>
      <c r="AX414" s="1182">
        <f t="shared" si="245"/>
        <v>0</v>
      </c>
      <c r="AY414" s="2881">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8">
        <f t="shared" si="267"/>
        <v>0</v>
      </c>
    </row>
    <row r="415" spans="1:72">
      <c r="A415" s="2833"/>
      <c r="B415" s="2834"/>
      <c r="C415" s="2834"/>
      <c r="D415" s="2835"/>
      <c r="E415" s="2836">
        <f t="shared" si="239"/>
        <v>0</v>
      </c>
      <c r="F415" s="2837"/>
      <c r="G415" s="2838">
        <f t="shared" si="240"/>
        <v>0</v>
      </c>
      <c r="H415" s="2839">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6">
        <f t="shared" si="242"/>
        <v>0</v>
      </c>
      <c r="AD415" s="2856"/>
      <c r="AE415" s="2856"/>
      <c r="AF415" s="2856"/>
      <c r="AG415" s="2856"/>
      <c r="AH415" s="2856"/>
      <c r="AI415" s="2856"/>
      <c r="AJ415" s="2856"/>
      <c r="AK415" s="2856"/>
      <c r="AL415" s="2856"/>
      <c r="AM415" s="2856"/>
      <c r="AN415" s="2856"/>
      <c r="AO415" s="2856"/>
      <c r="AP415" s="2856"/>
      <c r="AQ415" s="2856"/>
      <c r="AR415" s="2856"/>
      <c r="AS415" s="2856"/>
      <c r="AT415" s="2866"/>
      <c r="AU415" s="2867"/>
      <c r="AV415" s="1182">
        <f t="shared" si="243"/>
        <v>0</v>
      </c>
      <c r="AW415" s="1182">
        <f t="shared" si="244"/>
        <v>0</v>
      </c>
      <c r="AX415" s="1182">
        <f t="shared" si="245"/>
        <v>0</v>
      </c>
      <c r="AY415" s="2881">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8">
        <f t="shared" si="267"/>
        <v>0</v>
      </c>
    </row>
    <row r="416" spans="1:72">
      <c r="A416" s="2833"/>
      <c r="B416" s="2834"/>
      <c r="C416" s="2834"/>
      <c r="D416" s="2835"/>
      <c r="E416" s="2836">
        <f t="shared" si="239"/>
        <v>0</v>
      </c>
      <c r="F416" s="2837"/>
      <c r="G416" s="2838">
        <f t="shared" si="240"/>
        <v>0</v>
      </c>
      <c r="H416" s="2839">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6">
        <f t="shared" si="242"/>
        <v>0</v>
      </c>
      <c r="AD416" s="2856"/>
      <c r="AE416" s="2856"/>
      <c r="AF416" s="2856"/>
      <c r="AG416" s="2856"/>
      <c r="AH416" s="2856"/>
      <c r="AI416" s="2856"/>
      <c r="AJ416" s="2856"/>
      <c r="AK416" s="2856"/>
      <c r="AL416" s="2856"/>
      <c r="AM416" s="2856"/>
      <c r="AN416" s="2856"/>
      <c r="AO416" s="2856"/>
      <c r="AP416" s="2856"/>
      <c r="AQ416" s="2856"/>
      <c r="AR416" s="2856"/>
      <c r="AS416" s="2856"/>
      <c r="AT416" s="2866"/>
      <c r="AU416" s="2867"/>
      <c r="AV416" s="1182">
        <f t="shared" si="243"/>
        <v>0</v>
      </c>
      <c r="AW416" s="1182">
        <f t="shared" si="244"/>
        <v>0</v>
      </c>
      <c r="AX416" s="1182">
        <f t="shared" si="245"/>
        <v>0</v>
      </c>
      <c r="AY416" s="2881">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8">
        <f t="shared" si="267"/>
        <v>0</v>
      </c>
    </row>
    <row r="417" spans="1:72">
      <c r="A417" s="2833"/>
      <c r="B417" s="2834"/>
      <c r="C417" s="2834"/>
      <c r="D417" s="2835"/>
      <c r="E417" s="2836">
        <f t="shared" si="239"/>
        <v>0</v>
      </c>
      <c r="F417" s="2837"/>
      <c r="G417" s="2838">
        <f t="shared" si="240"/>
        <v>0</v>
      </c>
      <c r="H417" s="2839">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6">
        <f t="shared" si="242"/>
        <v>0</v>
      </c>
      <c r="AD417" s="2856"/>
      <c r="AE417" s="2856"/>
      <c r="AF417" s="2856"/>
      <c r="AG417" s="2856"/>
      <c r="AH417" s="2856"/>
      <c r="AI417" s="2856"/>
      <c r="AJ417" s="2856"/>
      <c r="AK417" s="2856"/>
      <c r="AL417" s="2856"/>
      <c r="AM417" s="2856"/>
      <c r="AN417" s="2856"/>
      <c r="AO417" s="2856"/>
      <c r="AP417" s="2856"/>
      <c r="AQ417" s="2856"/>
      <c r="AR417" s="2856"/>
      <c r="AS417" s="2856"/>
      <c r="AT417" s="2866"/>
      <c r="AU417" s="2867"/>
      <c r="AV417" s="1182">
        <f t="shared" si="243"/>
        <v>0</v>
      </c>
      <c r="AW417" s="1182">
        <f t="shared" si="244"/>
        <v>0</v>
      </c>
      <c r="AX417" s="1182">
        <f t="shared" si="245"/>
        <v>0</v>
      </c>
      <c r="AY417" s="2881">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8">
        <f t="shared" si="267"/>
        <v>0</v>
      </c>
    </row>
    <row r="418" spans="1:72">
      <c r="A418" s="2833"/>
      <c r="B418" s="2834"/>
      <c r="C418" s="2834"/>
      <c r="D418" s="2835"/>
      <c r="E418" s="2836">
        <f t="shared" si="239"/>
        <v>0</v>
      </c>
      <c r="F418" s="2837"/>
      <c r="G418" s="2838">
        <f t="shared" si="240"/>
        <v>0</v>
      </c>
      <c r="H418" s="2839">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6">
        <f t="shared" si="242"/>
        <v>0</v>
      </c>
      <c r="AD418" s="2856"/>
      <c r="AE418" s="2856"/>
      <c r="AF418" s="2856"/>
      <c r="AG418" s="2856"/>
      <c r="AH418" s="2856"/>
      <c r="AI418" s="2856"/>
      <c r="AJ418" s="2856"/>
      <c r="AK418" s="2856"/>
      <c r="AL418" s="2856"/>
      <c r="AM418" s="2856"/>
      <c r="AN418" s="2856"/>
      <c r="AO418" s="2856"/>
      <c r="AP418" s="2856"/>
      <c r="AQ418" s="2856"/>
      <c r="AR418" s="2856"/>
      <c r="AS418" s="2856"/>
      <c r="AT418" s="2866"/>
      <c r="AU418" s="2867"/>
      <c r="AV418" s="1182">
        <f t="shared" si="243"/>
        <v>0</v>
      </c>
      <c r="AW418" s="1182">
        <f t="shared" si="244"/>
        <v>0</v>
      </c>
      <c r="AX418" s="1182">
        <f t="shared" si="245"/>
        <v>0</v>
      </c>
      <c r="AY418" s="2881">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8">
        <f t="shared" si="267"/>
        <v>0</v>
      </c>
    </row>
    <row r="419" spans="1:72">
      <c r="A419" s="2833"/>
      <c r="B419" s="2834"/>
      <c r="C419" s="2834"/>
      <c r="D419" s="2835"/>
      <c r="E419" s="2836">
        <f t="shared" si="239"/>
        <v>0</v>
      </c>
      <c r="F419" s="2837"/>
      <c r="G419" s="2838">
        <f t="shared" si="240"/>
        <v>0</v>
      </c>
      <c r="H419" s="2839">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6">
        <f t="shared" si="242"/>
        <v>0</v>
      </c>
      <c r="AD419" s="2856"/>
      <c r="AE419" s="2856"/>
      <c r="AF419" s="2856"/>
      <c r="AG419" s="2856"/>
      <c r="AH419" s="2856"/>
      <c r="AI419" s="2856"/>
      <c r="AJ419" s="2856"/>
      <c r="AK419" s="2856"/>
      <c r="AL419" s="2856"/>
      <c r="AM419" s="2856"/>
      <c r="AN419" s="2856"/>
      <c r="AO419" s="2856"/>
      <c r="AP419" s="2856"/>
      <c r="AQ419" s="2856"/>
      <c r="AR419" s="2856"/>
      <c r="AS419" s="2856"/>
      <c r="AT419" s="2866"/>
      <c r="AU419" s="2867"/>
      <c r="AV419" s="1182">
        <f t="shared" si="243"/>
        <v>0</v>
      </c>
      <c r="AW419" s="1182">
        <f t="shared" si="244"/>
        <v>0</v>
      </c>
      <c r="AX419" s="1182">
        <f t="shared" si="245"/>
        <v>0</v>
      </c>
      <c r="AY419" s="2881">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8">
        <f t="shared" si="267"/>
        <v>0</v>
      </c>
    </row>
    <row r="420" spans="1:72">
      <c r="A420" s="2833"/>
      <c r="B420" s="2834"/>
      <c r="C420" s="2834"/>
      <c r="D420" s="2835"/>
      <c r="E420" s="2836">
        <f t="shared" si="239"/>
        <v>0</v>
      </c>
      <c r="F420" s="2837"/>
      <c r="G420" s="2838">
        <f t="shared" si="240"/>
        <v>0</v>
      </c>
      <c r="H420" s="2839">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6">
        <f t="shared" si="242"/>
        <v>0</v>
      </c>
      <c r="AD420" s="2856"/>
      <c r="AE420" s="2856"/>
      <c r="AF420" s="2856"/>
      <c r="AG420" s="2856"/>
      <c r="AH420" s="2856"/>
      <c r="AI420" s="2856"/>
      <c r="AJ420" s="2856"/>
      <c r="AK420" s="2856"/>
      <c r="AL420" s="2856"/>
      <c r="AM420" s="2856"/>
      <c r="AN420" s="2856"/>
      <c r="AO420" s="2856"/>
      <c r="AP420" s="2856"/>
      <c r="AQ420" s="2856"/>
      <c r="AR420" s="2856"/>
      <c r="AS420" s="2856"/>
      <c r="AT420" s="2866"/>
      <c r="AU420" s="2867"/>
      <c r="AV420" s="1182">
        <f t="shared" si="243"/>
        <v>0</v>
      </c>
      <c r="AW420" s="1182">
        <f t="shared" si="244"/>
        <v>0</v>
      </c>
      <c r="AX420" s="1182">
        <f t="shared" si="245"/>
        <v>0</v>
      </c>
      <c r="AY420" s="2881">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8">
        <f t="shared" si="267"/>
        <v>0</v>
      </c>
    </row>
    <row r="421" spans="1:72">
      <c r="A421" s="2833"/>
      <c r="B421" s="2834"/>
      <c r="C421" s="2834"/>
      <c r="D421" s="2835"/>
      <c r="E421" s="2836">
        <f t="shared" si="239"/>
        <v>0</v>
      </c>
      <c r="F421" s="2837"/>
      <c r="G421" s="2838">
        <f t="shared" si="240"/>
        <v>0</v>
      </c>
      <c r="H421" s="2839">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6">
        <f t="shared" si="242"/>
        <v>0</v>
      </c>
      <c r="AD421" s="2856"/>
      <c r="AE421" s="2856"/>
      <c r="AF421" s="2856"/>
      <c r="AG421" s="2856"/>
      <c r="AH421" s="2856"/>
      <c r="AI421" s="2856"/>
      <c r="AJ421" s="2856"/>
      <c r="AK421" s="2856"/>
      <c r="AL421" s="2856"/>
      <c r="AM421" s="2856"/>
      <c r="AN421" s="2856"/>
      <c r="AO421" s="2856"/>
      <c r="AP421" s="2856"/>
      <c r="AQ421" s="2856"/>
      <c r="AR421" s="2856"/>
      <c r="AS421" s="2856"/>
      <c r="AT421" s="2866"/>
      <c r="AU421" s="2867"/>
      <c r="AV421" s="1182">
        <f t="shared" si="243"/>
        <v>0</v>
      </c>
      <c r="AW421" s="1182">
        <f t="shared" si="244"/>
        <v>0</v>
      </c>
      <c r="AX421" s="1182">
        <f t="shared" si="245"/>
        <v>0</v>
      </c>
      <c r="AY421" s="2881">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8">
        <f t="shared" si="267"/>
        <v>0</v>
      </c>
    </row>
    <row r="422" spans="1:72">
      <c r="A422" s="2833"/>
      <c r="B422" s="2834"/>
      <c r="C422" s="2834"/>
      <c r="D422" s="2835"/>
      <c r="E422" s="2836">
        <f t="shared" si="239"/>
        <v>0</v>
      </c>
      <c r="F422" s="2837"/>
      <c r="G422" s="2838">
        <f t="shared" si="240"/>
        <v>0</v>
      </c>
      <c r="H422" s="2839">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6">
        <f t="shared" si="242"/>
        <v>0</v>
      </c>
      <c r="AD422" s="2856"/>
      <c r="AE422" s="2856"/>
      <c r="AF422" s="2856"/>
      <c r="AG422" s="2856"/>
      <c r="AH422" s="2856"/>
      <c r="AI422" s="2856"/>
      <c r="AJ422" s="2856"/>
      <c r="AK422" s="2856"/>
      <c r="AL422" s="2856"/>
      <c r="AM422" s="2856"/>
      <c r="AN422" s="2856"/>
      <c r="AO422" s="2856"/>
      <c r="AP422" s="2856"/>
      <c r="AQ422" s="2856"/>
      <c r="AR422" s="2856"/>
      <c r="AS422" s="2856"/>
      <c r="AT422" s="2866"/>
      <c r="AU422" s="2867"/>
      <c r="AV422" s="1182">
        <f t="shared" si="243"/>
        <v>0</v>
      </c>
      <c r="AW422" s="1182">
        <f t="shared" si="244"/>
        <v>0</v>
      </c>
      <c r="AX422" s="1182">
        <f t="shared" si="245"/>
        <v>0</v>
      </c>
      <c r="AY422" s="2881">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8">
        <f t="shared" si="267"/>
        <v>0</v>
      </c>
    </row>
    <row r="423" spans="1:72">
      <c r="A423" s="2833"/>
      <c r="B423" s="2834"/>
      <c r="C423" s="2834"/>
      <c r="D423" s="2835"/>
      <c r="E423" s="2836">
        <f t="shared" si="239"/>
        <v>0</v>
      </c>
      <c r="F423" s="2837"/>
      <c r="G423" s="2838">
        <f t="shared" si="240"/>
        <v>0</v>
      </c>
      <c r="H423" s="2839">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6">
        <f t="shared" si="242"/>
        <v>0</v>
      </c>
      <c r="AD423" s="2856"/>
      <c r="AE423" s="2856"/>
      <c r="AF423" s="2856"/>
      <c r="AG423" s="2856"/>
      <c r="AH423" s="2856"/>
      <c r="AI423" s="2856"/>
      <c r="AJ423" s="2856"/>
      <c r="AK423" s="2856"/>
      <c r="AL423" s="2856"/>
      <c r="AM423" s="2856"/>
      <c r="AN423" s="2856"/>
      <c r="AO423" s="2856"/>
      <c r="AP423" s="2856"/>
      <c r="AQ423" s="2856"/>
      <c r="AR423" s="2856"/>
      <c r="AS423" s="2856"/>
      <c r="AT423" s="2866"/>
      <c r="AU423" s="2867"/>
      <c r="AV423" s="1182">
        <f t="shared" si="243"/>
        <v>0</v>
      </c>
      <c r="AW423" s="1182">
        <f t="shared" si="244"/>
        <v>0</v>
      </c>
      <c r="AX423" s="1182">
        <f t="shared" si="245"/>
        <v>0</v>
      </c>
      <c r="AY423" s="2881">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8">
        <f t="shared" si="267"/>
        <v>0</v>
      </c>
    </row>
    <row r="424" spans="1:72">
      <c r="A424" s="2833"/>
      <c r="B424" s="2834"/>
      <c r="C424" s="2834"/>
      <c r="D424" s="2835"/>
      <c r="E424" s="2836">
        <f t="shared" si="239"/>
        <v>0</v>
      </c>
      <c r="F424" s="2837"/>
      <c r="G424" s="2838">
        <f t="shared" si="240"/>
        <v>0</v>
      </c>
      <c r="H424" s="2839">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6">
        <f t="shared" si="242"/>
        <v>0</v>
      </c>
      <c r="AD424" s="2856"/>
      <c r="AE424" s="2856"/>
      <c r="AF424" s="2856"/>
      <c r="AG424" s="2856"/>
      <c r="AH424" s="2856"/>
      <c r="AI424" s="2856"/>
      <c r="AJ424" s="2856"/>
      <c r="AK424" s="2856"/>
      <c r="AL424" s="2856"/>
      <c r="AM424" s="2856"/>
      <c r="AN424" s="2856"/>
      <c r="AO424" s="2856"/>
      <c r="AP424" s="2856"/>
      <c r="AQ424" s="2856"/>
      <c r="AR424" s="2856"/>
      <c r="AS424" s="2856"/>
      <c r="AT424" s="2866"/>
      <c r="AU424" s="2867"/>
      <c r="AV424" s="1182">
        <f t="shared" si="243"/>
        <v>0</v>
      </c>
      <c r="AW424" s="1182">
        <f t="shared" si="244"/>
        <v>0</v>
      </c>
      <c r="AX424" s="1182">
        <f t="shared" si="245"/>
        <v>0</v>
      </c>
      <c r="AY424" s="2881">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8">
        <f t="shared" si="267"/>
        <v>0</v>
      </c>
    </row>
    <row r="425" spans="1:72">
      <c r="A425" s="2833"/>
      <c r="B425" s="2834"/>
      <c r="C425" s="2834"/>
      <c r="D425" s="2835"/>
      <c r="E425" s="2836">
        <f t="shared" si="239"/>
        <v>0</v>
      </c>
      <c r="F425" s="2837"/>
      <c r="G425" s="2838">
        <f t="shared" si="240"/>
        <v>0</v>
      </c>
      <c r="H425" s="2839">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6">
        <f t="shared" si="242"/>
        <v>0</v>
      </c>
      <c r="AD425" s="2856"/>
      <c r="AE425" s="2856"/>
      <c r="AF425" s="2856"/>
      <c r="AG425" s="2856"/>
      <c r="AH425" s="2856"/>
      <c r="AI425" s="2856"/>
      <c r="AJ425" s="2856"/>
      <c r="AK425" s="2856"/>
      <c r="AL425" s="2856"/>
      <c r="AM425" s="2856"/>
      <c r="AN425" s="2856"/>
      <c r="AO425" s="2856"/>
      <c r="AP425" s="2856"/>
      <c r="AQ425" s="2856"/>
      <c r="AR425" s="2856"/>
      <c r="AS425" s="2856"/>
      <c r="AT425" s="2866"/>
      <c r="AU425" s="2867"/>
      <c r="AV425" s="1182">
        <f t="shared" si="243"/>
        <v>0</v>
      </c>
      <c r="AW425" s="1182">
        <f t="shared" si="244"/>
        <v>0</v>
      </c>
      <c r="AX425" s="1182">
        <f t="shared" si="245"/>
        <v>0</v>
      </c>
      <c r="AY425" s="2881">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8">
        <f t="shared" si="267"/>
        <v>0</v>
      </c>
    </row>
    <row r="426" spans="1:72">
      <c r="A426" s="2833"/>
      <c r="B426" s="2834"/>
      <c r="C426" s="2834"/>
      <c r="D426" s="2835"/>
      <c r="E426" s="2836">
        <f t="shared" si="239"/>
        <v>0</v>
      </c>
      <c r="F426" s="2837"/>
      <c r="G426" s="2838">
        <f t="shared" si="240"/>
        <v>0</v>
      </c>
      <c r="H426" s="2839">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6">
        <f t="shared" si="242"/>
        <v>0</v>
      </c>
      <c r="AD426" s="2856"/>
      <c r="AE426" s="2856"/>
      <c r="AF426" s="2856"/>
      <c r="AG426" s="2856"/>
      <c r="AH426" s="2856"/>
      <c r="AI426" s="2856"/>
      <c r="AJ426" s="2856"/>
      <c r="AK426" s="2856"/>
      <c r="AL426" s="2856"/>
      <c r="AM426" s="2856"/>
      <c r="AN426" s="2856"/>
      <c r="AO426" s="2856"/>
      <c r="AP426" s="2856"/>
      <c r="AQ426" s="2856"/>
      <c r="AR426" s="2856"/>
      <c r="AS426" s="2856"/>
      <c r="AT426" s="2866"/>
      <c r="AU426" s="2867"/>
      <c r="AV426" s="1182">
        <f t="shared" si="243"/>
        <v>0</v>
      </c>
      <c r="AW426" s="1182">
        <f t="shared" si="244"/>
        <v>0</v>
      </c>
      <c r="AX426" s="1182">
        <f t="shared" si="245"/>
        <v>0</v>
      </c>
      <c r="AY426" s="2881">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8">
        <f t="shared" si="267"/>
        <v>0</v>
      </c>
    </row>
    <row r="427" spans="1:72">
      <c r="A427" s="2833"/>
      <c r="B427" s="2834"/>
      <c r="C427" s="2834"/>
      <c r="D427" s="2835"/>
      <c r="E427" s="2836">
        <f t="shared" si="239"/>
        <v>0</v>
      </c>
      <c r="F427" s="2837"/>
      <c r="G427" s="2838">
        <f t="shared" si="240"/>
        <v>0</v>
      </c>
      <c r="H427" s="2839">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6">
        <f t="shared" si="242"/>
        <v>0</v>
      </c>
      <c r="AD427" s="2856"/>
      <c r="AE427" s="2856"/>
      <c r="AF427" s="2856"/>
      <c r="AG427" s="2856"/>
      <c r="AH427" s="2856"/>
      <c r="AI427" s="2856"/>
      <c r="AJ427" s="2856"/>
      <c r="AK427" s="2856"/>
      <c r="AL427" s="2856"/>
      <c r="AM427" s="2856"/>
      <c r="AN427" s="2856"/>
      <c r="AO427" s="2856"/>
      <c r="AP427" s="2856"/>
      <c r="AQ427" s="2856"/>
      <c r="AR427" s="2856"/>
      <c r="AS427" s="2856"/>
      <c r="AT427" s="2866"/>
      <c r="AU427" s="2867"/>
      <c r="AV427" s="1182">
        <f t="shared" si="243"/>
        <v>0</v>
      </c>
      <c r="AW427" s="1182">
        <f t="shared" si="244"/>
        <v>0</v>
      </c>
      <c r="AX427" s="1182">
        <f t="shared" si="245"/>
        <v>0</v>
      </c>
      <c r="AY427" s="2881">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8">
        <f t="shared" si="267"/>
        <v>0</v>
      </c>
    </row>
    <row r="428" spans="1:72">
      <c r="A428" s="2833"/>
      <c r="B428" s="2834"/>
      <c r="C428" s="2834"/>
      <c r="D428" s="2835"/>
      <c r="E428" s="2836">
        <f t="shared" si="239"/>
        <v>0</v>
      </c>
      <c r="F428" s="2837"/>
      <c r="G428" s="2838">
        <f t="shared" si="240"/>
        <v>0</v>
      </c>
      <c r="H428" s="2839">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6">
        <f t="shared" si="242"/>
        <v>0</v>
      </c>
      <c r="AD428" s="2856"/>
      <c r="AE428" s="2856"/>
      <c r="AF428" s="2856"/>
      <c r="AG428" s="2856"/>
      <c r="AH428" s="2856"/>
      <c r="AI428" s="2856"/>
      <c r="AJ428" s="2856"/>
      <c r="AK428" s="2856"/>
      <c r="AL428" s="2856"/>
      <c r="AM428" s="2856"/>
      <c r="AN428" s="2856"/>
      <c r="AO428" s="2856"/>
      <c r="AP428" s="2856"/>
      <c r="AQ428" s="2856"/>
      <c r="AR428" s="2856"/>
      <c r="AS428" s="2856"/>
      <c r="AT428" s="2866"/>
      <c r="AU428" s="2867"/>
      <c r="AV428" s="1182">
        <f t="shared" si="243"/>
        <v>0</v>
      </c>
      <c r="AW428" s="1182">
        <f t="shared" si="244"/>
        <v>0</v>
      </c>
      <c r="AX428" s="1182">
        <f t="shared" si="245"/>
        <v>0</v>
      </c>
      <c r="AY428" s="2881">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8">
        <f t="shared" si="267"/>
        <v>0</v>
      </c>
    </row>
    <row r="429" spans="1:72">
      <c r="A429" s="2833"/>
      <c r="B429" s="2834"/>
      <c r="C429" s="2834"/>
      <c r="D429" s="2835"/>
      <c r="E429" s="2836">
        <f t="shared" si="239"/>
        <v>0</v>
      </c>
      <c r="F429" s="2837"/>
      <c r="G429" s="2838">
        <f t="shared" si="240"/>
        <v>0</v>
      </c>
      <c r="H429" s="2839">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6">
        <f t="shared" si="242"/>
        <v>0</v>
      </c>
      <c r="AD429" s="2856"/>
      <c r="AE429" s="2856"/>
      <c r="AF429" s="2856"/>
      <c r="AG429" s="2856"/>
      <c r="AH429" s="2856"/>
      <c r="AI429" s="2856"/>
      <c r="AJ429" s="2856"/>
      <c r="AK429" s="2856"/>
      <c r="AL429" s="2856"/>
      <c r="AM429" s="2856"/>
      <c r="AN429" s="2856"/>
      <c r="AO429" s="2856"/>
      <c r="AP429" s="2856"/>
      <c r="AQ429" s="2856"/>
      <c r="AR429" s="2856"/>
      <c r="AS429" s="2856"/>
      <c r="AT429" s="2866"/>
      <c r="AU429" s="2867"/>
      <c r="AV429" s="1182">
        <f t="shared" si="243"/>
        <v>0</v>
      </c>
      <c r="AW429" s="1182">
        <f t="shared" si="244"/>
        <v>0</v>
      </c>
      <c r="AX429" s="1182">
        <f t="shared" si="245"/>
        <v>0</v>
      </c>
      <c r="AY429" s="2881">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8">
        <f t="shared" si="267"/>
        <v>0</v>
      </c>
    </row>
    <row r="430" spans="1:72">
      <c r="A430" s="2833"/>
      <c r="B430" s="2834"/>
      <c r="C430" s="2834"/>
      <c r="D430" s="2835"/>
      <c r="E430" s="2836">
        <f t="shared" si="239"/>
        <v>0</v>
      </c>
      <c r="F430" s="2837"/>
      <c r="G430" s="2838">
        <f t="shared" si="240"/>
        <v>0</v>
      </c>
      <c r="H430" s="2839">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6">
        <f t="shared" si="242"/>
        <v>0</v>
      </c>
      <c r="AD430" s="2856"/>
      <c r="AE430" s="2856"/>
      <c r="AF430" s="2856"/>
      <c r="AG430" s="2856"/>
      <c r="AH430" s="2856"/>
      <c r="AI430" s="2856"/>
      <c r="AJ430" s="2856"/>
      <c r="AK430" s="2856"/>
      <c r="AL430" s="2856"/>
      <c r="AM430" s="2856"/>
      <c r="AN430" s="2856"/>
      <c r="AO430" s="2856"/>
      <c r="AP430" s="2856"/>
      <c r="AQ430" s="2856"/>
      <c r="AR430" s="2856"/>
      <c r="AS430" s="2856"/>
      <c r="AT430" s="2866"/>
      <c r="AU430" s="2867"/>
      <c r="AV430" s="1182">
        <f t="shared" si="243"/>
        <v>0</v>
      </c>
      <c r="AW430" s="1182">
        <f t="shared" si="244"/>
        <v>0</v>
      </c>
      <c r="AX430" s="1182">
        <f t="shared" si="245"/>
        <v>0</v>
      </c>
      <c r="AY430" s="2881">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8">
        <f t="shared" si="267"/>
        <v>0</v>
      </c>
    </row>
    <row r="431" spans="1:72">
      <c r="A431" s="2833"/>
      <c r="B431" s="2834"/>
      <c r="C431" s="2834"/>
      <c r="D431" s="2835"/>
      <c r="E431" s="2836">
        <f t="shared" si="239"/>
        <v>0</v>
      </c>
      <c r="F431" s="2837"/>
      <c r="G431" s="2838">
        <f t="shared" si="240"/>
        <v>0</v>
      </c>
      <c r="H431" s="2839">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6">
        <f t="shared" si="242"/>
        <v>0</v>
      </c>
      <c r="AD431" s="2856"/>
      <c r="AE431" s="2856"/>
      <c r="AF431" s="2856"/>
      <c r="AG431" s="2856"/>
      <c r="AH431" s="2856"/>
      <c r="AI431" s="2856"/>
      <c r="AJ431" s="2856"/>
      <c r="AK431" s="2856"/>
      <c r="AL431" s="2856"/>
      <c r="AM431" s="2856"/>
      <c r="AN431" s="2856"/>
      <c r="AO431" s="2856"/>
      <c r="AP431" s="2856"/>
      <c r="AQ431" s="2856"/>
      <c r="AR431" s="2856"/>
      <c r="AS431" s="2856"/>
      <c r="AT431" s="2866"/>
      <c r="AU431" s="2867"/>
      <c r="AV431" s="1182">
        <f t="shared" si="243"/>
        <v>0</v>
      </c>
      <c r="AW431" s="1182">
        <f t="shared" si="244"/>
        <v>0</v>
      </c>
      <c r="AX431" s="1182">
        <f t="shared" si="245"/>
        <v>0</v>
      </c>
      <c r="AY431" s="2881">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8">
        <f t="shared" si="267"/>
        <v>0</v>
      </c>
    </row>
    <row r="432" spans="1:72">
      <c r="A432" s="2833"/>
      <c r="B432" s="2834"/>
      <c r="C432" s="2834"/>
      <c r="D432" s="2835"/>
      <c r="E432" s="2836">
        <f t="shared" si="239"/>
        <v>0</v>
      </c>
      <c r="F432" s="2837"/>
      <c r="G432" s="2838">
        <f t="shared" si="240"/>
        <v>0</v>
      </c>
      <c r="H432" s="2839">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6">
        <f t="shared" si="242"/>
        <v>0</v>
      </c>
      <c r="AD432" s="2856"/>
      <c r="AE432" s="2856"/>
      <c r="AF432" s="2856"/>
      <c r="AG432" s="2856"/>
      <c r="AH432" s="2856"/>
      <c r="AI432" s="2856"/>
      <c r="AJ432" s="2856"/>
      <c r="AK432" s="2856"/>
      <c r="AL432" s="2856"/>
      <c r="AM432" s="2856"/>
      <c r="AN432" s="2856"/>
      <c r="AO432" s="2856"/>
      <c r="AP432" s="2856"/>
      <c r="AQ432" s="2856"/>
      <c r="AR432" s="2856"/>
      <c r="AS432" s="2856"/>
      <c r="AT432" s="2866"/>
      <c r="AU432" s="2867"/>
      <c r="AV432" s="1182">
        <f t="shared" si="243"/>
        <v>0</v>
      </c>
      <c r="AW432" s="1182">
        <f t="shared" si="244"/>
        <v>0</v>
      </c>
      <c r="AX432" s="1182">
        <f t="shared" si="245"/>
        <v>0</v>
      </c>
      <c r="AY432" s="2881">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8">
        <f t="shared" si="267"/>
        <v>0</v>
      </c>
    </row>
    <row r="433" spans="1:72">
      <c r="A433" s="2833"/>
      <c r="B433" s="2834"/>
      <c r="C433" s="2834"/>
      <c r="D433" s="2835"/>
      <c r="E433" s="2836">
        <f t="shared" si="239"/>
        <v>0</v>
      </c>
      <c r="F433" s="2837"/>
      <c r="G433" s="2838">
        <f t="shared" si="240"/>
        <v>0</v>
      </c>
      <c r="H433" s="2839">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6">
        <f t="shared" si="242"/>
        <v>0</v>
      </c>
      <c r="AD433" s="2856"/>
      <c r="AE433" s="2856"/>
      <c r="AF433" s="2856"/>
      <c r="AG433" s="2856"/>
      <c r="AH433" s="2856"/>
      <c r="AI433" s="2856"/>
      <c r="AJ433" s="2856"/>
      <c r="AK433" s="2856"/>
      <c r="AL433" s="2856"/>
      <c r="AM433" s="2856"/>
      <c r="AN433" s="2856"/>
      <c r="AO433" s="2856"/>
      <c r="AP433" s="2856"/>
      <c r="AQ433" s="2856"/>
      <c r="AR433" s="2856"/>
      <c r="AS433" s="2856"/>
      <c r="AT433" s="2866"/>
      <c r="AU433" s="2867"/>
      <c r="AV433" s="1182">
        <f t="shared" si="243"/>
        <v>0</v>
      </c>
      <c r="AW433" s="1182">
        <f t="shared" si="244"/>
        <v>0</v>
      </c>
      <c r="AX433" s="1182">
        <f t="shared" si="245"/>
        <v>0</v>
      </c>
      <c r="AY433" s="2881">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8">
        <f t="shared" si="267"/>
        <v>0</v>
      </c>
    </row>
    <row r="434" spans="1:72">
      <c r="A434" s="2833"/>
      <c r="B434" s="2834"/>
      <c r="C434" s="2834"/>
      <c r="D434" s="2835"/>
      <c r="E434" s="2836">
        <f t="shared" si="239"/>
        <v>0</v>
      </c>
      <c r="F434" s="2837"/>
      <c r="G434" s="2838">
        <f t="shared" si="240"/>
        <v>0</v>
      </c>
      <c r="H434" s="2839">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6">
        <f t="shared" si="242"/>
        <v>0</v>
      </c>
      <c r="AD434" s="2856"/>
      <c r="AE434" s="2856"/>
      <c r="AF434" s="2856"/>
      <c r="AG434" s="2856"/>
      <c r="AH434" s="2856"/>
      <c r="AI434" s="2856"/>
      <c r="AJ434" s="2856"/>
      <c r="AK434" s="2856"/>
      <c r="AL434" s="2856"/>
      <c r="AM434" s="2856"/>
      <c r="AN434" s="2856"/>
      <c r="AO434" s="2856"/>
      <c r="AP434" s="2856"/>
      <c r="AQ434" s="2856"/>
      <c r="AR434" s="2856"/>
      <c r="AS434" s="2856"/>
      <c r="AT434" s="2866"/>
      <c r="AU434" s="2867"/>
      <c r="AV434" s="1182">
        <f t="shared" si="243"/>
        <v>0</v>
      </c>
      <c r="AW434" s="1182">
        <f t="shared" si="244"/>
        <v>0</v>
      </c>
      <c r="AX434" s="1182">
        <f t="shared" si="245"/>
        <v>0</v>
      </c>
      <c r="AY434" s="2881">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8">
        <f t="shared" si="267"/>
        <v>0</v>
      </c>
    </row>
    <row r="435" spans="1:72">
      <c r="A435" s="2833"/>
      <c r="B435" s="2834"/>
      <c r="C435" s="2834"/>
      <c r="D435" s="2835"/>
      <c r="E435" s="2836">
        <f t="shared" si="239"/>
        <v>0</v>
      </c>
      <c r="F435" s="2837"/>
      <c r="G435" s="2838">
        <f t="shared" si="240"/>
        <v>0</v>
      </c>
      <c r="H435" s="2839">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6">
        <f t="shared" si="242"/>
        <v>0</v>
      </c>
      <c r="AD435" s="2856"/>
      <c r="AE435" s="2856"/>
      <c r="AF435" s="2856"/>
      <c r="AG435" s="2856"/>
      <c r="AH435" s="2856"/>
      <c r="AI435" s="2856"/>
      <c r="AJ435" s="2856"/>
      <c r="AK435" s="2856"/>
      <c r="AL435" s="2856"/>
      <c r="AM435" s="2856"/>
      <c r="AN435" s="2856"/>
      <c r="AO435" s="2856"/>
      <c r="AP435" s="2856"/>
      <c r="AQ435" s="2856"/>
      <c r="AR435" s="2856"/>
      <c r="AS435" s="2856"/>
      <c r="AT435" s="2866"/>
      <c r="AU435" s="2867"/>
      <c r="AV435" s="1182">
        <f t="shared" si="243"/>
        <v>0</v>
      </c>
      <c r="AW435" s="1182">
        <f t="shared" si="244"/>
        <v>0</v>
      </c>
      <c r="AX435" s="1182">
        <f t="shared" si="245"/>
        <v>0</v>
      </c>
      <c r="AY435" s="2881">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8">
        <f t="shared" si="267"/>
        <v>0</v>
      </c>
    </row>
    <row r="436" spans="1:72">
      <c r="A436" s="2833"/>
      <c r="B436" s="2834"/>
      <c r="C436" s="2834"/>
      <c r="D436" s="2835"/>
      <c r="E436" s="2836">
        <f t="shared" si="239"/>
        <v>0</v>
      </c>
      <c r="F436" s="2837"/>
      <c r="G436" s="2838">
        <f t="shared" si="240"/>
        <v>0</v>
      </c>
      <c r="H436" s="2839">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6">
        <f t="shared" si="242"/>
        <v>0</v>
      </c>
      <c r="AD436" s="2856"/>
      <c r="AE436" s="2856"/>
      <c r="AF436" s="2856"/>
      <c r="AG436" s="2856"/>
      <c r="AH436" s="2856"/>
      <c r="AI436" s="2856"/>
      <c r="AJ436" s="2856"/>
      <c r="AK436" s="2856"/>
      <c r="AL436" s="2856"/>
      <c r="AM436" s="2856"/>
      <c r="AN436" s="2856"/>
      <c r="AO436" s="2856"/>
      <c r="AP436" s="2856"/>
      <c r="AQ436" s="2856"/>
      <c r="AR436" s="2856"/>
      <c r="AS436" s="2856"/>
      <c r="AT436" s="2866"/>
      <c r="AU436" s="2867"/>
      <c r="AV436" s="1182">
        <f t="shared" si="243"/>
        <v>0</v>
      </c>
      <c r="AW436" s="1182">
        <f t="shared" si="244"/>
        <v>0</v>
      </c>
      <c r="AX436" s="1182">
        <f t="shared" si="245"/>
        <v>0</v>
      </c>
      <c r="AY436" s="2881">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8">
        <f t="shared" si="267"/>
        <v>0</v>
      </c>
    </row>
    <row r="437" spans="1:72">
      <c r="A437" s="2833"/>
      <c r="B437" s="2834"/>
      <c r="C437" s="2834"/>
      <c r="D437" s="2835"/>
      <c r="E437" s="2836">
        <f t="shared" si="239"/>
        <v>0</v>
      </c>
      <c r="F437" s="2837"/>
      <c r="G437" s="2838">
        <f t="shared" si="240"/>
        <v>0</v>
      </c>
      <c r="H437" s="2839">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6">
        <f t="shared" si="242"/>
        <v>0</v>
      </c>
      <c r="AD437" s="2856"/>
      <c r="AE437" s="2856"/>
      <c r="AF437" s="2856"/>
      <c r="AG437" s="2856"/>
      <c r="AH437" s="2856"/>
      <c r="AI437" s="2856"/>
      <c r="AJ437" s="2856"/>
      <c r="AK437" s="2856"/>
      <c r="AL437" s="2856"/>
      <c r="AM437" s="2856"/>
      <c r="AN437" s="2856"/>
      <c r="AO437" s="2856"/>
      <c r="AP437" s="2856"/>
      <c r="AQ437" s="2856"/>
      <c r="AR437" s="2856"/>
      <c r="AS437" s="2856"/>
      <c r="AT437" s="2866"/>
      <c r="AU437" s="2867"/>
      <c r="AV437" s="1182">
        <f t="shared" si="243"/>
        <v>0</v>
      </c>
      <c r="AW437" s="1182">
        <f t="shared" si="244"/>
        <v>0</v>
      </c>
      <c r="AX437" s="1182">
        <f t="shared" si="245"/>
        <v>0</v>
      </c>
      <c r="AY437" s="2881">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8">
        <f t="shared" si="267"/>
        <v>0</v>
      </c>
    </row>
    <row r="438" spans="1:72">
      <c r="A438" s="2833"/>
      <c r="B438" s="2834"/>
      <c r="C438" s="2834"/>
      <c r="D438" s="2835"/>
      <c r="E438" s="2836">
        <f t="shared" si="239"/>
        <v>0</v>
      </c>
      <c r="F438" s="2837"/>
      <c r="G438" s="2838">
        <f t="shared" si="240"/>
        <v>0</v>
      </c>
      <c r="H438" s="2839">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6">
        <f t="shared" si="242"/>
        <v>0</v>
      </c>
      <c r="AD438" s="2856"/>
      <c r="AE438" s="2856"/>
      <c r="AF438" s="2856"/>
      <c r="AG438" s="2856"/>
      <c r="AH438" s="2856"/>
      <c r="AI438" s="2856"/>
      <c r="AJ438" s="2856"/>
      <c r="AK438" s="2856"/>
      <c r="AL438" s="2856"/>
      <c r="AM438" s="2856"/>
      <c r="AN438" s="2856"/>
      <c r="AO438" s="2856"/>
      <c r="AP438" s="2856"/>
      <c r="AQ438" s="2856"/>
      <c r="AR438" s="2856"/>
      <c r="AS438" s="2856"/>
      <c r="AT438" s="2866"/>
      <c r="AU438" s="2867"/>
      <c r="AV438" s="1182">
        <f t="shared" si="243"/>
        <v>0</v>
      </c>
      <c r="AW438" s="1182">
        <f t="shared" si="244"/>
        <v>0</v>
      </c>
      <c r="AX438" s="1182">
        <f t="shared" si="245"/>
        <v>0</v>
      </c>
      <c r="AY438" s="2881">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8">
        <f t="shared" si="267"/>
        <v>0</v>
      </c>
    </row>
    <row r="439" spans="1:72">
      <c r="A439" s="2833"/>
      <c r="B439" s="2834"/>
      <c r="C439" s="2834"/>
      <c r="D439" s="2835"/>
      <c r="E439" s="2836">
        <f t="shared" si="239"/>
        <v>0</v>
      </c>
      <c r="F439" s="2837"/>
      <c r="G439" s="2838">
        <f t="shared" si="240"/>
        <v>0</v>
      </c>
      <c r="H439" s="2839">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6">
        <f t="shared" si="242"/>
        <v>0</v>
      </c>
      <c r="AD439" s="2856"/>
      <c r="AE439" s="2856"/>
      <c r="AF439" s="2856"/>
      <c r="AG439" s="2856"/>
      <c r="AH439" s="2856"/>
      <c r="AI439" s="2856"/>
      <c r="AJ439" s="2856"/>
      <c r="AK439" s="2856"/>
      <c r="AL439" s="2856"/>
      <c r="AM439" s="2856"/>
      <c r="AN439" s="2856"/>
      <c r="AO439" s="2856"/>
      <c r="AP439" s="2856"/>
      <c r="AQ439" s="2856"/>
      <c r="AR439" s="2856"/>
      <c r="AS439" s="2856"/>
      <c r="AT439" s="2866"/>
      <c r="AU439" s="2867"/>
      <c r="AV439" s="1182">
        <f t="shared" si="243"/>
        <v>0</v>
      </c>
      <c r="AW439" s="1182">
        <f t="shared" si="244"/>
        <v>0</v>
      </c>
      <c r="AX439" s="1182">
        <f t="shared" si="245"/>
        <v>0</v>
      </c>
      <c r="AY439" s="2881">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8">
        <f t="shared" si="267"/>
        <v>0</v>
      </c>
    </row>
    <row r="440" spans="1:72">
      <c r="A440" s="2833"/>
      <c r="B440" s="2834"/>
      <c r="C440" s="2834"/>
      <c r="D440" s="2835"/>
      <c r="E440" s="2836">
        <f t="shared" si="239"/>
        <v>0</v>
      </c>
      <c r="F440" s="2837"/>
      <c r="G440" s="2838">
        <f t="shared" si="240"/>
        <v>0</v>
      </c>
      <c r="H440" s="2839">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6">
        <f t="shared" si="242"/>
        <v>0</v>
      </c>
      <c r="AD440" s="2856"/>
      <c r="AE440" s="2856"/>
      <c r="AF440" s="2856"/>
      <c r="AG440" s="2856"/>
      <c r="AH440" s="2856"/>
      <c r="AI440" s="2856"/>
      <c r="AJ440" s="2856"/>
      <c r="AK440" s="2856"/>
      <c r="AL440" s="2856"/>
      <c r="AM440" s="2856"/>
      <c r="AN440" s="2856"/>
      <c r="AO440" s="2856"/>
      <c r="AP440" s="2856"/>
      <c r="AQ440" s="2856"/>
      <c r="AR440" s="2856"/>
      <c r="AS440" s="2856"/>
      <c r="AT440" s="2866"/>
      <c r="AU440" s="2867"/>
      <c r="AV440" s="1182">
        <f t="shared" si="243"/>
        <v>0</v>
      </c>
      <c r="AW440" s="1182">
        <f t="shared" si="244"/>
        <v>0</v>
      </c>
      <c r="AX440" s="1182">
        <f t="shared" si="245"/>
        <v>0</v>
      </c>
      <c r="AY440" s="2881">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8">
        <f t="shared" si="267"/>
        <v>0</v>
      </c>
    </row>
    <row r="441" spans="1:72">
      <c r="A441" s="2833"/>
      <c r="B441" s="2834"/>
      <c r="C441" s="2834"/>
      <c r="D441" s="2835"/>
      <c r="E441" s="2836">
        <f t="shared" si="239"/>
        <v>0</v>
      </c>
      <c r="F441" s="2837"/>
      <c r="G441" s="2838">
        <f t="shared" si="240"/>
        <v>0</v>
      </c>
      <c r="H441" s="2839">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6">
        <f t="shared" si="242"/>
        <v>0</v>
      </c>
      <c r="AD441" s="2856"/>
      <c r="AE441" s="2856"/>
      <c r="AF441" s="2856"/>
      <c r="AG441" s="2856"/>
      <c r="AH441" s="2856"/>
      <c r="AI441" s="2856"/>
      <c r="AJ441" s="2856"/>
      <c r="AK441" s="2856"/>
      <c r="AL441" s="2856"/>
      <c r="AM441" s="2856"/>
      <c r="AN441" s="2856"/>
      <c r="AO441" s="2856"/>
      <c r="AP441" s="2856"/>
      <c r="AQ441" s="2856"/>
      <c r="AR441" s="2856"/>
      <c r="AS441" s="2856"/>
      <c r="AT441" s="2866"/>
      <c r="AU441" s="2867"/>
      <c r="AV441" s="1182">
        <f t="shared" si="243"/>
        <v>0</v>
      </c>
      <c r="AW441" s="1182">
        <f t="shared" si="244"/>
        <v>0</v>
      </c>
      <c r="AX441" s="1182">
        <f t="shared" si="245"/>
        <v>0</v>
      </c>
      <c r="AY441" s="2881">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8">
        <f t="shared" si="267"/>
        <v>0</v>
      </c>
    </row>
    <row r="442" spans="1:72">
      <c r="A442" s="2833"/>
      <c r="B442" s="2834"/>
      <c r="C442" s="2834"/>
      <c r="D442" s="2835"/>
      <c r="E442" s="2836">
        <f t="shared" si="239"/>
        <v>0</v>
      </c>
      <c r="F442" s="2837"/>
      <c r="G442" s="2838">
        <f t="shared" si="240"/>
        <v>0</v>
      </c>
      <c r="H442" s="2839">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6">
        <f t="shared" si="242"/>
        <v>0</v>
      </c>
      <c r="AD442" s="2856"/>
      <c r="AE442" s="2856"/>
      <c r="AF442" s="2856"/>
      <c r="AG442" s="2856"/>
      <c r="AH442" s="2856"/>
      <c r="AI442" s="2856"/>
      <c r="AJ442" s="2856"/>
      <c r="AK442" s="2856"/>
      <c r="AL442" s="2856"/>
      <c r="AM442" s="2856"/>
      <c r="AN442" s="2856"/>
      <c r="AO442" s="2856"/>
      <c r="AP442" s="2856"/>
      <c r="AQ442" s="2856"/>
      <c r="AR442" s="2856"/>
      <c r="AS442" s="2856"/>
      <c r="AT442" s="2866"/>
      <c r="AU442" s="2867"/>
      <c r="AV442" s="1182">
        <f t="shared" si="243"/>
        <v>0</v>
      </c>
      <c r="AW442" s="1182">
        <f t="shared" si="244"/>
        <v>0</v>
      </c>
      <c r="AX442" s="1182">
        <f t="shared" si="245"/>
        <v>0</v>
      </c>
      <c r="AY442" s="2881">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8">
        <f t="shared" si="267"/>
        <v>0</v>
      </c>
    </row>
    <row r="443" spans="1:72">
      <c r="A443" s="2833"/>
      <c r="B443" s="2834"/>
      <c r="C443" s="2834"/>
      <c r="D443" s="2835"/>
      <c r="E443" s="2836">
        <f t="shared" si="239"/>
        <v>0</v>
      </c>
      <c r="F443" s="2837"/>
      <c r="G443" s="2838">
        <f t="shared" si="240"/>
        <v>0</v>
      </c>
      <c r="H443" s="2839">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6">
        <f t="shared" si="242"/>
        <v>0</v>
      </c>
      <c r="AD443" s="2856"/>
      <c r="AE443" s="2856"/>
      <c r="AF443" s="2856"/>
      <c r="AG443" s="2856"/>
      <c r="AH443" s="2856"/>
      <c r="AI443" s="2856"/>
      <c r="AJ443" s="2856"/>
      <c r="AK443" s="2856"/>
      <c r="AL443" s="2856"/>
      <c r="AM443" s="2856"/>
      <c r="AN443" s="2856"/>
      <c r="AO443" s="2856"/>
      <c r="AP443" s="2856"/>
      <c r="AQ443" s="2856"/>
      <c r="AR443" s="2856"/>
      <c r="AS443" s="2856"/>
      <c r="AT443" s="2866"/>
      <c r="AU443" s="2867"/>
      <c r="AV443" s="1182">
        <f t="shared" si="243"/>
        <v>0</v>
      </c>
      <c r="AW443" s="1182">
        <f t="shared" si="244"/>
        <v>0</v>
      </c>
      <c r="AX443" s="1182">
        <f t="shared" si="245"/>
        <v>0</v>
      </c>
      <c r="AY443" s="2881">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8">
        <f t="shared" si="267"/>
        <v>0</v>
      </c>
    </row>
    <row r="444" spans="1:72">
      <c r="A444" s="2833"/>
      <c r="B444" s="2834"/>
      <c r="C444" s="2834"/>
      <c r="D444" s="2835"/>
      <c r="E444" s="2836">
        <f t="shared" si="239"/>
        <v>0</v>
      </c>
      <c r="F444" s="2837"/>
      <c r="G444" s="2838">
        <f t="shared" si="240"/>
        <v>0</v>
      </c>
      <c r="H444" s="2839">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6">
        <f t="shared" si="242"/>
        <v>0</v>
      </c>
      <c r="AD444" s="2856"/>
      <c r="AE444" s="2856"/>
      <c r="AF444" s="2856"/>
      <c r="AG444" s="2856"/>
      <c r="AH444" s="2856"/>
      <c r="AI444" s="2856"/>
      <c r="AJ444" s="2856"/>
      <c r="AK444" s="2856"/>
      <c r="AL444" s="2856"/>
      <c r="AM444" s="2856"/>
      <c r="AN444" s="2856"/>
      <c r="AO444" s="2856"/>
      <c r="AP444" s="2856"/>
      <c r="AQ444" s="2856"/>
      <c r="AR444" s="2856"/>
      <c r="AS444" s="2856"/>
      <c r="AT444" s="2866"/>
      <c r="AU444" s="2867"/>
      <c r="AV444" s="1182">
        <f t="shared" si="243"/>
        <v>0</v>
      </c>
      <c r="AW444" s="1182">
        <f t="shared" si="244"/>
        <v>0</v>
      </c>
      <c r="AX444" s="1182">
        <f t="shared" si="245"/>
        <v>0</v>
      </c>
      <c r="AY444" s="2881">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8">
        <f t="shared" si="267"/>
        <v>0</v>
      </c>
    </row>
    <row r="445" spans="1:72">
      <c r="A445" s="2833"/>
      <c r="B445" s="2834"/>
      <c r="C445" s="2834"/>
      <c r="D445" s="2835"/>
      <c r="E445" s="2836">
        <f t="shared" si="239"/>
        <v>0</v>
      </c>
      <c r="F445" s="2837"/>
      <c r="G445" s="2838">
        <f t="shared" si="240"/>
        <v>0</v>
      </c>
      <c r="H445" s="2839">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6">
        <f t="shared" si="242"/>
        <v>0</v>
      </c>
      <c r="AD445" s="2856"/>
      <c r="AE445" s="2856"/>
      <c r="AF445" s="2856"/>
      <c r="AG445" s="2856"/>
      <c r="AH445" s="2856"/>
      <c r="AI445" s="2856"/>
      <c r="AJ445" s="2856"/>
      <c r="AK445" s="2856"/>
      <c r="AL445" s="2856"/>
      <c r="AM445" s="2856"/>
      <c r="AN445" s="2856"/>
      <c r="AO445" s="2856"/>
      <c r="AP445" s="2856"/>
      <c r="AQ445" s="2856"/>
      <c r="AR445" s="2856"/>
      <c r="AS445" s="2856"/>
      <c r="AT445" s="2866"/>
      <c r="AU445" s="2867"/>
      <c r="AV445" s="1182">
        <f t="shared" si="243"/>
        <v>0</v>
      </c>
      <c r="AW445" s="1182">
        <f t="shared" si="244"/>
        <v>0</v>
      </c>
      <c r="AX445" s="1182">
        <f t="shared" si="245"/>
        <v>0</v>
      </c>
      <c r="AY445" s="2881">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8">
        <f t="shared" si="267"/>
        <v>0</v>
      </c>
    </row>
    <row r="446" spans="1:72">
      <c r="A446" s="2833"/>
      <c r="B446" s="2834"/>
      <c r="C446" s="2834"/>
      <c r="D446" s="2835"/>
      <c r="E446" s="2836">
        <f t="shared" si="239"/>
        <v>0</v>
      </c>
      <c r="F446" s="2837"/>
      <c r="G446" s="2838">
        <f t="shared" si="240"/>
        <v>0</v>
      </c>
      <c r="H446" s="2839">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6">
        <f t="shared" si="242"/>
        <v>0</v>
      </c>
      <c r="AD446" s="2856"/>
      <c r="AE446" s="2856"/>
      <c r="AF446" s="2856"/>
      <c r="AG446" s="2856"/>
      <c r="AH446" s="2856"/>
      <c r="AI446" s="2856"/>
      <c r="AJ446" s="2856"/>
      <c r="AK446" s="2856"/>
      <c r="AL446" s="2856"/>
      <c r="AM446" s="2856"/>
      <c r="AN446" s="2856"/>
      <c r="AO446" s="2856"/>
      <c r="AP446" s="2856"/>
      <c r="AQ446" s="2856"/>
      <c r="AR446" s="2856"/>
      <c r="AS446" s="2856"/>
      <c r="AT446" s="2866"/>
      <c r="AU446" s="2867"/>
      <c r="AV446" s="1182">
        <f t="shared" si="243"/>
        <v>0</v>
      </c>
      <c r="AW446" s="1182">
        <f t="shared" si="244"/>
        <v>0</v>
      </c>
      <c r="AX446" s="1182">
        <f t="shared" si="245"/>
        <v>0</v>
      </c>
      <c r="AY446" s="2881">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8">
        <f t="shared" si="267"/>
        <v>0</v>
      </c>
    </row>
    <row r="447" spans="1:72">
      <c r="A447" s="2833"/>
      <c r="B447" s="2834"/>
      <c r="C447" s="2834"/>
      <c r="D447" s="2835"/>
      <c r="E447" s="2836">
        <f t="shared" si="239"/>
        <v>0</v>
      </c>
      <c r="F447" s="2837"/>
      <c r="G447" s="2838">
        <f t="shared" si="240"/>
        <v>0</v>
      </c>
      <c r="H447" s="2839">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6">
        <f t="shared" si="242"/>
        <v>0</v>
      </c>
      <c r="AD447" s="2856"/>
      <c r="AE447" s="2856"/>
      <c r="AF447" s="2856"/>
      <c r="AG447" s="2856"/>
      <c r="AH447" s="2856"/>
      <c r="AI447" s="2856"/>
      <c r="AJ447" s="2856"/>
      <c r="AK447" s="2856"/>
      <c r="AL447" s="2856"/>
      <c r="AM447" s="2856"/>
      <c r="AN447" s="2856"/>
      <c r="AO447" s="2856"/>
      <c r="AP447" s="2856"/>
      <c r="AQ447" s="2856"/>
      <c r="AR447" s="2856"/>
      <c r="AS447" s="2856"/>
      <c r="AT447" s="2866"/>
      <c r="AU447" s="2867"/>
      <c r="AV447" s="1182">
        <f t="shared" si="243"/>
        <v>0</v>
      </c>
      <c r="AW447" s="1182">
        <f t="shared" si="244"/>
        <v>0</v>
      </c>
      <c r="AX447" s="1182">
        <f t="shared" si="245"/>
        <v>0</v>
      </c>
      <c r="AY447" s="2881">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8">
        <f t="shared" si="267"/>
        <v>0</v>
      </c>
    </row>
    <row r="448" spans="1:72">
      <c r="A448" s="2833"/>
      <c r="B448" s="2834"/>
      <c r="C448" s="2834"/>
      <c r="D448" s="2835"/>
      <c r="E448" s="2836">
        <f t="shared" si="239"/>
        <v>0</v>
      </c>
      <c r="F448" s="2837"/>
      <c r="G448" s="2838">
        <f t="shared" si="240"/>
        <v>0</v>
      </c>
      <c r="H448" s="2839">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6">
        <f t="shared" si="242"/>
        <v>0</v>
      </c>
      <c r="AD448" s="2856"/>
      <c r="AE448" s="2856"/>
      <c r="AF448" s="2856"/>
      <c r="AG448" s="2856"/>
      <c r="AH448" s="2856"/>
      <c r="AI448" s="2856"/>
      <c r="AJ448" s="2856"/>
      <c r="AK448" s="2856"/>
      <c r="AL448" s="2856"/>
      <c r="AM448" s="2856"/>
      <c r="AN448" s="2856"/>
      <c r="AO448" s="2856"/>
      <c r="AP448" s="2856"/>
      <c r="AQ448" s="2856"/>
      <c r="AR448" s="2856"/>
      <c r="AS448" s="2856"/>
      <c r="AT448" s="2866"/>
      <c r="AU448" s="2867"/>
      <c r="AV448" s="1182">
        <f t="shared" si="243"/>
        <v>0</v>
      </c>
      <c r="AW448" s="1182">
        <f t="shared" si="244"/>
        <v>0</v>
      </c>
      <c r="AX448" s="1182">
        <f t="shared" si="245"/>
        <v>0</v>
      </c>
      <c r="AY448" s="2881">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8">
        <f t="shared" si="267"/>
        <v>0</v>
      </c>
    </row>
    <row r="449" spans="1:72">
      <c r="A449" s="2833"/>
      <c r="B449" s="2834"/>
      <c r="C449" s="2834"/>
      <c r="D449" s="2835"/>
      <c r="E449" s="2836">
        <f t="shared" si="239"/>
        <v>0</v>
      </c>
      <c r="F449" s="2837"/>
      <c r="G449" s="2838">
        <f t="shared" si="240"/>
        <v>0</v>
      </c>
      <c r="H449" s="2839">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6">
        <f t="shared" si="242"/>
        <v>0</v>
      </c>
      <c r="AD449" s="2856"/>
      <c r="AE449" s="2856"/>
      <c r="AF449" s="2856"/>
      <c r="AG449" s="2856"/>
      <c r="AH449" s="2856"/>
      <c r="AI449" s="2856"/>
      <c r="AJ449" s="2856"/>
      <c r="AK449" s="2856"/>
      <c r="AL449" s="2856"/>
      <c r="AM449" s="2856"/>
      <c r="AN449" s="2856"/>
      <c r="AO449" s="2856"/>
      <c r="AP449" s="2856"/>
      <c r="AQ449" s="2856"/>
      <c r="AR449" s="2856"/>
      <c r="AS449" s="2856"/>
      <c r="AT449" s="2866"/>
      <c r="AU449" s="2867"/>
      <c r="AV449" s="1182">
        <f t="shared" si="243"/>
        <v>0</v>
      </c>
      <c r="AW449" s="1182">
        <f t="shared" si="244"/>
        <v>0</v>
      </c>
      <c r="AX449" s="1182">
        <f t="shared" si="245"/>
        <v>0</v>
      </c>
      <c r="AY449" s="2881">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8">
        <f t="shared" si="267"/>
        <v>0</v>
      </c>
    </row>
    <row r="450" spans="1:72">
      <c r="A450" s="2833"/>
      <c r="B450" s="2834"/>
      <c r="C450" s="2834"/>
      <c r="D450" s="2835"/>
      <c r="E450" s="2836">
        <f t="shared" si="239"/>
        <v>0</v>
      </c>
      <c r="F450" s="2837"/>
      <c r="G450" s="2838">
        <f t="shared" si="240"/>
        <v>0</v>
      </c>
      <c r="H450" s="2839">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6">
        <f t="shared" si="242"/>
        <v>0</v>
      </c>
      <c r="AD450" s="2856"/>
      <c r="AE450" s="2856"/>
      <c r="AF450" s="2856"/>
      <c r="AG450" s="2856"/>
      <c r="AH450" s="2856"/>
      <c r="AI450" s="2856"/>
      <c r="AJ450" s="2856"/>
      <c r="AK450" s="2856"/>
      <c r="AL450" s="2856"/>
      <c r="AM450" s="2856"/>
      <c r="AN450" s="2856"/>
      <c r="AO450" s="2856"/>
      <c r="AP450" s="2856"/>
      <c r="AQ450" s="2856"/>
      <c r="AR450" s="2856"/>
      <c r="AS450" s="2856"/>
      <c r="AT450" s="2866"/>
      <c r="AU450" s="2867"/>
      <c r="AV450" s="1182">
        <f t="shared" si="243"/>
        <v>0</v>
      </c>
      <c r="AW450" s="1182">
        <f t="shared" si="244"/>
        <v>0</v>
      </c>
      <c r="AX450" s="1182">
        <f t="shared" si="245"/>
        <v>0</v>
      </c>
      <c r="AY450" s="2881">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8">
        <f t="shared" si="267"/>
        <v>0</v>
      </c>
    </row>
    <row r="451" spans="1:72">
      <c r="A451" s="2833"/>
      <c r="B451" s="2834"/>
      <c r="C451" s="2834"/>
      <c r="D451" s="2835"/>
      <c r="E451" s="2836">
        <f t="shared" si="239"/>
        <v>0</v>
      </c>
      <c r="F451" s="2837"/>
      <c r="G451" s="2838">
        <f t="shared" si="240"/>
        <v>0</v>
      </c>
      <c r="H451" s="2839">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6">
        <f t="shared" si="242"/>
        <v>0</v>
      </c>
      <c r="AD451" s="2856"/>
      <c r="AE451" s="2856"/>
      <c r="AF451" s="2856"/>
      <c r="AG451" s="2856"/>
      <c r="AH451" s="2856"/>
      <c r="AI451" s="2856"/>
      <c r="AJ451" s="2856"/>
      <c r="AK451" s="2856"/>
      <c r="AL451" s="2856"/>
      <c r="AM451" s="2856"/>
      <c r="AN451" s="2856"/>
      <c r="AO451" s="2856"/>
      <c r="AP451" s="2856"/>
      <c r="AQ451" s="2856"/>
      <c r="AR451" s="2856"/>
      <c r="AS451" s="2856"/>
      <c r="AT451" s="2866"/>
      <c r="AU451" s="2867"/>
      <c r="AV451" s="1182">
        <f t="shared" si="243"/>
        <v>0</v>
      </c>
      <c r="AW451" s="1182">
        <f t="shared" si="244"/>
        <v>0</v>
      </c>
      <c r="AX451" s="1182">
        <f t="shared" si="245"/>
        <v>0</v>
      </c>
      <c r="AY451" s="2881">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8">
        <f t="shared" si="267"/>
        <v>0</v>
      </c>
    </row>
    <row r="452" spans="1:72">
      <c r="A452" s="2833"/>
      <c r="B452" s="2834"/>
      <c r="C452" s="2834"/>
      <c r="D452" s="2835"/>
      <c r="E452" s="2836">
        <f t="shared" si="239"/>
        <v>0</v>
      </c>
      <c r="F452" s="2837"/>
      <c r="G452" s="2838">
        <f t="shared" si="240"/>
        <v>0</v>
      </c>
      <c r="H452" s="2839">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6">
        <f t="shared" si="242"/>
        <v>0</v>
      </c>
      <c r="AD452" s="2856"/>
      <c r="AE452" s="2856"/>
      <c r="AF452" s="2856"/>
      <c r="AG452" s="2856"/>
      <c r="AH452" s="2856"/>
      <c r="AI452" s="2856"/>
      <c r="AJ452" s="2856"/>
      <c r="AK452" s="2856"/>
      <c r="AL452" s="2856"/>
      <c r="AM452" s="2856"/>
      <c r="AN452" s="2856"/>
      <c r="AO452" s="2856"/>
      <c r="AP452" s="2856"/>
      <c r="AQ452" s="2856"/>
      <c r="AR452" s="2856"/>
      <c r="AS452" s="2856"/>
      <c r="AT452" s="2866"/>
      <c r="AU452" s="2867"/>
      <c r="AV452" s="1182">
        <f t="shared" si="243"/>
        <v>0</v>
      </c>
      <c r="AW452" s="1182">
        <f t="shared" si="244"/>
        <v>0</v>
      </c>
      <c r="AX452" s="1182">
        <f t="shared" si="245"/>
        <v>0</v>
      </c>
      <c r="AY452" s="2881">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8">
        <f t="shared" si="267"/>
        <v>0</v>
      </c>
    </row>
    <row r="453" spans="1:72">
      <c r="A453" s="2833"/>
      <c r="B453" s="2834"/>
      <c r="C453" s="2834"/>
      <c r="D453" s="2835"/>
      <c r="E453" s="2836">
        <f t="shared" si="239"/>
        <v>0</v>
      </c>
      <c r="F453" s="2837"/>
      <c r="G453" s="2838">
        <f t="shared" si="240"/>
        <v>0</v>
      </c>
      <c r="H453" s="2839">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6">
        <f t="shared" si="242"/>
        <v>0</v>
      </c>
      <c r="AD453" s="2856"/>
      <c r="AE453" s="2856"/>
      <c r="AF453" s="2856"/>
      <c r="AG453" s="2856"/>
      <c r="AH453" s="2856"/>
      <c r="AI453" s="2856"/>
      <c r="AJ453" s="2856"/>
      <c r="AK453" s="2856"/>
      <c r="AL453" s="2856"/>
      <c r="AM453" s="2856"/>
      <c r="AN453" s="2856"/>
      <c r="AO453" s="2856"/>
      <c r="AP453" s="2856"/>
      <c r="AQ453" s="2856"/>
      <c r="AR453" s="2856"/>
      <c r="AS453" s="2856"/>
      <c r="AT453" s="2866"/>
      <c r="AU453" s="2867"/>
      <c r="AV453" s="1182">
        <f t="shared" si="243"/>
        <v>0</v>
      </c>
      <c r="AW453" s="1182">
        <f t="shared" si="244"/>
        <v>0</v>
      </c>
      <c r="AX453" s="1182">
        <f t="shared" si="245"/>
        <v>0</v>
      </c>
      <c r="AY453" s="2881">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8">
        <f t="shared" si="267"/>
        <v>0</v>
      </c>
    </row>
    <row r="454" spans="1:72">
      <c r="A454" s="2833"/>
      <c r="B454" s="2834"/>
      <c r="C454" s="2834"/>
      <c r="D454" s="2835"/>
      <c r="E454" s="2836">
        <f t="shared" si="239"/>
        <v>0</v>
      </c>
      <c r="F454" s="2837"/>
      <c r="G454" s="2838">
        <f t="shared" si="240"/>
        <v>0</v>
      </c>
      <c r="H454" s="2839">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6">
        <f t="shared" si="242"/>
        <v>0</v>
      </c>
      <c r="AD454" s="2856"/>
      <c r="AE454" s="2856"/>
      <c r="AF454" s="2856"/>
      <c r="AG454" s="2856"/>
      <c r="AH454" s="2856"/>
      <c r="AI454" s="2856"/>
      <c r="AJ454" s="2856"/>
      <c r="AK454" s="2856"/>
      <c r="AL454" s="2856"/>
      <c r="AM454" s="2856"/>
      <c r="AN454" s="2856"/>
      <c r="AO454" s="2856"/>
      <c r="AP454" s="2856"/>
      <c r="AQ454" s="2856"/>
      <c r="AR454" s="2856"/>
      <c r="AS454" s="2856"/>
      <c r="AT454" s="2866"/>
      <c r="AU454" s="2867"/>
      <c r="AV454" s="1182">
        <f t="shared" si="243"/>
        <v>0</v>
      </c>
      <c r="AW454" s="1182">
        <f t="shared" si="244"/>
        <v>0</v>
      </c>
      <c r="AX454" s="1182">
        <f t="shared" si="245"/>
        <v>0</v>
      </c>
      <c r="AY454" s="2881">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8">
        <f t="shared" si="267"/>
        <v>0</v>
      </c>
    </row>
    <row r="455" spans="1:72">
      <c r="A455" s="2833"/>
      <c r="B455" s="2834"/>
      <c r="C455" s="2834"/>
      <c r="D455" s="2835"/>
      <c r="E455" s="2836">
        <f t="shared" si="239"/>
        <v>0</v>
      </c>
      <c r="F455" s="2837"/>
      <c r="G455" s="2838">
        <f t="shared" si="240"/>
        <v>0</v>
      </c>
      <c r="H455" s="2839">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6">
        <f t="shared" si="242"/>
        <v>0</v>
      </c>
      <c r="AD455" s="2856"/>
      <c r="AE455" s="2856"/>
      <c r="AF455" s="2856"/>
      <c r="AG455" s="2856"/>
      <c r="AH455" s="2856"/>
      <c r="AI455" s="2856"/>
      <c r="AJ455" s="2856"/>
      <c r="AK455" s="2856"/>
      <c r="AL455" s="2856"/>
      <c r="AM455" s="2856"/>
      <c r="AN455" s="2856"/>
      <c r="AO455" s="2856"/>
      <c r="AP455" s="2856"/>
      <c r="AQ455" s="2856"/>
      <c r="AR455" s="2856"/>
      <c r="AS455" s="2856"/>
      <c r="AT455" s="2866"/>
      <c r="AU455" s="2867"/>
      <c r="AV455" s="1182">
        <f t="shared" si="243"/>
        <v>0</v>
      </c>
      <c r="AW455" s="1182">
        <f t="shared" si="244"/>
        <v>0</v>
      </c>
      <c r="AX455" s="1182">
        <f t="shared" si="245"/>
        <v>0</v>
      </c>
      <c r="AY455" s="2881">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8">
        <f t="shared" si="267"/>
        <v>0</v>
      </c>
    </row>
    <row r="456" spans="1:72">
      <c r="A456" s="2833"/>
      <c r="B456" s="2834"/>
      <c r="C456" s="2834"/>
      <c r="D456" s="2835"/>
      <c r="E456" s="2836">
        <f t="shared" si="239"/>
        <v>0</v>
      </c>
      <c r="F456" s="2837"/>
      <c r="G456" s="2838">
        <f t="shared" si="240"/>
        <v>0</v>
      </c>
      <c r="H456" s="2839">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6">
        <f t="shared" si="242"/>
        <v>0</v>
      </c>
      <c r="AD456" s="2856"/>
      <c r="AE456" s="2856"/>
      <c r="AF456" s="2856"/>
      <c r="AG456" s="2856"/>
      <c r="AH456" s="2856"/>
      <c r="AI456" s="2856"/>
      <c r="AJ456" s="2856"/>
      <c r="AK456" s="2856"/>
      <c r="AL456" s="2856"/>
      <c r="AM456" s="2856"/>
      <c r="AN456" s="2856"/>
      <c r="AO456" s="2856"/>
      <c r="AP456" s="2856"/>
      <c r="AQ456" s="2856"/>
      <c r="AR456" s="2856"/>
      <c r="AS456" s="2856"/>
      <c r="AT456" s="2866"/>
      <c r="AU456" s="2867"/>
      <c r="AV456" s="1182">
        <f t="shared" si="243"/>
        <v>0</v>
      </c>
      <c r="AW456" s="1182">
        <f t="shared" si="244"/>
        <v>0</v>
      </c>
      <c r="AX456" s="1182">
        <f t="shared" si="245"/>
        <v>0</v>
      </c>
      <c r="AY456" s="2881">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8">
        <f t="shared" si="267"/>
        <v>0</v>
      </c>
    </row>
    <row r="457" spans="1:72">
      <c r="A457" s="2833"/>
      <c r="B457" s="2834"/>
      <c r="C457" s="2834"/>
      <c r="D457" s="2835"/>
      <c r="E457" s="2836">
        <f t="shared" si="239"/>
        <v>0</v>
      </c>
      <c r="F457" s="2837"/>
      <c r="G457" s="2838">
        <f t="shared" si="240"/>
        <v>0</v>
      </c>
      <c r="H457" s="2839">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6">
        <f t="shared" si="242"/>
        <v>0</v>
      </c>
      <c r="AD457" s="2856"/>
      <c r="AE457" s="2856"/>
      <c r="AF457" s="2856"/>
      <c r="AG457" s="2856"/>
      <c r="AH457" s="2856"/>
      <c r="AI457" s="2856"/>
      <c r="AJ457" s="2856"/>
      <c r="AK457" s="2856"/>
      <c r="AL457" s="2856"/>
      <c r="AM457" s="2856"/>
      <c r="AN457" s="2856"/>
      <c r="AO457" s="2856"/>
      <c r="AP457" s="2856"/>
      <c r="AQ457" s="2856"/>
      <c r="AR457" s="2856"/>
      <c r="AS457" s="2856"/>
      <c r="AT457" s="2866"/>
      <c r="AU457" s="2867"/>
      <c r="AV457" s="1182">
        <f t="shared" si="243"/>
        <v>0</v>
      </c>
      <c r="AW457" s="1182">
        <f t="shared" si="244"/>
        <v>0</v>
      </c>
      <c r="AX457" s="1182">
        <f t="shared" si="245"/>
        <v>0</v>
      </c>
      <c r="AY457" s="2881">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8">
        <f t="shared" si="267"/>
        <v>0</v>
      </c>
    </row>
    <row r="458" spans="1:72">
      <c r="A458" s="2833"/>
      <c r="B458" s="2834"/>
      <c r="C458" s="2834"/>
      <c r="D458" s="2835"/>
      <c r="E458" s="2836">
        <f t="shared" si="239"/>
        <v>0</v>
      </c>
      <c r="F458" s="2837"/>
      <c r="G458" s="2838">
        <f t="shared" si="240"/>
        <v>0</v>
      </c>
      <c r="H458" s="2839">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6">
        <f t="shared" si="242"/>
        <v>0</v>
      </c>
      <c r="AD458" s="2856"/>
      <c r="AE458" s="2856"/>
      <c r="AF458" s="2856"/>
      <c r="AG458" s="2856"/>
      <c r="AH458" s="2856"/>
      <c r="AI458" s="2856"/>
      <c r="AJ458" s="2856"/>
      <c r="AK458" s="2856"/>
      <c r="AL458" s="2856"/>
      <c r="AM458" s="2856"/>
      <c r="AN458" s="2856"/>
      <c r="AO458" s="2856"/>
      <c r="AP458" s="2856"/>
      <c r="AQ458" s="2856"/>
      <c r="AR458" s="2856"/>
      <c r="AS458" s="2856"/>
      <c r="AT458" s="2866"/>
      <c r="AU458" s="2867"/>
      <c r="AV458" s="1182">
        <f t="shared" si="243"/>
        <v>0</v>
      </c>
      <c r="AW458" s="1182">
        <f t="shared" si="244"/>
        <v>0</v>
      </c>
      <c r="AX458" s="1182">
        <f t="shared" si="245"/>
        <v>0</v>
      </c>
      <c r="AY458" s="2881">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8">
        <f t="shared" si="267"/>
        <v>0</v>
      </c>
    </row>
    <row r="459" spans="1:72">
      <c r="A459" s="2833"/>
      <c r="B459" s="2834"/>
      <c r="C459" s="2834"/>
      <c r="D459" s="2835"/>
      <c r="E459" s="2836">
        <f t="shared" si="239"/>
        <v>0</v>
      </c>
      <c r="F459" s="2837"/>
      <c r="G459" s="2838">
        <f t="shared" si="240"/>
        <v>0</v>
      </c>
      <c r="H459" s="2839">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6">
        <f t="shared" si="242"/>
        <v>0</v>
      </c>
      <c r="AD459" s="2856"/>
      <c r="AE459" s="2856"/>
      <c r="AF459" s="2856"/>
      <c r="AG459" s="2856"/>
      <c r="AH459" s="2856"/>
      <c r="AI459" s="2856"/>
      <c r="AJ459" s="2856"/>
      <c r="AK459" s="2856"/>
      <c r="AL459" s="2856"/>
      <c r="AM459" s="2856"/>
      <c r="AN459" s="2856"/>
      <c r="AO459" s="2856"/>
      <c r="AP459" s="2856"/>
      <c r="AQ459" s="2856"/>
      <c r="AR459" s="2856"/>
      <c r="AS459" s="2856"/>
      <c r="AT459" s="2866"/>
      <c r="AU459" s="2867"/>
      <c r="AV459" s="1182">
        <f t="shared" si="243"/>
        <v>0</v>
      </c>
      <c r="AW459" s="1182">
        <f t="shared" si="244"/>
        <v>0</v>
      </c>
      <c r="AX459" s="1182">
        <f t="shared" si="245"/>
        <v>0</v>
      </c>
      <c r="AY459" s="2881">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8">
        <f t="shared" si="267"/>
        <v>0</v>
      </c>
    </row>
    <row r="460" spans="1:72">
      <c r="A460" s="2833"/>
      <c r="B460" s="2834"/>
      <c r="C460" s="2834"/>
      <c r="D460" s="2835"/>
      <c r="E460" s="2836">
        <f t="shared" si="239"/>
        <v>0</v>
      </c>
      <c r="F460" s="2837"/>
      <c r="G460" s="2838">
        <f t="shared" si="240"/>
        <v>0</v>
      </c>
      <c r="H460" s="2839">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6">
        <f t="shared" si="242"/>
        <v>0</v>
      </c>
      <c r="AD460" s="2856"/>
      <c r="AE460" s="2856"/>
      <c r="AF460" s="2856"/>
      <c r="AG460" s="2856"/>
      <c r="AH460" s="2856"/>
      <c r="AI460" s="2856"/>
      <c r="AJ460" s="2856"/>
      <c r="AK460" s="2856"/>
      <c r="AL460" s="2856"/>
      <c r="AM460" s="2856"/>
      <c r="AN460" s="2856"/>
      <c r="AO460" s="2856"/>
      <c r="AP460" s="2856"/>
      <c r="AQ460" s="2856"/>
      <c r="AR460" s="2856"/>
      <c r="AS460" s="2856"/>
      <c r="AT460" s="2866"/>
      <c r="AU460" s="2867"/>
      <c r="AV460" s="1182">
        <f t="shared" si="243"/>
        <v>0</v>
      </c>
      <c r="AW460" s="1182">
        <f t="shared" si="244"/>
        <v>0</v>
      </c>
      <c r="AX460" s="1182">
        <f t="shared" si="245"/>
        <v>0</v>
      </c>
      <c r="AY460" s="2881">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8">
        <f t="shared" si="267"/>
        <v>0</v>
      </c>
    </row>
    <row r="461" spans="1:72">
      <c r="A461" s="2833"/>
      <c r="B461" s="2834"/>
      <c r="C461" s="2834"/>
      <c r="D461" s="2835"/>
      <c r="E461" s="2836">
        <f t="shared" si="239"/>
        <v>0</v>
      </c>
      <c r="F461" s="2837"/>
      <c r="G461" s="2838">
        <f t="shared" si="240"/>
        <v>0</v>
      </c>
      <c r="H461" s="2839">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6">
        <f t="shared" si="242"/>
        <v>0</v>
      </c>
      <c r="AD461" s="2856"/>
      <c r="AE461" s="2856"/>
      <c r="AF461" s="2856"/>
      <c r="AG461" s="2856"/>
      <c r="AH461" s="2856"/>
      <c r="AI461" s="2856"/>
      <c r="AJ461" s="2856"/>
      <c r="AK461" s="2856"/>
      <c r="AL461" s="2856"/>
      <c r="AM461" s="2856"/>
      <c r="AN461" s="2856"/>
      <c r="AO461" s="2856"/>
      <c r="AP461" s="2856"/>
      <c r="AQ461" s="2856"/>
      <c r="AR461" s="2856"/>
      <c r="AS461" s="2856"/>
      <c r="AT461" s="2866"/>
      <c r="AU461" s="2867"/>
      <c r="AV461" s="1182">
        <f t="shared" si="243"/>
        <v>0</v>
      </c>
      <c r="AW461" s="1182">
        <f t="shared" si="244"/>
        <v>0</v>
      </c>
      <c r="AX461" s="1182">
        <f t="shared" si="245"/>
        <v>0</v>
      </c>
      <c r="AY461" s="2881">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8">
        <f t="shared" si="267"/>
        <v>0</v>
      </c>
    </row>
    <row r="462" spans="1:72">
      <c r="A462" s="2833"/>
      <c r="B462" s="2834"/>
      <c r="C462" s="2834"/>
      <c r="D462" s="2835"/>
      <c r="E462" s="2836">
        <f t="shared" si="239"/>
        <v>0</v>
      </c>
      <c r="F462" s="2837"/>
      <c r="G462" s="2838">
        <f t="shared" si="240"/>
        <v>0</v>
      </c>
      <c r="H462" s="2839">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6">
        <f t="shared" si="242"/>
        <v>0</v>
      </c>
      <c r="AD462" s="2856"/>
      <c r="AE462" s="2856"/>
      <c r="AF462" s="2856"/>
      <c r="AG462" s="2856"/>
      <c r="AH462" s="2856"/>
      <c r="AI462" s="2856"/>
      <c r="AJ462" s="2856"/>
      <c r="AK462" s="2856"/>
      <c r="AL462" s="2856"/>
      <c r="AM462" s="2856"/>
      <c r="AN462" s="2856"/>
      <c r="AO462" s="2856"/>
      <c r="AP462" s="2856"/>
      <c r="AQ462" s="2856"/>
      <c r="AR462" s="2856"/>
      <c r="AS462" s="2856"/>
      <c r="AT462" s="2866"/>
      <c r="AU462" s="2867"/>
      <c r="AV462" s="1182">
        <f t="shared" si="243"/>
        <v>0</v>
      </c>
      <c r="AW462" s="1182">
        <f t="shared" si="244"/>
        <v>0</v>
      </c>
      <c r="AX462" s="1182">
        <f t="shared" si="245"/>
        <v>0</v>
      </c>
      <c r="AY462" s="2881">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8">
        <f t="shared" si="267"/>
        <v>0</v>
      </c>
    </row>
    <row r="463" spans="1:72">
      <c r="A463" s="2833"/>
      <c r="B463" s="2834"/>
      <c r="C463" s="2834"/>
      <c r="D463" s="2835"/>
      <c r="E463" s="2836">
        <f t="shared" si="239"/>
        <v>0</v>
      </c>
      <c r="F463" s="2837"/>
      <c r="G463" s="2838">
        <f t="shared" si="240"/>
        <v>0</v>
      </c>
      <c r="H463" s="2839">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6">
        <f t="shared" si="242"/>
        <v>0</v>
      </c>
      <c r="AD463" s="2856"/>
      <c r="AE463" s="2856"/>
      <c r="AF463" s="2856"/>
      <c r="AG463" s="2856"/>
      <c r="AH463" s="2856"/>
      <c r="AI463" s="2856"/>
      <c r="AJ463" s="2856"/>
      <c r="AK463" s="2856"/>
      <c r="AL463" s="2856"/>
      <c r="AM463" s="2856"/>
      <c r="AN463" s="2856"/>
      <c r="AO463" s="2856"/>
      <c r="AP463" s="2856"/>
      <c r="AQ463" s="2856"/>
      <c r="AR463" s="2856"/>
      <c r="AS463" s="2856"/>
      <c r="AT463" s="2866"/>
      <c r="AU463" s="2867"/>
      <c r="AV463" s="1182">
        <f t="shared" si="243"/>
        <v>0</v>
      </c>
      <c r="AW463" s="1182">
        <f t="shared" si="244"/>
        <v>0</v>
      </c>
      <c r="AX463" s="1182">
        <f t="shared" si="245"/>
        <v>0</v>
      </c>
      <c r="AY463" s="2881">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8">
        <f t="shared" si="267"/>
        <v>0</v>
      </c>
    </row>
    <row r="464" spans="1:72">
      <c r="A464" s="2833"/>
      <c r="B464" s="2834"/>
      <c r="C464" s="2834"/>
      <c r="D464" s="2835"/>
      <c r="E464" s="2836">
        <f t="shared" si="239"/>
        <v>0</v>
      </c>
      <c r="F464" s="2837"/>
      <c r="G464" s="2838">
        <f t="shared" si="240"/>
        <v>0</v>
      </c>
      <c r="H464" s="2839">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6">
        <f t="shared" si="242"/>
        <v>0</v>
      </c>
      <c r="AD464" s="2856"/>
      <c r="AE464" s="2856"/>
      <c r="AF464" s="2856"/>
      <c r="AG464" s="2856"/>
      <c r="AH464" s="2856"/>
      <c r="AI464" s="2856"/>
      <c r="AJ464" s="2856"/>
      <c r="AK464" s="2856"/>
      <c r="AL464" s="2856"/>
      <c r="AM464" s="2856"/>
      <c r="AN464" s="2856"/>
      <c r="AO464" s="2856"/>
      <c r="AP464" s="2856"/>
      <c r="AQ464" s="2856"/>
      <c r="AR464" s="2856"/>
      <c r="AS464" s="2856"/>
      <c r="AT464" s="2866"/>
      <c r="AU464" s="2867"/>
      <c r="AV464" s="1182">
        <f t="shared" si="243"/>
        <v>0</v>
      </c>
      <c r="AW464" s="1182">
        <f t="shared" si="244"/>
        <v>0</v>
      </c>
      <c r="AX464" s="1182">
        <f t="shared" si="245"/>
        <v>0</v>
      </c>
      <c r="AY464" s="2881">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8">
        <f t="shared" si="267"/>
        <v>0</v>
      </c>
    </row>
    <row r="465" spans="1:72">
      <c r="A465" s="2833"/>
      <c r="B465" s="2834"/>
      <c r="C465" s="2834"/>
      <c r="D465" s="2835"/>
      <c r="E465" s="2836">
        <f t="shared" si="239"/>
        <v>0</v>
      </c>
      <c r="F465" s="2837"/>
      <c r="G465" s="2838">
        <f t="shared" si="240"/>
        <v>0</v>
      </c>
      <c r="H465" s="2839">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6">
        <f t="shared" si="242"/>
        <v>0</v>
      </c>
      <c r="AD465" s="2856"/>
      <c r="AE465" s="2856"/>
      <c r="AF465" s="2856"/>
      <c r="AG465" s="2856"/>
      <c r="AH465" s="2856"/>
      <c r="AI465" s="2856"/>
      <c r="AJ465" s="2856"/>
      <c r="AK465" s="2856"/>
      <c r="AL465" s="2856"/>
      <c r="AM465" s="2856"/>
      <c r="AN465" s="2856"/>
      <c r="AO465" s="2856"/>
      <c r="AP465" s="2856"/>
      <c r="AQ465" s="2856"/>
      <c r="AR465" s="2856"/>
      <c r="AS465" s="2856"/>
      <c r="AT465" s="2866"/>
      <c r="AU465" s="2867"/>
      <c r="AV465" s="1182">
        <f t="shared" si="243"/>
        <v>0</v>
      </c>
      <c r="AW465" s="1182">
        <f t="shared" si="244"/>
        <v>0</v>
      </c>
      <c r="AX465" s="1182">
        <f t="shared" si="245"/>
        <v>0</v>
      </c>
      <c r="AY465" s="2881">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8">
        <f t="shared" si="267"/>
        <v>0</v>
      </c>
    </row>
    <row r="466" spans="1:72">
      <c r="A466" s="2833"/>
      <c r="B466" s="2834"/>
      <c r="C466" s="2834"/>
      <c r="D466" s="2835"/>
      <c r="E466" s="2836">
        <f t="shared" si="239"/>
        <v>0</v>
      </c>
      <c r="F466" s="2837"/>
      <c r="G466" s="2838">
        <f t="shared" si="240"/>
        <v>0</v>
      </c>
      <c r="H466" s="2839">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6">
        <f t="shared" si="242"/>
        <v>0</v>
      </c>
      <c r="AD466" s="2856"/>
      <c r="AE466" s="2856"/>
      <c r="AF466" s="2856"/>
      <c r="AG466" s="2856"/>
      <c r="AH466" s="2856"/>
      <c r="AI466" s="2856"/>
      <c r="AJ466" s="2856"/>
      <c r="AK466" s="2856"/>
      <c r="AL466" s="2856"/>
      <c r="AM466" s="2856"/>
      <c r="AN466" s="2856"/>
      <c r="AO466" s="2856"/>
      <c r="AP466" s="2856"/>
      <c r="AQ466" s="2856"/>
      <c r="AR466" s="2856"/>
      <c r="AS466" s="2856"/>
      <c r="AT466" s="2866"/>
      <c r="AU466" s="2867"/>
      <c r="AV466" s="1182">
        <f t="shared" si="243"/>
        <v>0</v>
      </c>
      <c r="AW466" s="1182">
        <f t="shared" si="244"/>
        <v>0</v>
      </c>
      <c r="AX466" s="1182">
        <f t="shared" si="245"/>
        <v>0</v>
      </c>
      <c r="AY466" s="2881">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8">
        <f t="shared" si="267"/>
        <v>0</v>
      </c>
    </row>
    <row r="467" spans="1:72">
      <c r="A467" s="2833"/>
      <c r="B467" s="2834"/>
      <c r="C467" s="2834"/>
      <c r="D467" s="2835"/>
      <c r="E467" s="2836">
        <f t="shared" si="239"/>
        <v>0</v>
      </c>
      <c r="F467" s="2837"/>
      <c r="G467" s="2838">
        <f t="shared" si="240"/>
        <v>0</v>
      </c>
      <c r="H467" s="2839">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6">
        <f t="shared" si="242"/>
        <v>0</v>
      </c>
      <c r="AD467" s="2856"/>
      <c r="AE467" s="2856"/>
      <c r="AF467" s="2856"/>
      <c r="AG467" s="2856"/>
      <c r="AH467" s="2856"/>
      <c r="AI467" s="2856"/>
      <c r="AJ467" s="2856"/>
      <c r="AK467" s="2856"/>
      <c r="AL467" s="2856"/>
      <c r="AM467" s="2856"/>
      <c r="AN467" s="2856"/>
      <c r="AO467" s="2856"/>
      <c r="AP467" s="2856"/>
      <c r="AQ467" s="2856"/>
      <c r="AR467" s="2856"/>
      <c r="AS467" s="2856"/>
      <c r="AT467" s="2866"/>
      <c r="AU467" s="2867"/>
      <c r="AV467" s="1182">
        <f t="shared" si="243"/>
        <v>0</v>
      </c>
      <c r="AW467" s="1182">
        <f t="shared" si="244"/>
        <v>0</v>
      </c>
      <c r="AX467" s="1182">
        <f t="shared" si="245"/>
        <v>0</v>
      </c>
      <c r="AY467" s="2881">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8">
        <f t="shared" si="267"/>
        <v>0</v>
      </c>
    </row>
    <row r="468" spans="1:72">
      <c r="A468" s="2833"/>
      <c r="B468" s="2834"/>
      <c r="C468" s="2834"/>
      <c r="D468" s="2835"/>
      <c r="E468" s="2836">
        <f t="shared" si="239"/>
        <v>0</v>
      </c>
      <c r="F468" s="2837"/>
      <c r="G468" s="2838">
        <f t="shared" si="240"/>
        <v>0</v>
      </c>
      <c r="H468" s="2839">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6">
        <f t="shared" si="242"/>
        <v>0</v>
      </c>
      <c r="AD468" s="2856"/>
      <c r="AE468" s="2856"/>
      <c r="AF468" s="2856"/>
      <c r="AG468" s="2856"/>
      <c r="AH468" s="2856"/>
      <c r="AI468" s="2856"/>
      <c r="AJ468" s="2856"/>
      <c r="AK468" s="2856"/>
      <c r="AL468" s="2856"/>
      <c r="AM468" s="2856"/>
      <c r="AN468" s="2856"/>
      <c r="AO468" s="2856"/>
      <c r="AP468" s="2856"/>
      <c r="AQ468" s="2856"/>
      <c r="AR468" s="2856"/>
      <c r="AS468" s="2856"/>
      <c r="AT468" s="2866"/>
      <c r="AU468" s="2867"/>
      <c r="AV468" s="1182">
        <f t="shared" si="243"/>
        <v>0</v>
      </c>
      <c r="AW468" s="1182">
        <f t="shared" si="244"/>
        <v>0</v>
      </c>
      <c r="AX468" s="1182">
        <f t="shared" si="245"/>
        <v>0</v>
      </c>
      <c r="AY468" s="2881">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8">
        <f t="shared" si="267"/>
        <v>0</v>
      </c>
    </row>
    <row r="469" spans="1:72">
      <c r="A469" s="2833"/>
      <c r="B469" s="2834"/>
      <c r="C469" s="2834"/>
      <c r="D469" s="2835"/>
      <c r="E469" s="2836">
        <f t="shared" si="239"/>
        <v>0</v>
      </c>
      <c r="F469" s="2837"/>
      <c r="G469" s="2838">
        <f t="shared" si="240"/>
        <v>0</v>
      </c>
      <c r="H469" s="2839">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6">
        <f t="shared" si="242"/>
        <v>0</v>
      </c>
      <c r="AD469" s="2856"/>
      <c r="AE469" s="2856"/>
      <c r="AF469" s="2856"/>
      <c r="AG469" s="2856"/>
      <c r="AH469" s="2856"/>
      <c r="AI469" s="2856"/>
      <c r="AJ469" s="2856"/>
      <c r="AK469" s="2856"/>
      <c r="AL469" s="2856"/>
      <c r="AM469" s="2856"/>
      <c r="AN469" s="2856"/>
      <c r="AO469" s="2856"/>
      <c r="AP469" s="2856"/>
      <c r="AQ469" s="2856"/>
      <c r="AR469" s="2856"/>
      <c r="AS469" s="2856"/>
      <c r="AT469" s="2866"/>
      <c r="AU469" s="2867"/>
      <c r="AV469" s="1182">
        <f t="shared" si="243"/>
        <v>0</v>
      </c>
      <c r="AW469" s="1182">
        <f t="shared" si="244"/>
        <v>0</v>
      </c>
      <c r="AX469" s="1182">
        <f t="shared" si="245"/>
        <v>0</v>
      </c>
      <c r="AY469" s="2881">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8">
        <f t="shared" si="267"/>
        <v>0</v>
      </c>
    </row>
    <row r="470" spans="1:72">
      <c r="A470" s="2833"/>
      <c r="B470" s="2834"/>
      <c r="C470" s="2834"/>
      <c r="D470" s="2835"/>
      <c r="E470" s="2836">
        <f t="shared" si="239"/>
        <v>0</v>
      </c>
      <c r="F470" s="2837"/>
      <c r="G470" s="2838">
        <f t="shared" si="240"/>
        <v>0</v>
      </c>
      <c r="H470" s="2839">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6">
        <f t="shared" si="242"/>
        <v>0</v>
      </c>
      <c r="AD470" s="2856"/>
      <c r="AE470" s="2856"/>
      <c r="AF470" s="2856"/>
      <c r="AG470" s="2856"/>
      <c r="AH470" s="2856"/>
      <c r="AI470" s="2856"/>
      <c r="AJ470" s="2856"/>
      <c r="AK470" s="2856"/>
      <c r="AL470" s="2856"/>
      <c r="AM470" s="2856"/>
      <c r="AN470" s="2856"/>
      <c r="AO470" s="2856"/>
      <c r="AP470" s="2856"/>
      <c r="AQ470" s="2856"/>
      <c r="AR470" s="2856"/>
      <c r="AS470" s="2856"/>
      <c r="AT470" s="2866"/>
      <c r="AU470" s="2867"/>
      <c r="AV470" s="1182">
        <f t="shared" si="243"/>
        <v>0</v>
      </c>
      <c r="AW470" s="1182">
        <f t="shared" si="244"/>
        <v>0</v>
      </c>
      <c r="AX470" s="1182">
        <f t="shared" si="245"/>
        <v>0</v>
      </c>
      <c r="AY470" s="2881">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8">
        <f t="shared" si="267"/>
        <v>0</v>
      </c>
    </row>
    <row r="471" spans="1:72">
      <c r="A471" s="2833"/>
      <c r="B471" s="2834"/>
      <c r="C471" s="2834"/>
      <c r="D471" s="2835"/>
      <c r="E471" s="2836">
        <f t="shared" si="239"/>
        <v>0</v>
      </c>
      <c r="F471" s="2837"/>
      <c r="G471" s="2838">
        <f t="shared" si="240"/>
        <v>0</v>
      </c>
      <c r="H471" s="2839">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6">
        <f t="shared" si="242"/>
        <v>0</v>
      </c>
      <c r="AD471" s="2856"/>
      <c r="AE471" s="2856"/>
      <c r="AF471" s="2856"/>
      <c r="AG471" s="2856"/>
      <c r="AH471" s="2856"/>
      <c r="AI471" s="2856"/>
      <c r="AJ471" s="2856"/>
      <c r="AK471" s="2856"/>
      <c r="AL471" s="2856"/>
      <c r="AM471" s="2856"/>
      <c r="AN471" s="2856"/>
      <c r="AO471" s="2856"/>
      <c r="AP471" s="2856"/>
      <c r="AQ471" s="2856"/>
      <c r="AR471" s="2856"/>
      <c r="AS471" s="2856"/>
      <c r="AT471" s="2866"/>
      <c r="AU471" s="2867"/>
      <c r="AV471" s="1182">
        <f t="shared" si="243"/>
        <v>0</v>
      </c>
      <c r="AW471" s="1182">
        <f t="shared" si="244"/>
        <v>0</v>
      </c>
      <c r="AX471" s="1182">
        <f t="shared" si="245"/>
        <v>0</v>
      </c>
      <c r="AY471" s="2881">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8">
        <f t="shared" si="267"/>
        <v>0</v>
      </c>
    </row>
    <row r="472" spans="1:72">
      <c r="A472" s="2833"/>
      <c r="B472" s="2834"/>
      <c r="C472" s="2834"/>
      <c r="D472" s="2835"/>
      <c r="E472" s="2836">
        <f t="shared" si="239"/>
        <v>0</v>
      </c>
      <c r="F472" s="2837"/>
      <c r="G472" s="2838">
        <f t="shared" si="240"/>
        <v>0</v>
      </c>
      <c r="H472" s="2839">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6">
        <f t="shared" si="242"/>
        <v>0</v>
      </c>
      <c r="AD472" s="2856"/>
      <c r="AE472" s="2856"/>
      <c r="AF472" s="2856"/>
      <c r="AG472" s="2856"/>
      <c r="AH472" s="2856"/>
      <c r="AI472" s="2856"/>
      <c r="AJ472" s="2856"/>
      <c r="AK472" s="2856"/>
      <c r="AL472" s="2856"/>
      <c r="AM472" s="2856"/>
      <c r="AN472" s="2856"/>
      <c r="AO472" s="2856"/>
      <c r="AP472" s="2856"/>
      <c r="AQ472" s="2856"/>
      <c r="AR472" s="2856"/>
      <c r="AS472" s="2856"/>
      <c r="AT472" s="2866"/>
      <c r="AU472" s="2867"/>
      <c r="AV472" s="1182">
        <f t="shared" si="243"/>
        <v>0</v>
      </c>
      <c r="AW472" s="1182">
        <f t="shared" si="244"/>
        <v>0</v>
      </c>
      <c r="AX472" s="1182">
        <f t="shared" si="245"/>
        <v>0</v>
      </c>
      <c r="AY472" s="2881">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8">
        <f t="shared" si="267"/>
        <v>0</v>
      </c>
    </row>
    <row r="473" spans="1:72">
      <c r="A473" s="2833"/>
      <c r="B473" s="2834"/>
      <c r="C473" s="2834"/>
      <c r="D473" s="2835"/>
      <c r="E473" s="2836">
        <f t="shared" si="239"/>
        <v>0</v>
      </c>
      <c r="F473" s="2837"/>
      <c r="G473" s="2838">
        <f t="shared" si="240"/>
        <v>0</v>
      </c>
      <c r="H473" s="2839">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6">
        <f t="shared" si="242"/>
        <v>0</v>
      </c>
      <c r="AD473" s="2856"/>
      <c r="AE473" s="2856"/>
      <c r="AF473" s="2856"/>
      <c r="AG473" s="2856"/>
      <c r="AH473" s="2856"/>
      <c r="AI473" s="2856"/>
      <c r="AJ473" s="2856"/>
      <c r="AK473" s="2856"/>
      <c r="AL473" s="2856"/>
      <c r="AM473" s="2856"/>
      <c r="AN473" s="2856"/>
      <c r="AO473" s="2856"/>
      <c r="AP473" s="2856"/>
      <c r="AQ473" s="2856"/>
      <c r="AR473" s="2856"/>
      <c r="AS473" s="2856"/>
      <c r="AT473" s="2866"/>
      <c r="AU473" s="2867"/>
      <c r="AV473" s="1182">
        <f t="shared" si="243"/>
        <v>0</v>
      </c>
      <c r="AW473" s="1182">
        <f t="shared" si="244"/>
        <v>0</v>
      </c>
      <c r="AX473" s="1182">
        <f t="shared" si="245"/>
        <v>0</v>
      </c>
      <c r="AY473" s="2881">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8">
        <f t="shared" si="267"/>
        <v>0</v>
      </c>
    </row>
    <row r="474" spans="1:72">
      <c r="A474" s="2833"/>
      <c r="B474" s="2834"/>
      <c r="C474" s="2834"/>
      <c r="D474" s="2835"/>
      <c r="E474" s="2836">
        <f t="shared" si="239"/>
        <v>0</v>
      </c>
      <c r="F474" s="2837"/>
      <c r="G474" s="2838">
        <f t="shared" si="240"/>
        <v>0</v>
      </c>
      <c r="H474" s="2839">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6">
        <f t="shared" si="242"/>
        <v>0</v>
      </c>
      <c r="AD474" s="2856"/>
      <c r="AE474" s="2856"/>
      <c r="AF474" s="2856"/>
      <c r="AG474" s="2856"/>
      <c r="AH474" s="2856"/>
      <c r="AI474" s="2856"/>
      <c r="AJ474" s="2856"/>
      <c r="AK474" s="2856"/>
      <c r="AL474" s="2856"/>
      <c r="AM474" s="2856"/>
      <c r="AN474" s="2856"/>
      <c r="AO474" s="2856"/>
      <c r="AP474" s="2856"/>
      <c r="AQ474" s="2856"/>
      <c r="AR474" s="2856"/>
      <c r="AS474" s="2856"/>
      <c r="AT474" s="2866"/>
      <c r="AU474" s="2867"/>
      <c r="AV474" s="1182">
        <f t="shared" si="243"/>
        <v>0</v>
      </c>
      <c r="AW474" s="1182">
        <f t="shared" si="244"/>
        <v>0</v>
      </c>
      <c r="AX474" s="1182">
        <f t="shared" si="245"/>
        <v>0</v>
      </c>
      <c r="AY474" s="2881">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8">
        <f t="shared" si="267"/>
        <v>0</v>
      </c>
    </row>
    <row r="475" spans="1:72">
      <c r="A475" s="2833"/>
      <c r="B475" s="2834"/>
      <c r="C475" s="2834"/>
      <c r="D475" s="2835"/>
      <c r="E475" s="2836">
        <f t="shared" si="239"/>
        <v>0</v>
      </c>
      <c r="F475" s="2837"/>
      <c r="G475" s="2838">
        <f t="shared" si="240"/>
        <v>0</v>
      </c>
      <c r="H475" s="2839">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6">
        <f t="shared" si="242"/>
        <v>0</v>
      </c>
      <c r="AD475" s="2856"/>
      <c r="AE475" s="2856"/>
      <c r="AF475" s="2856"/>
      <c r="AG475" s="2856"/>
      <c r="AH475" s="2856"/>
      <c r="AI475" s="2856"/>
      <c r="AJ475" s="2856"/>
      <c r="AK475" s="2856"/>
      <c r="AL475" s="2856"/>
      <c r="AM475" s="2856"/>
      <c r="AN475" s="2856"/>
      <c r="AO475" s="2856"/>
      <c r="AP475" s="2856"/>
      <c r="AQ475" s="2856"/>
      <c r="AR475" s="2856"/>
      <c r="AS475" s="2856"/>
      <c r="AT475" s="2866"/>
      <c r="AU475" s="2867"/>
      <c r="AV475" s="1182">
        <f t="shared" si="243"/>
        <v>0</v>
      </c>
      <c r="AW475" s="1182">
        <f t="shared" si="244"/>
        <v>0</v>
      </c>
      <c r="AX475" s="1182">
        <f t="shared" si="245"/>
        <v>0</v>
      </c>
      <c r="AY475" s="2881">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8">
        <f t="shared" si="267"/>
        <v>0</v>
      </c>
    </row>
    <row r="476" spans="1:72">
      <c r="A476" s="2833"/>
      <c r="B476" s="2834"/>
      <c r="C476" s="2834"/>
      <c r="D476" s="2835"/>
      <c r="E476" s="2836">
        <f t="shared" si="239"/>
        <v>0</v>
      </c>
      <c r="F476" s="2837"/>
      <c r="G476" s="2838">
        <f t="shared" si="240"/>
        <v>0</v>
      </c>
      <c r="H476" s="2839">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6">
        <f t="shared" si="242"/>
        <v>0</v>
      </c>
      <c r="AD476" s="2856"/>
      <c r="AE476" s="2856"/>
      <c r="AF476" s="2856"/>
      <c r="AG476" s="2856"/>
      <c r="AH476" s="2856"/>
      <c r="AI476" s="2856"/>
      <c r="AJ476" s="2856"/>
      <c r="AK476" s="2856"/>
      <c r="AL476" s="2856"/>
      <c r="AM476" s="2856"/>
      <c r="AN476" s="2856"/>
      <c r="AO476" s="2856"/>
      <c r="AP476" s="2856"/>
      <c r="AQ476" s="2856"/>
      <c r="AR476" s="2856"/>
      <c r="AS476" s="2856"/>
      <c r="AT476" s="2866"/>
      <c r="AU476" s="2867"/>
      <c r="AV476" s="1182">
        <f t="shared" si="243"/>
        <v>0</v>
      </c>
      <c r="AW476" s="1182">
        <f t="shared" si="244"/>
        <v>0</v>
      </c>
      <c r="AX476" s="1182">
        <f t="shared" si="245"/>
        <v>0</v>
      </c>
      <c r="AY476" s="2881">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8">
        <f t="shared" si="267"/>
        <v>0</v>
      </c>
    </row>
    <row r="477" spans="1:72">
      <c r="A477" s="2833"/>
      <c r="B477" s="2834"/>
      <c r="C477" s="2834"/>
      <c r="D477" s="2835"/>
      <c r="E477" s="2836">
        <f t="shared" si="239"/>
        <v>0</v>
      </c>
      <c r="F477" s="2837"/>
      <c r="G477" s="2838">
        <f t="shared" si="240"/>
        <v>0</v>
      </c>
      <c r="H477" s="2839">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6">
        <f t="shared" si="242"/>
        <v>0</v>
      </c>
      <c r="AD477" s="2856"/>
      <c r="AE477" s="2856"/>
      <c r="AF477" s="2856"/>
      <c r="AG477" s="2856"/>
      <c r="AH477" s="2856"/>
      <c r="AI477" s="2856"/>
      <c r="AJ477" s="2856"/>
      <c r="AK477" s="2856"/>
      <c r="AL477" s="2856"/>
      <c r="AM477" s="2856"/>
      <c r="AN477" s="2856"/>
      <c r="AO477" s="2856"/>
      <c r="AP477" s="2856"/>
      <c r="AQ477" s="2856"/>
      <c r="AR477" s="2856"/>
      <c r="AS477" s="2856"/>
      <c r="AT477" s="2866"/>
      <c r="AU477" s="2867"/>
      <c r="AV477" s="1182">
        <f t="shared" si="243"/>
        <v>0</v>
      </c>
      <c r="AW477" s="1182">
        <f t="shared" si="244"/>
        <v>0</v>
      </c>
      <c r="AX477" s="1182">
        <f t="shared" si="245"/>
        <v>0</v>
      </c>
      <c r="AY477" s="2881">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8">
        <f t="shared" si="267"/>
        <v>0</v>
      </c>
    </row>
    <row r="478" spans="1:72">
      <c r="A478" s="2833"/>
      <c r="B478" s="2834"/>
      <c r="C478" s="2834"/>
      <c r="D478" s="2835"/>
      <c r="E478" s="2836">
        <f t="shared" si="239"/>
        <v>0</v>
      </c>
      <c r="F478" s="2837"/>
      <c r="G478" s="2838">
        <f t="shared" si="240"/>
        <v>0</v>
      </c>
      <c r="H478" s="2839">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6">
        <f t="shared" si="242"/>
        <v>0</v>
      </c>
      <c r="AD478" s="2856"/>
      <c r="AE478" s="2856"/>
      <c r="AF478" s="2856"/>
      <c r="AG478" s="2856"/>
      <c r="AH478" s="2856"/>
      <c r="AI478" s="2856"/>
      <c r="AJ478" s="2856"/>
      <c r="AK478" s="2856"/>
      <c r="AL478" s="2856"/>
      <c r="AM478" s="2856"/>
      <c r="AN478" s="2856"/>
      <c r="AO478" s="2856"/>
      <c r="AP478" s="2856"/>
      <c r="AQ478" s="2856"/>
      <c r="AR478" s="2856"/>
      <c r="AS478" s="2856"/>
      <c r="AT478" s="2866"/>
      <c r="AU478" s="2867"/>
      <c r="AV478" s="1182">
        <f t="shared" si="243"/>
        <v>0</v>
      </c>
      <c r="AW478" s="1182">
        <f t="shared" si="244"/>
        <v>0</v>
      </c>
      <c r="AX478" s="1182">
        <f t="shared" si="245"/>
        <v>0</v>
      </c>
      <c r="AY478" s="2881">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8">
        <f t="shared" si="267"/>
        <v>0</v>
      </c>
    </row>
    <row r="479" spans="1:72">
      <c r="A479" s="2833"/>
      <c r="B479" s="2834"/>
      <c r="C479" s="2834"/>
      <c r="D479" s="2835"/>
      <c r="E479" s="2836">
        <f t="shared" si="239"/>
        <v>0</v>
      </c>
      <c r="F479" s="2837"/>
      <c r="G479" s="2838">
        <f t="shared" si="240"/>
        <v>0</v>
      </c>
      <c r="H479" s="2839">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6">
        <f t="shared" si="242"/>
        <v>0</v>
      </c>
      <c r="AD479" s="2856"/>
      <c r="AE479" s="2856"/>
      <c r="AF479" s="2856"/>
      <c r="AG479" s="2856"/>
      <c r="AH479" s="2856"/>
      <c r="AI479" s="2856"/>
      <c r="AJ479" s="2856"/>
      <c r="AK479" s="2856"/>
      <c r="AL479" s="2856"/>
      <c r="AM479" s="2856"/>
      <c r="AN479" s="2856"/>
      <c r="AO479" s="2856"/>
      <c r="AP479" s="2856"/>
      <c r="AQ479" s="2856"/>
      <c r="AR479" s="2856"/>
      <c r="AS479" s="2856"/>
      <c r="AT479" s="2866"/>
      <c r="AU479" s="2867"/>
      <c r="AV479" s="1182">
        <f t="shared" si="243"/>
        <v>0</v>
      </c>
      <c r="AW479" s="1182">
        <f t="shared" si="244"/>
        <v>0</v>
      </c>
      <c r="AX479" s="1182">
        <f t="shared" si="245"/>
        <v>0</v>
      </c>
      <c r="AY479" s="2881">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8">
        <f t="shared" si="267"/>
        <v>0</v>
      </c>
    </row>
    <row r="480" spans="1:72">
      <c r="A480" s="2833"/>
      <c r="B480" s="2834"/>
      <c r="C480" s="2834"/>
      <c r="D480" s="2835"/>
      <c r="E480" s="2836">
        <f t="shared" si="239"/>
        <v>0</v>
      </c>
      <c r="F480" s="2837"/>
      <c r="G480" s="2838">
        <f t="shared" si="240"/>
        <v>0</v>
      </c>
      <c r="H480" s="2839">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6">
        <f t="shared" si="242"/>
        <v>0</v>
      </c>
      <c r="AD480" s="2856"/>
      <c r="AE480" s="2856"/>
      <c r="AF480" s="2856"/>
      <c r="AG480" s="2856"/>
      <c r="AH480" s="2856"/>
      <c r="AI480" s="2856"/>
      <c r="AJ480" s="2856"/>
      <c r="AK480" s="2856"/>
      <c r="AL480" s="2856"/>
      <c r="AM480" s="2856"/>
      <c r="AN480" s="2856"/>
      <c r="AO480" s="2856"/>
      <c r="AP480" s="2856"/>
      <c r="AQ480" s="2856"/>
      <c r="AR480" s="2856"/>
      <c r="AS480" s="2856"/>
      <c r="AT480" s="2866"/>
      <c r="AU480" s="2867"/>
      <c r="AV480" s="1182">
        <f t="shared" si="243"/>
        <v>0</v>
      </c>
      <c r="AW480" s="1182">
        <f t="shared" si="244"/>
        <v>0</v>
      </c>
      <c r="AX480" s="1182">
        <f t="shared" si="245"/>
        <v>0</v>
      </c>
      <c r="AY480" s="2881">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8">
        <f t="shared" si="267"/>
        <v>0</v>
      </c>
    </row>
    <row r="481" spans="1:72">
      <c r="A481" s="2833"/>
      <c r="B481" s="2834"/>
      <c r="C481" s="2834"/>
      <c r="D481" s="2835"/>
      <c r="E481" s="2836">
        <f t="shared" si="239"/>
        <v>0</v>
      </c>
      <c r="F481" s="2837"/>
      <c r="G481" s="2838">
        <f t="shared" si="240"/>
        <v>0</v>
      </c>
      <c r="H481" s="2839">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6">
        <f t="shared" si="242"/>
        <v>0</v>
      </c>
      <c r="AD481" s="2856"/>
      <c r="AE481" s="2856"/>
      <c r="AF481" s="2856"/>
      <c r="AG481" s="2856"/>
      <c r="AH481" s="2856"/>
      <c r="AI481" s="2856"/>
      <c r="AJ481" s="2856"/>
      <c r="AK481" s="2856"/>
      <c r="AL481" s="2856"/>
      <c r="AM481" s="2856"/>
      <c r="AN481" s="2856"/>
      <c r="AO481" s="2856"/>
      <c r="AP481" s="2856"/>
      <c r="AQ481" s="2856"/>
      <c r="AR481" s="2856"/>
      <c r="AS481" s="2856"/>
      <c r="AT481" s="2866"/>
      <c r="AU481" s="2867"/>
      <c r="AV481" s="1182">
        <f t="shared" si="243"/>
        <v>0</v>
      </c>
      <c r="AW481" s="1182">
        <f t="shared" si="244"/>
        <v>0</v>
      </c>
      <c r="AX481" s="1182">
        <f t="shared" si="245"/>
        <v>0</v>
      </c>
      <c r="AY481" s="2881">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8">
        <f t="shared" si="267"/>
        <v>0</v>
      </c>
    </row>
    <row r="482" spans="1:72">
      <c r="A482" s="2833"/>
      <c r="B482" s="2834"/>
      <c r="C482" s="2834"/>
      <c r="D482" s="2835"/>
      <c r="E482" s="2836">
        <f t="shared" si="239"/>
        <v>0</v>
      </c>
      <c r="F482" s="2837"/>
      <c r="G482" s="2838">
        <f t="shared" si="240"/>
        <v>0</v>
      </c>
      <c r="H482" s="2839">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6">
        <f t="shared" si="242"/>
        <v>0</v>
      </c>
      <c r="AD482" s="2856"/>
      <c r="AE482" s="2856"/>
      <c r="AF482" s="2856"/>
      <c r="AG482" s="2856"/>
      <c r="AH482" s="2856"/>
      <c r="AI482" s="2856"/>
      <c r="AJ482" s="2856"/>
      <c r="AK482" s="2856"/>
      <c r="AL482" s="2856"/>
      <c r="AM482" s="2856"/>
      <c r="AN482" s="2856"/>
      <c r="AO482" s="2856"/>
      <c r="AP482" s="2856"/>
      <c r="AQ482" s="2856"/>
      <c r="AR482" s="2856"/>
      <c r="AS482" s="2856"/>
      <c r="AT482" s="2866"/>
      <c r="AU482" s="2867"/>
      <c r="AV482" s="1182">
        <f t="shared" si="243"/>
        <v>0</v>
      </c>
      <c r="AW482" s="1182">
        <f t="shared" si="244"/>
        <v>0</v>
      </c>
      <c r="AX482" s="1182">
        <f t="shared" si="245"/>
        <v>0</v>
      </c>
      <c r="AY482" s="2881">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8">
        <f t="shared" si="267"/>
        <v>0</v>
      </c>
    </row>
    <row r="483" spans="1:72">
      <c r="A483" s="2833"/>
      <c r="B483" s="2834"/>
      <c r="C483" s="2834"/>
      <c r="D483" s="2835"/>
      <c r="E483" s="2836">
        <f t="shared" si="239"/>
        <v>0</v>
      </c>
      <c r="F483" s="2837"/>
      <c r="G483" s="2838">
        <f t="shared" si="240"/>
        <v>0</v>
      </c>
      <c r="H483" s="2839">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6">
        <f t="shared" si="242"/>
        <v>0</v>
      </c>
      <c r="AD483" s="2856"/>
      <c r="AE483" s="2856"/>
      <c r="AF483" s="2856"/>
      <c r="AG483" s="2856"/>
      <c r="AH483" s="2856"/>
      <c r="AI483" s="2856"/>
      <c r="AJ483" s="2856"/>
      <c r="AK483" s="2856"/>
      <c r="AL483" s="2856"/>
      <c r="AM483" s="2856"/>
      <c r="AN483" s="2856"/>
      <c r="AO483" s="2856"/>
      <c r="AP483" s="2856"/>
      <c r="AQ483" s="2856"/>
      <c r="AR483" s="2856"/>
      <c r="AS483" s="2856"/>
      <c r="AT483" s="2866"/>
      <c r="AU483" s="2867"/>
      <c r="AV483" s="1182">
        <f t="shared" si="243"/>
        <v>0</v>
      </c>
      <c r="AW483" s="1182">
        <f t="shared" si="244"/>
        <v>0</v>
      </c>
      <c r="AX483" s="1182">
        <f t="shared" si="245"/>
        <v>0</v>
      </c>
      <c r="AY483" s="2881">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8">
        <f t="shared" si="267"/>
        <v>0</v>
      </c>
    </row>
    <row r="484" spans="1:72">
      <c r="A484" s="2833"/>
      <c r="B484" s="2834"/>
      <c r="C484" s="2834"/>
      <c r="D484" s="2835"/>
      <c r="E484" s="2836">
        <f t="shared" si="239"/>
        <v>0</v>
      </c>
      <c r="F484" s="2837"/>
      <c r="G484" s="2838">
        <f t="shared" si="240"/>
        <v>0</v>
      </c>
      <c r="H484" s="2839">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6">
        <f t="shared" si="242"/>
        <v>0</v>
      </c>
      <c r="AD484" s="2856"/>
      <c r="AE484" s="2856"/>
      <c r="AF484" s="2856"/>
      <c r="AG484" s="2856"/>
      <c r="AH484" s="2856"/>
      <c r="AI484" s="2856"/>
      <c r="AJ484" s="2856"/>
      <c r="AK484" s="2856"/>
      <c r="AL484" s="2856"/>
      <c r="AM484" s="2856"/>
      <c r="AN484" s="2856"/>
      <c r="AO484" s="2856"/>
      <c r="AP484" s="2856"/>
      <c r="AQ484" s="2856"/>
      <c r="AR484" s="2856"/>
      <c r="AS484" s="2856"/>
      <c r="AT484" s="2866"/>
      <c r="AU484" s="2867"/>
      <c r="AV484" s="1182">
        <f t="shared" si="243"/>
        <v>0</v>
      </c>
      <c r="AW484" s="1182">
        <f t="shared" si="244"/>
        <v>0</v>
      </c>
      <c r="AX484" s="1182">
        <f t="shared" si="245"/>
        <v>0</v>
      </c>
      <c r="AY484" s="2881">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8">
        <f t="shared" si="267"/>
        <v>0</v>
      </c>
    </row>
    <row r="485" spans="1:72">
      <c r="A485" s="2833"/>
      <c r="B485" s="2834"/>
      <c r="C485" s="2834"/>
      <c r="D485" s="2835"/>
      <c r="E485" s="2836">
        <f t="shared" si="239"/>
        <v>0</v>
      </c>
      <c r="F485" s="2837"/>
      <c r="G485" s="2838">
        <f t="shared" si="240"/>
        <v>0</v>
      </c>
      <c r="H485" s="2839">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6">
        <f t="shared" si="242"/>
        <v>0</v>
      </c>
      <c r="AD485" s="2856"/>
      <c r="AE485" s="2856"/>
      <c r="AF485" s="2856"/>
      <c r="AG485" s="2856"/>
      <c r="AH485" s="2856"/>
      <c r="AI485" s="2856"/>
      <c r="AJ485" s="2856"/>
      <c r="AK485" s="2856"/>
      <c r="AL485" s="2856"/>
      <c r="AM485" s="2856"/>
      <c r="AN485" s="2856"/>
      <c r="AO485" s="2856"/>
      <c r="AP485" s="2856"/>
      <c r="AQ485" s="2856"/>
      <c r="AR485" s="2856"/>
      <c r="AS485" s="2856"/>
      <c r="AT485" s="2866"/>
      <c r="AU485" s="2867"/>
      <c r="AV485" s="1182">
        <f t="shared" si="243"/>
        <v>0</v>
      </c>
      <c r="AW485" s="1182">
        <f t="shared" si="244"/>
        <v>0</v>
      </c>
      <c r="AX485" s="1182">
        <f t="shared" si="245"/>
        <v>0</v>
      </c>
      <c r="AY485" s="2881">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8">
        <f t="shared" si="267"/>
        <v>0</v>
      </c>
    </row>
    <row r="486" spans="1:72">
      <c r="A486" s="2833"/>
      <c r="B486" s="2834"/>
      <c r="C486" s="2834"/>
      <c r="D486" s="2835"/>
      <c r="E486" s="2836">
        <f t="shared" si="239"/>
        <v>0</v>
      </c>
      <c r="F486" s="2837"/>
      <c r="G486" s="2838">
        <f t="shared" si="240"/>
        <v>0</v>
      </c>
      <c r="H486" s="2839">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6">
        <f t="shared" si="242"/>
        <v>0</v>
      </c>
      <c r="AD486" s="2856"/>
      <c r="AE486" s="2856"/>
      <c r="AF486" s="2856"/>
      <c r="AG486" s="2856"/>
      <c r="AH486" s="2856"/>
      <c r="AI486" s="2856"/>
      <c r="AJ486" s="2856"/>
      <c r="AK486" s="2856"/>
      <c r="AL486" s="2856"/>
      <c r="AM486" s="2856"/>
      <c r="AN486" s="2856"/>
      <c r="AO486" s="2856"/>
      <c r="AP486" s="2856"/>
      <c r="AQ486" s="2856"/>
      <c r="AR486" s="2856"/>
      <c r="AS486" s="2856"/>
      <c r="AT486" s="2866"/>
      <c r="AU486" s="2867"/>
      <c r="AV486" s="1182">
        <f t="shared" si="243"/>
        <v>0</v>
      </c>
      <c r="AW486" s="1182">
        <f t="shared" si="244"/>
        <v>0</v>
      </c>
      <c r="AX486" s="1182">
        <f t="shared" si="245"/>
        <v>0</v>
      </c>
      <c r="AY486" s="2881">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8">
        <f t="shared" si="267"/>
        <v>0</v>
      </c>
    </row>
    <row r="487" spans="1:72">
      <c r="A487" s="2833"/>
      <c r="B487" s="2834"/>
      <c r="C487" s="2834"/>
      <c r="D487" s="2835"/>
      <c r="E487" s="2836">
        <f t="shared" si="239"/>
        <v>0</v>
      </c>
      <c r="F487" s="2837"/>
      <c r="G487" s="2838">
        <f t="shared" si="240"/>
        <v>0</v>
      </c>
      <c r="H487" s="2839">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6">
        <f t="shared" si="242"/>
        <v>0</v>
      </c>
      <c r="AD487" s="2856"/>
      <c r="AE487" s="2856"/>
      <c r="AF487" s="2856"/>
      <c r="AG487" s="2856"/>
      <c r="AH487" s="2856"/>
      <c r="AI487" s="2856"/>
      <c r="AJ487" s="2856"/>
      <c r="AK487" s="2856"/>
      <c r="AL487" s="2856"/>
      <c r="AM487" s="2856"/>
      <c r="AN487" s="2856"/>
      <c r="AO487" s="2856"/>
      <c r="AP487" s="2856"/>
      <c r="AQ487" s="2856"/>
      <c r="AR487" s="2856"/>
      <c r="AS487" s="2856"/>
      <c r="AT487" s="2866"/>
      <c r="AU487" s="2867"/>
      <c r="AV487" s="1182">
        <f t="shared" si="243"/>
        <v>0</v>
      </c>
      <c r="AW487" s="1182">
        <f t="shared" si="244"/>
        <v>0</v>
      </c>
      <c r="AX487" s="1182">
        <f t="shared" si="245"/>
        <v>0</v>
      </c>
      <c r="AY487" s="2881">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8">
        <f t="shared" si="267"/>
        <v>0</v>
      </c>
    </row>
    <row r="488" spans="1:72">
      <c r="A488" s="2833"/>
      <c r="B488" s="2834"/>
      <c r="C488" s="2834"/>
      <c r="D488" s="2835"/>
      <c r="E488" s="2836">
        <f t="shared" si="239"/>
        <v>0</v>
      </c>
      <c r="F488" s="2837"/>
      <c r="G488" s="2838">
        <f t="shared" si="240"/>
        <v>0</v>
      </c>
      <c r="H488" s="2839">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6">
        <f t="shared" si="242"/>
        <v>0</v>
      </c>
      <c r="AD488" s="2856"/>
      <c r="AE488" s="2856"/>
      <c r="AF488" s="2856"/>
      <c r="AG488" s="2856"/>
      <c r="AH488" s="2856"/>
      <c r="AI488" s="2856"/>
      <c r="AJ488" s="2856"/>
      <c r="AK488" s="2856"/>
      <c r="AL488" s="2856"/>
      <c r="AM488" s="2856"/>
      <c r="AN488" s="2856"/>
      <c r="AO488" s="2856"/>
      <c r="AP488" s="2856"/>
      <c r="AQ488" s="2856"/>
      <c r="AR488" s="2856"/>
      <c r="AS488" s="2856"/>
      <c r="AT488" s="2866"/>
      <c r="AU488" s="2867"/>
      <c r="AV488" s="1182">
        <f t="shared" si="243"/>
        <v>0</v>
      </c>
      <c r="AW488" s="1182">
        <f t="shared" si="244"/>
        <v>0</v>
      </c>
      <c r="AX488" s="1182">
        <f t="shared" si="245"/>
        <v>0</v>
      </c>
      <c r="AY488" s="2881">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8">
        <f t="shared" si="267"/>
        <v>0</v>
      </c>
    </row>
    <row r="489" spans="1:72">
      <c r="A489" s="2833"/>
      <c r="B489" s="2834"/>
      <c r="C489" s="2834"/>
      <c r="D489" s="2835"/>
      <c r="E489" s="2836">
        <f t="shared" si="239"/>
        <v>0</v>
      </c>
      <c r="F489" s="2837"/>
      <c r="G489" s="2838">
        <f t="shared" si="240"/>
        <v>0</v>
      </c>
      <c r="H489" s="2839">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6">
        <f t="shared" si="242"/>
        <v>0</v>
      </c>
      <c r="AD489" s="2856"/>
      <c r="AE489" s="2856"/>
      <c r="AF489" s="2856"/>
      <c r="AG489" s="2856"/>
      <c r="AH489" s="2856"/>
      <c r="AI489" s="2856"/>
      <c r="AJ489" s="2856"/>
      <c r="AK489" s="2856"/>
      <c r="AL489" s="2856"/>
      <c r="AM489" s="2856"/>
      <c r="AN489" s="2856"/>
      <c r="AO489" s="2856"/>
      <c r="AP489" s="2856"/>
      <c r="AQ489" s="2856"/>
      <c r="AR489" s="2856"/>
      <c r="AS489" s="2856"/>
      <c r="AT489" s="2866"/>
      <c r="AU489" s="2867"/>
      <c r="AV489" s="1182">
        <f t="shared" si="243"/>
        <v>0</v>
      </c>
      <c r="AW489" s="1182">
        <f t="shared" si="244"/>
        <v>0</v>
      </c>
      <c r="AX489" s="1182">
        <f t="shared" si="245"/>
        <v>0</v>
      </c>
      <c r="AY489" s="2881">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8">
        <f t="shared" si="267"/>
        <v>0</v>
      </c>
    </row>
    <row r="490" spans="1:72">
      <c r="A490" s="2833"/>
      <c r="B490" s="2833"/>
      <c r="C490" s="2833"/>
      <c r="D490" s="2835"/>
      <c r="E490" s="2836">
        <f t="shared" si="239"/>
        <v>0</v>
      </c>
      <c r="F490" s="2889"/>
      <c r="G490" s="2838">
        <f t="shared" ref="G490:G521" si="268">H490+AC490+AT490</f>
        <v>0</v>
      </c>
      <c r="H490" s="2839">
        <f t="shared" ref="H490:H521" si="269">SUMIF(I$12:AB$12,"总值",I490:AB490)</f>
        <v>0</v>
      </c>
      <c r="I490" s="2890"/>
      <c r="J490" s="2890"/>
      <c r="K490" s="2846"/>
      <c r="L490" s="2846"/>
      <c r="M490" s="2846"/>
      <c r="N490" s="2846"/>
      <c r="O490" s="2846"/>
      <c r="P490" s="2846"/>
      <c r="Q490" s="2846"/>
      <c r="R490" s="2846"/>
      <c r="S490" s="2846"/>
      <c r="T490" s="2846"/>
      <c r="U490" s="2846"/>
      <c r="V490" s="2846"/>
      <c r="W490" s="2846"/>
      <c r="X490" s="2846"/>
      <c r="Y490" s="2846"/>
      <c r="Z490" s="2846"/>
      <c r="AA490" s="2846"/>
      <c r="AB490" s="2846"/>
      <c r="AC490" s="2836">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2891"/>
      <c r="AV490" s="1182">
        <f t="shared" si="243"/>
        <v>0</v>
      </c>
      <c r="AW490" s="1182">
        <f t="shared" si="244"/>
        <v>0</v>
      </c>
      <c r="AX490" s="1182">
        <f t="shared" si="245"/>
        <v>0</v>
      </c>
      <c r="AY490" s="2881">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8">
        <f t="shared" ref="BT490:BT521" si="292">IF($D490="是",AR490-AS490,0)</f>
        <v>0</v>
      </c>
    </row>
    <row r="491" spans="1:72">
      <c r="A491" s="2833"/>
      <c r="B491" s="2833"/>
      <c r="C491" s="2833"/>
      <c r="D491" s="2835"/>
      <c r="E491" s="2836">
        <f t="shared" si="239"/>
        <v>0</v>
      </c>
      <c r="F491" s="2889"/>
      <c r="G491" s="2838">
        <f t="shared" si="268"/>
        <v>0</v>
      </c>
      <c r="H491" s="2839">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6">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2891"/>
      <c r="AV491" s="1182">
        <f t="shared" si="243"/>
        <v>0</v>
      </c>
      <c r="AW491" s="1182">
        <f t="shared" si="244"/>
        <v>0</v>
      </c>
      <c r="AX491" s="1182">
        <f t="shared" si="245"/>
        <v>0</v>
      </c>
      <c r="AY491" s="2881">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8">
        <f t="shared" si="292"/>
        <v>0</v>
      </c>
    </row>
    <row r="492" spans="1:72">
      <c r="A492" s="2833"/>
      <c r="B492" s="2833"/>
      <c r="C492" s="2833"/>
      <c r="D492" s="2835"/>
      <c r="E492" s="2836">
        <f t="shared" si="239"/>
        <v>0</v>
      </c>
      <c r="F492" s="2889"/>
      <c r="G492" s="2838">
        <f t="shared" si="268"/>
        <v>0</v>
      </c>
      <c r="H492" s="2839">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6">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2891"/>
      <c r="AV492" s="1182">
        <f t="shared" si="243"/>
        <v>0</v>
      </c>
      <c r="AW492" s="1182">
        <f t="shared" si="244"/>
        <v>0</v>
      </c>
      <c r="AX492" s="1182">
        <f t="shared" si="245"/>
        <v>0</v>
      </c>
      <c r="AY492" s="2881">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8">
        <f t="shared" si="292"/>
        <v>0</v>
      </c>
    </row>
    <row r="493" spans="1:72">
      <c r="A493" s="2833"/>
      <c r="B493" s="2834"/>
      <c r="C493" s="2834"/>
      <c r="D493" s="2835"/>
      <c r="E493" s="2836">
        <f t="shared" ref="E493:E519" si="293">IF($C$3="是",ROUND($A$3*G493/$B$3,2),ROUND($A$3*(G493-AT493)/$B$3,2))</f>
        <v>0</v>
      </c>
      <c r="F493" s="2837"/>
      <c r="G493" s="2838">
        <f t="shared" si="268"/>
        <v>0</v>
      </c>
      <c r="H493" s="2839">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6">
        <f t="shared" si="270"/>
        <v>0</v>
      </c>
      <c r="AD493" s="2856"/>
      <c r="AE493" s="2856"/>
      <c r="AF493" s="2856"/>
      <c r="AG493" s="2856"/>
      <c r="AH493" s="2856"/>
      <c r="AI493" s="2856"/>
      <c r="AJ493" s="2856"/>
      <c r="AK493" s="2856"/>
      <c r="AL493" s="2856"/>
      <c r="AM493" s="2856"/>
      <c r="AN493" s="2856"/>
      <c r="AO493" s="2856"/>
      <c r="AP493" s="2856"/>
      <c r="AQ493" s="2856"/>
      <c r="AR493" s="2856"/>
      <c r="AS493" s="2856"/>
      <c r="AT493" s="2866"/>
      <c r="AU493" s="2867"/>
      <c r="AV493" s="1182">
        <f t="shared" ref="AV493:AV520" si="294">A493</f>
        <v>0</v>
      </c>
      <c r="AW493" s="1182">
        <f t="shared" ref="AW493:AW520" si="295">B493</f>
        <v>0</v>
      </c>
      <c r="AX493" s="1182">
        <f t="shared" ref="AX493:AX520" si="296">C493</f>
        <v>0</v>
      </c>
      <c r="AY493" s="2881">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8">
        <f t="shared" si="292"/>
        <v>0</v>
      </c>
    </row>
    <row r="494" spans="1:72">
      <c r="A494" s="2833"/>
      <c r="B494" s="2834"/>
      <c r="C494" s="2834"/>
      <c r="D494" s="2835"/>
      <c r="E494" s="2836">
        <f t="shared" si="293"/>
        <v>0</v>
      </c>
      <c r="F494" s="2837"/>
      <c r="G494" s="2838">
        <f t="shared" si="268"/>
        <v>0</v>
      </c>
      <c r="H494" s="2839">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6">
        <f t="shared" si="270"/>
        <v>0</v>
      </c>
      <c r="AD494" s="2856"/>
      <c r="AE494" s="2856"/>
      <c r="AF494" s="2856"/>
      <c r="AG494" s="2856"/>
      <c r="AH494" s="2856"/>
      <c r="AI494" s="2856"/>
      <c r="AJ494" s="2856"/>
      <c r="AK494" s="2856"/>
      <c r="AL494" s="2856"/>
      <c r="AM494" s="2856"/>
      <c r="AN494" s="2856"/>
      <c r="AO494" s="2856"/>
      <c r="AP494" s="2856"/>
      <c r="AQ494" s="2856"/>
      <c r="AR494" s="2856"/>
      <c r="AS494" s="2856"/>
      <c r="AT494" s="2866"/>
      <c r="AU494" s="2867"/>
      <c r="AV494" s="1182">
        <f t="shared" si="294"/>
        <v>0</v>
      </c>
      <c r="AW494" s="1182">
        <f t="shared" si="295"/>
        <v>0</v>
      </c>
      <c r="AX494" s="1182">
        <f t="shared" si="296"/>
        <v>0</v>
      </c>
      <c r="AY494" s="2881">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8">
        <f t="shared" si="292"/>
        <v>0</v>
      </c>
    </row>
    <row r="495" spans="1:72">
      <c r="A495" s="2833"/>
      <c r="B495" s="2834"/>
      <c r="C495" s="2834"/>
      <c r="D495" s="2835"/>
      <c r="E495" s="2836">
        <f t="shared" si="293"/>
        <v>0</v>
      </c>
      <c r="F495" s="2837"/>
      <c r="G495" s="2838">
        <f t="shared" si="268"/>
        <v>0</v>
      </c>
      <c r="H495" s="2839">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6">
        <f t="shared" si="270"/>
        <v>0</v>
      </c>
      <c r="AD495" s="2856"/>
      <c r="AE495" s="2856"/>
      <c r="AF495" s="2856"/>
      <c r="AG495" s="2856"/>
      <c r="AH495" s="2856"/>
      <c r="AI495" s="2856"/>
      <c r="AJ495" s="2856"/>
      <c r="AK495" s="2856"/>
      <c r="AL495" s="2856"/>
      <c r="AM495" s="2856"/>
      <c r="AN495" s="2856"/>
      <c r="AO495" s="2856"/>
      <c r="AP495" s="2856"/>
      <c r="AQ495" s="2856"/>
      <c r="AR495" s="2856"/>
      <c r="AS495" s="2856"/>
      <c r="AT495" s="2866"/>
      <c r="AU495" s="2867"/>
      <c r="AV495" s="1182">
        <f t="shared" si="294"/>
        <v>0</v>
      </c>
      <c r="AW495" s="1182">
        <f t="shared" si="295"/>
        <v>0</v>
      </c>
      <c r="AX495" s="1182">
        <f t="shared" si="296"/>
        <v>0</v>
      </c>
      <c r="AY495" s="2881">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8">
        <f t="shared" si="292"/>
        <v>0</v>
      </c>
    </row>
    <row r="496" spans="1:72">
      <c r="A496" s="2833"/>
      <c r="B496" s="2834"/>
      <c r="C496" s="2834"/>
      <c r="D496" s="2835"/>
      <c r="E496" s="2836">
        <f t="shared" si="293"/>
        <v>0</v>
      </c>
      <c r="F496" s="2837"/>
      <c r="G496" s="2838">
        <f t="shared" si="268"/>
        <v>0</v>
      </c>
      <c r="H496" s="2839">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6">
        <f t="shared" si="270"/>
        <v>0</v>
      </c>
      <c r="AD496" s="2856"/>
      <c r="AE496" s="2856"/>
      <c r="AF496" s="2856"/>
      <c r="AG496" s="2856"/>
      <c r="AH496" s="2856"/>
      <c r="AI496" s="2856"/>
      <c r="AJ496" s="2856"/>
      <c r="AK496" s="2856"/>
      <c r="AL496" s="2856"/>
      <c r="AM496" s="2856"/>
      <c r="AN496" s="2856"/>
      <c r="AO496" s="2856"/>
      <c r="AP496" s="2856"/>
      <c r="AQ496" s="2856"/>
      <c r="AR496" s="2856"/>
      <c r="AS496" s="2856"/>
      <c r="AT496" s="2866"/>
      <c r="AU496" s="2867"/>
      <c r="AV496" s="1182">
        <f t="shared" si="294"/>
        <v>0</v>
      </c>
      <c r="AW496" s="1182">
        <f t="shared" si="295"/>
        <v>0</v>
      </c>
      <c r="AX496" s="1182">
        <f t="shared" si="296"/>
        <v>0</v>
      </c>
      <c r="AY496" s="2881">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8">
        <f t="shared" si="292"/>
        <v>0</v>
      </c>
    </row>
    <row r="497" spans="1:72">
      <c r="A497" s="2833"/>
      <c r="B497" s="2834"/>
      <c r="C497" s="2834"/>
      <c r="D497" s="2835"/>
      <c r="E497" s="2836">
        <f t="shared" si="293"/>
        <v>0</v>
      </c>
      <c r="F497" s="2837"/>
      <c r="G497" s="2838">
        <f t="shared" si="268"/>
        <v>0</v>
      </c>
      <c r="H497" s="2839">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6">
        <f t="shared" si="270"/>
        <v>0</v>
      </c>
      <c r="AD497" s="2856"/>
      <c r="AE497" s="2856"/>
      <c r="AF497" s="2856"/>
      <c r="AG497" s="2856"/>
      <c r="AH497" s="2856"/>
      <c r="AI497" s="2856"/>
      <c r="AJ497" s="2856"/>
      <c r="AK497" s="2856"/>
      <c r="AL497" s="2856"/>
      <c r="AM497" s="2856"/>
      <c r="AN497" s="2856"/>
      <c r="AO497" s="2856"/>
      <c r="AP497" s="2856"/>
      <c r="AQ497" s="2856"/>
      <c r="AR497" s="2856"/>
      <c r="AS497" s="2856"/>
      <c r="AT497" s="2866"/>
      <c r="AU497" s="2867"/>
      <c r="AV497" s="1182">
        <f t="shared" si="294"/>
        <v>0</v>
      </c>
      <c r="AW497" s="1182">
        <f t="shared" si="295"/>
        <v>0</v>
      </c>
      <c r="AX497" s="1182">
        <f t="shared" si="296"/>
        <v>0</v>
      </c>
      <c r="AY497" s="2881">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8">
        <f t="shared" si="292"/>
        <v>0</v>
      </c>
    </row>
    <row r="498" spans="1:72">
      <c r="A498" s="2833"/>
      <c r="B498" s="2834"/>
      <c r="C498" s="2834"/>
      <c r="D498" s="2835"/>
      <c r="E498" s="2836">
        <f t="shared" si="293"/>
        <v>0</v>
      </c>
      <c r="F498" s="2837"/>
      <c r="G498" s="2838">
        <f t="shared" si="268"/>
        <v>0</v>
      </c>
      <c r="H498" s="2839">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6">
        <f t="shared" si="270"/>
        <v>0</v>
      </c>
      <c r="AD498" s="2856"/>
      <c r="AE498" s="2856"/>
      <c r="AF498" s="2856"/>
      <c r="AG498" s="2856"/>
      <c r="AH498" s="2856"/>
      <c r="AI498" s="2856"/>
      <c r="AJ498" s="2856"/>
      <c r="AK498" s="2856"/>
      <c r="AL498" s="2856"/>
      <c r="AM498" s="2856"/>
      <c r="AN498" s="2856"/>
      <c r="AO498" s="2856"/>
      <c r="AP498" s="2856"/>
      <c r="AQ498" s="2856"/>
      <c r="AR498" s="2856"/>
      <c r="AS498" s="2856"/>
      <c r="AT498" s="2866"/>
      <c r="AU498" s="2867"/>
      <c r="AV498" s="1182">
        <f t="shared" si="294"/>
        <v>0</v>
      </c>
      <c r="AW498" s="1182">
        <f t="shared" si="295"/>
        <v>0</v>
      </c>
      <c r="AX498" s="1182">
        <f t="shared" si="296"/>
        <v>0</v>
      </c>
      <c r="AY498" s="2881">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8">
        <f t="shared" si="292"/>
        <v>0</v>
      </c>
    </row>
    <row r="499" spans="1:72">
      <c r="A499" s="2833"/>
      <c r="B499" s="2834"/>
      <c r="C499" s="2834"/>
      <c r="D499" s="2835"/>
      <c r="E499" s="2836">
        <f t="shared" si="293"/>
        <v>0</v>
      </c>
      <c r="F499" s="2837"/>
      <c r="G499" s="2838">
        <f t="shared" si="268"/>
        <v>0</v>
      </c>
      <c r="H499" s="2839">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6">
        <f t="shared" si="270"/>
        <v>0</v>
      </c>
      <c r="AD499" s="2856"/>
      <c r="AE499" s="2856"/>
      <c r="AF499" s="2856"/>
      <c r="AG499" s="2856"/>
      <c r="AH499" s="2856"/>
      <c r="AI499" s="2856"/>
      <c r="AJ499" s="2856"/>
      <c r="AK499" s="2856"/>
      <c r="AL499" s="2856"/>
      <c r="AM499" s="2856"/>
      <c r="AN499" s="2856"/>
      <c r="AO499" s="2856"/>
      <c r="AP499" s="2856"/>
      <c r="AQ499" s="2856"/>
      <c r="AR499" s="2856"/>
      <c r="AS499" s="2856"/>
      <c r="AT499" s="2866"/>
      <c r="AU499" s="2867"/>
      <c r="AV499" s="1182">
        <f t="shared" si="294"/>
        <v>0</v>
      </c>
      <c r="AW499" s="1182">
        <f t="shared" si="295"/>
        <v>0</v>
      </c>
      <c r="AX499" s="1182">
        <f t="shared" si="296"/>
        <v>0</v>
      </c>
      <c r="AY499" s="2881">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8">
        <f t="shared" si="292"/>
        <v>0</v>
      </c>
    </row>
    <row r="500" spans="1:72">
      <c r="A500" s="2833"/>
      <c r="B500" s="2834"/>
      <c r="C500" s="2834"/>
      <c r="D500" s="2835"/>
      <c r="E500" s="2836">
        <f t="shared" si="293"/>
        <v>0</v>
      </c>
      <c r="F500" s="2837"/>
      <c r="G500" s="2838">
        <f t="shared" si="268"/>
        <v>0</v>
      </c>
      <c r="H500" s="2839">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6">
        <f t="shared" si="270"/>
        <v>0</v>
      </c>
      <c r="AD500" s="2856"/>
      <c r="AE500" s="2856"/>
      <c r="AF500" s="2856"/>
      <c r="AG500" s="2856"/>
      <c r="AH500" s="2856"/>
      <c r="AI500" s="2856"/>
      <c r="AJ500" s="2856"/>
      <c r="AK500" s="2856"/>
      <c r="AL500" s="2856"/>
      <c r="AM500" s="2856"/>
      <c r="AN500" s="2856"/>
      <c r="AO500" s="2856"/>
      <c r="AP500" s="2856"/>
      <c r="AQ500" s="2856"/>
      <c r="AR500" s="2856"/>
      <c r="AS500" s="2856"/>
      <c r="AT500" s="2866"/>
      <c r="AU500" s="2867"/>
      <c r="AV500" s="1182">
        <f t="shared" si="294"/>
        <v>0</v>
      </c>
      <c r="AW500" s="1182">
        <f t="shared" si="295"/>
        <v>0</v>
      </c>
      <c r="AX500" s="1182">
        <f t="shared" si="296"/>
        <v>0</v>
      </c>
      <c r="AY500" s="2881">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8">
        <f t="shared" si="292"/>
        <v>0</v>
      </c>
    </row>
    <row r="501" spans="1:72">
      <c r="A501" s="2833"/>
      <c r="B501" s="2834"/>
      <c r="C501" s="2834"/>
      <c r="D501" s="2835"/>
      <c r="E501" s="2836">
        <f t="shared" si="293"/>
        <v>0</v>
      </c>
      <c r="F501" s="2837"/>
      <c r="G501" s="2838">
        <f t="shared" si="268"/>
        <v>0</v>
      </c>
      <c r="H501" s="2839">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6">
        <f t="shared" si="270"/>
        <v>0</v>
      </c>
      <c r="AD501" s="2856"/>
      <c r="AE501" s="2856"/>
      <c r="AF501" s="2856"/>
      <c r="AG501" s="2856"/>
      <c r="AH501" s="2856"/>
      <c r="AI501" s="2856"/>
      <c r="AJ501" s="2856"/>
      <c r="AK501" s="2856"/>
      <c r="AL501" s="2856"/>
      <c r="AM501" s="2856"/>
      <c r="AN501" s="2856"/>
      <c r="AO501" s="2856"/>
      <c r="AP501" s="2856"/>
      <c r="AQ501" s="2856"/>
      <c r="AR501" s="2856"/>
      <c r="AS501" s="2856"/>
      <c r="AT501" s="2866"/>
      <c r="AU501" s="2867"/>
      <c r="AV501" s="1182">
        <f t="shared" si="294"/>
        <v>0</v>
      </c>
      <c r="AW501" s="1182">
        <f t="shared" si="295"/>
        <v>0</v>
      </c>
      <c r="AX501" s="1182">
        <f t="shared" si="296"/>
        <v>0</v>
      </c>
      <c r="AY501" s="2881">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8">
        <f t="shared" si="292"/>
        <v>0</v>
      </c>
    </row>
    <row r="502" spans="1:72">
      <c r="A502" s="2833"/>
      <c r="B502" s="2834"/>
      <c r="C502" s="2834"/>
      <c r="D502" s="2835"/>
      <c r="E502" s="2836">
        <f t="shared" si="293"/>
        <v>0</v>
      </c>
      <c r="F502" s="2837"/>
      <c r="G502" s="2838">
        <f t="shared" si="268"/>
        <v>0</v>
      </c>
      <c r="H502" s="2839">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6">
        <f t="shared" si="270"/>
        <v>0</v>
      </c>
      <c r="AD502" s="2856"/>
      <c r="AE502" s="2856"/>
      <c r="AF502" s="2856"/>
      <c r="AG502" s="2856"/>
      <c r="AH502" s="2856"/>
      <c r="AI502" s="2856"/>
      <c r="AJ502" s="2856"/>
      <c r="AK502" s="2856"/>
      <c r="AL502" s="2856"/>
      <c r="AM502" s="2856"/>
      <c r="AN502" s="2856"/>
      <c r="AO502" s="2856"/>
      <c r="AP502" s="2856"/>
      <c r="AQ502" s="2856"/>
      <c r="AR502" s="2856"/>
      <c r="AS502" s="2856"/>
      <c r="AT502" s="2866"/>
      <c r="AU502" s="2867"/>
      <c r="AV502" s="1182">
        <f t="shared" si="294"/>
        <v>0</v>
      </c>
      <c r="AW502" s="1182">
        <f t="shared" si="295"/>
        <v>0</v>
      </c>
      <c r="AX502" s="1182">
        <f t="shared" si="296"/>
        <v>0</v>
      </c>
      <c r="AY502" s="2881">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8">
        <f t="shared" si="292"/>
        <v>0</v>
      </c>
    </row>
    <row r="503" spans="1:72">
      <c r="A503" s="2833"/>
      <c r="B503" s="2834"/>
      <c r="C503" s="2834"/>
      <c r="D503" s="2835"/>
      <c r="E503" s="2836">
        <f t="shared" si="293"/>
        <v>0</v>
      </c>
      <c r="F503" s="2837"/>
      <c r="G503" s="2838">
        <f t="shared" si="268"/>
        <v>0</v>
      </c>
      <c r="H503" s="2839">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6">
        <f t="shared" si="270"/>
        <v>0</v>
      </c>
      <c r="AD503" s="2856"/>
      <c r="AE503" s="2856"/>
      <c r="AF503" s="2856"/>
      <c r="AG503" s="2856"/>
      <c r="AH503" s="2856"/>
      <c r="AI503" s="2856"/>
      <c r="AJ503" s="2856"/>
      <c r="AK503" s="2856"/>
      <c r="AL503" s="2856"/>
      <c r="AM503" s="2856"/>
      <c r="AN503" s="2856"/>
      <c r="AO503" s="2856"/>
      <c r="AP503" s="2856"/>
      <c r="AQ503" s="2856"/>
      <c r="AR503" s="2856"/>
      <c r="AS503" s="2856"/>
      <c r="AT503" s="2866"/>
      <c r="AU503" s="2867"/>
      <c r="AV503" s="1182">
        <f t="shared" si="294"/>
        <v>0</v>
      </c>
      <c r="AW503" s="1182">
        <f t="shared" si="295"/>
        <v>0</v>
      </c>
      <c r="AX503" s="1182">
        <f t="shared" si="296"/>
        <v>0</v>
      </c>
      <c r="AY503" s="2881">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8">
        <f t="shared" si="292"/>
        <v>0</v>
      </c>
    </row>
    <row r="504" spans="1:72">
      <c r="A504" s="2833"/>
      <c r="B504" s="2834"/>
      <c r="C504" s="2834"/>
      <c r="D504" s="2835"/>
      <c r="E504" s="2836">
        <f t="shared" si="293"/>
        <v>0</v>
      </c>
      <c r="F504" s="2837"/>
      <c r="G504" s="2838">
        <f t="shared" si="268"/>
        <v>0</v>
      </c>
      <c r="H504" s="2839">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6">
        <f t="shared" si="270"/>
        <v>0</v>
      </c>
      <c r="AD504" s="2856"/>
      <c r="AE504" s="2856"/>
      <c r="AF504" s="2856"/>
      <c r="AG504" s="2856"/>
      <c r="AH504" s="2856"/>
      <c r="AI504" s="2856"/>
      <c r="AJ504" s="2856"/>
      <c r="AK504" s="2856"/>
      <c r="AL504" s="2856"/>
      <c r="AM504" s="2856"/>
      <c r="AN504" s="2856"/>
      <c r="AO504" s="2856"/>
      <c r="AP504" s="2856"/>
      <c r="AQ504" s="2856"/>
      <c r="AR504" s="2856"/>
      <c r="AS504" s="2856"/>
      <c r="AT504" s="2866"/>
      <c r="AU504" s="2867"/>
      <c r="AV504" s="1182">
        <f t="shared" si="294"/>
        <v>0</v>
      </c>
      <c r="AW504" s="1182">
        <f t="shared" si="295"/>
        <v>0</v>
      </c>
      <c r="AX504" s="1182">
        <f t="shared" si="296"/>
        <v>0</v>
      </c>
      <c r="AY504" s="2881">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8">
        <f t="shared" si="292"/>
        <v>0</v>
      </c>
    </row>
    <row r="505" spans="1:72">
      <c r="A505" s="2833"/>
      <c r="B505" s="2834"/>
      <c r="C505" s="2834"/>
      <c r="D505" s="2835"/>
      <c r="E505" s="2836">
        <f t="shared" si="293"/>
        <v>0</v>
      </c>
      <c r="F505" s="2837"/>
      <c r="G505" s="2838">
        <f t="shared" si="268"/>
        <v>0</v>
      </c>
      <c r="H505" s="2839">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6">
        <f t="shared" si="270"/>
        <v>0</v>
      </c>
      <c r="AD505" s="2856"/>
      <c r="AE505" s="2856"/>
      <c r="AF505" s="2856"/>
      <c r="AG505" s="2856"/>
      <c r="AH505" s="2856"/>
      <c r="AI505" s="2856"/>
      <c r="AJ505" s="2856"/>
      <c r="AK505" s="2856"/>
      <c r="AL505" s="2856"/>
      <c r="AM505" s="2856"/>
      <c r="AN505" s="2856"/>
      <c r="AO505" s="2856"/>
      <c r="AP505" s="2856"/>
      <c r="AQ505" s="2856"/>
      <c r="AR505" s="2856"/>
      <c r="AS505" s="2856"/>
      <c r="AT505" s="2866"/>
      <c r="AU505" s="2867"/>
      <c r="AV505" s="1182">
        <f t="shared" si="294"/>
        <v>0</v>
      </c>
      <c r="AW505" s="1182">
        <f t="shared" si="295"/>
        <v>0</v>
      </c>
      <c r="AX505" s="1182">
        <f t="shared" si="296"/>
        <v>0</v>
      </c>
      <c r="AY505" s="2881">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8">
        <f t="shared" si="292"/>
        <v>0</v>
      </c>
    </row>
    <row r="506" spans="1:72">
      <c r="A506" s="2833"/>
      <c r="B506" s="2834"/>
      <c r="C506" s="2834"/>
      <c r="D506" s="2835"/>
      <c r="E506" s="2836">
        <f t="shared" si="293"/>
        <v>0</v>
      </c>
      <c r="F506" s="2837"/>
      <c r="G506" s="2838">
        <f t="shared" si="268"/>
        <v>0</v>
      </c>
      <c r="H506" s="2839">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6">
        <f t="shared" si="270"/>
        <v>0</v>
      </c>
      <c r="AD506" s="2856"/>
      <c r="AE506" s="2856"/>
      <c r="AF506" s="2856"/>
      <c r="AG506" s="2856"/>
      <c r="AH506" s="2856"/>
      <c r="AI506" s="2856"/>
      <c r="AJ506" s="2856"/>
      <c r="AK506" s="2856"/>
      <c r="AL506" s="2856"/>
      <c r="AM506" s="2856"/>
      <c r="AN506" s="2856"/>
      <c r="AO506" s="2856"/>
      <c r="AP506" s="2856"/>
      <c r="AQ506" s="2856"/>
      <c r="AR506" s="2856"/>
      <c r="AS506" s="2856"/>
      <c r="AT506" s="2866"/>
      <c r="AU506" s="2867"/>
      <c r="AV506" s="1182">
        <f t="shared" si="294"/>
        <v>0</v>
      </c>
      <c r="AW506" s="1182">
        <f t="shared" si="295"/>
        <v>0</v>
      </c>
      <c r="AX506" s="1182">
        <f t="shared" si="296"/>
        <v>0</v>
      </c>
      <c r="AY506" s="2881">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8">
        <f t="shared" si="292"/>
        <v>0</v>
      </c>
    </row>
    <row r="507" spans="1:72">
      <c r="A507" s="2833"/>
      <c r="B507" s="2834"/>
      <c r="C507" s="2834"/>
      <c r="D507" s="2835"/>
      <c r="E507" s="2836">
        <f t="shared" si="293"/>
        <v>0</v>
      </c>
      <c r="F507" s="2837"/>
      <c r="G507" s="2838">
        <f t="shared" si="268"/>
        <v>0</v>
      </c>
      <c r="H507" s="2839">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6">
        <f t="shared" si="270"/>
        <v>0</v>
      </c>
      <c r="AD507" s="2856"/>
      <c r="AE507" s="2856"/>
      <c r="AF507" s="2856"/>
      <c r="AG507" s="2856"/>
      <c r="AH507" s="2856"/>
      <c r="AI507" s="2856"/>
      <c r="AJ507" s="2856"/>
      <c r="AK507" s="2856"/>
      <c r="AL507" s="2856"/>
      <c r="AM507" s="2856"/>
      <c r="AN507" s="2856"/>
      <c r="AO507" s="2856"/>
      <c r="AP507" s="2856"/>
      <c r="AQ507" s="2856"/>
      <c r="AR507" s="2856"/>
      <c r="AS507" s="2856"/>
      <c r="AT507" s="2866"/>
      <c r="AU507" s="2867"/>
      <c r="AV507" s="1182">
        <f t="shared" si="294"/>
        <v>0</v>
      </c>
      <c r="AW507" s="1182">
        <f t="shared" si="295"/>
        <v>0</v>
      </c>
      <c r="AX507" s="1182">
        <f t="shared" si="296"/>
        <v>0</v>
      </c>
      <c r="AY507" s="2881">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8">
        <f t="shared" si="292"/>
        <v>0</v>
      </c>
    </row>
    <row r="508" spans="1:72">
      <c r="A508" s="2833"/>
      <c r="B508" s="2834"/>
      <c r="C508" s="2834"/>
      <c r="D508" s="2835"/>
      <c r="E508" s="2836">
        <f t="shared" si="293"/>
        <v>0</v>
      </c>
      <c r="F508" s="2837"/>
      <c r="G508" s="2838">
        <f t="shared" si="268"/>
        <v>0</v>
      </c>
      <c r="H508" s="2839">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6">
        <f t="shared" si="270"/>
        <v>0</v>
      </c>
      <c r="AD508" s="2856"/>
      <c r="AE508" s="2856"/>
      <c r="AF508" s="2856"/>
      <c r="AG508" s="2856"/>
      <c r="AH508" s="2856"/>
      <c r="AI508" s="2856"/>
      <c r="AJ508" s="2856"/>
      <c r="AK508" s="2856"/>
      <c r="AL508" s="2856"/>
      <c r="AM508" s="2856"/>
      <c r="AN508" s="2856"/>
      <c r="AO508" s="2856"/>
      <c r="AP508" s="2856"/>
      <c r="AQ508" s="2856"/>
      <c r="AR508" s="2856"/>
      <c r="AS508" s="2856"/>
      <c r="AT508" s="2866"/>
      <c r="AU508" s="2867"/>
      <c r="AV508" s="1182">
        <f t="shared" si="294"/>
        <v>0</v>
      </c>
      <c r="AW508" s="1182">
        <f t="shared" si="295"/>
        <v>0</v>
      </c>
      <c r="AX508" s="1182">
        <f t="shared" si="296"/>
        <v>0</v>
      </c>
      <c r="AY508" s="2881">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8">
        <f t="shared" si="292"/>
        <v>0</v>
      </c>
    </row>
    <row r="509" spans="1:72">
      <c r="A509" s="2833"/>
      <c r="B509" s="2834"/>
      <c r="C509" s="2834"/>
      <c r="D509" s="2835"/>
      <c r="E509" s="2836">
        <f t="shared" si="293"/>
        <v>0</v>
      </c>
      <c r="F509" s="2837"/>
      <c r="G509" s="2838">
        <f t="shared" si="268"/>
        <v>0</v>
      </c>
      <c r="H509" s="2839">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6">
        <f t="shared" si="270"/>
        <v>0</v>
      </c>
      <c r="AD509" s="2856"/>
      <c r="AE509" s="2856"/>
      <c r="AF509" s="2856"/>
      <c r="AG509" s="2856"/>
      <c r="AH509" s="2856"/>
      <c r="AI509" s="2856"/>
      <c r="AJ509" s="2856"/>
      <c r="AK509" s="2856"/>
      <c r="AL509" s="2856"/>
      <c r="AM509" s="2856"/>
      <c r="AN509" s="2856"/>
      <c r="AO509" s="2856"/>
      <c r="AP509" s="2856"/>
      <c r="AQ509" s="2856"/>
      <c r="AR509" s="2856"/>
      <c r="AS509" s="2856"/>
      <c r="AT509" s="2866"/>
      <c r="AU509" s="2867"/>
      <c r="AV509" s="1182">
        <f t="shared" si="294"/>
        <v>0</v>
      </c>
      <c r="AW509" s="1182">
        <f t="shared" si="295"/>
        <v>0</v>
      </c>
      <c r="AX509" s="1182">
        <f t="shared" si="296"/>
        <v>0</v>
      </c>
      <c r="AY509" s="2881">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8">
        <f t="shared" si="292"/>
        <v>0</v>
      </c>
    </row>
    <row r="510" spans="1:72">
      <c r="A510" s="2833"/>
      <c r="B510" s="2834"/>
      <c r="C510" s="2834"/>
      <c r="D510" s="2835"/>
      <c r="E510" s="2836">
        <f t="shared" si="293"/>
        <v>0</v>
      </c>
      <c r="F510" s="2837"/>
      <c r="G510" s="2838">
        <f t="shared" si="268"/>
        <v>0</v>
      </c>
      <c r="H510" s="2839">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6">
        <f t="shared" si="270"/>
        <v>0</v>
      </c>
      <c r="AD510" s="2856"/>
      <c r="AE510" s="2856"/>
      <c r="AF510" s="2856"/>
      <c r="AG510" s="2856"/>
      <c r="AH510" s="2856"/>
      <c r="AI510" s="2856"/>
      <c r="AJ510" s="2856"/>
      <c r="AK510" s="2856"/>
      <c r="AL510" s="2856"/>
      <c r="AM510" s="2856"/>
      <c r="AN510" s="2856"/>
      <c r="AO510" s="2856"/>
      <c r="AP510" s="2856"/>
      <c r="AQ510" s="2856"/>
      <c r="AR510" s="2856"/>
      <c r="AS510" s="2856"/>
      <c r="AT510" s="2866"/>
      <c r="AU510" s="2867"/>
      <c r="AV510" s="1182">
        <f t="shared" si="294"/>
        <v>0</v>
      </c>
      <c r="AW510" s="1182">
        <f t="shared" si="295"/>
        <v>0</v>
      </c>
      <c r="AX510" s="1182">
        <f t="shared" si="296"/>
        <v>0</v>
      </c>
      <c r="AY510" s="2881">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8">
        <f t="shared" si="292"/>
        <v>0</v>
      </c>
    </row>
    <row r="511" spans="1:72">
      <c r="A511" s="2833"/>
      <c r="B511" s="2834"/>
      <c r="C511" s="2834"/>
      <c r="D511" s="2835"/>
      <c r="E511" s="2836">
        <f t="shared" si="293"/>
        <v>0</v>
      </c>
      <c r="F511" s="2837"/>
      <c r="G511" s="2838">
        <f t="shared" si="268"/>
        <v>0</v>
      </c>
      <c r="H511" s="2839">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6">
        <f t="shared" si="270"/>
        <v>0</v>
      </c>
      <c r="AD511" s="2856"/>
      <c r="AE511" s="2856"/>
      <c r="AF511" s="2856"/>
      <c r="AG511" s="2856"/>
      <c r="AH511" s="2856"/>
      <c r="AI511" s="2856"/>
      <c r="AJ511" s="2856"/>
      <c r="AK511" s="2856"/>
      <c r="AL511" s="2856"/>
      <c r="AM511" s="2856"/>
      <c r="AN511" s="2856"/>
      <c r="AO511" s="2856"/>
      <c r="AP511" s="2856"/>
      <c r="AQ511" s="2856"/>
      <c r="AR511" s="2856"/>
      <c r="AS511" s="2856"/>
      <c r="AT511" s="2866"/>
      <c r="AU511" s="2867"/>
      <c r="AV511" s="1182">
        <f t="shared" si="294"/>
        <v>0</v>
      </c>
      <c r="AW511" s="1182">
        <f t="shared" si="295"/>
        <v>0</v>
      </c>
      <c r="AX511" s="1182">
        <f t="shared" si="296"/>
        <v>0</v>
      </c>
      <c r="AY511" s="2881">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8">
        <f t="shared" si="292"/>
        <v>0</v>
      </c>
    </row>
    <row r="512" spans="1:72">
      <c r="A512" s="2833"/>
      <c r="B512" s="2834"/>
      <c r="C512" s="2834"/>
      <c r="D512" s="2835"/>
      <c r="E512" s="2836">
        <f t="shared" si="293"/>
        <v>0</v>
      </c>
      <c r="F512" s="2837"/>
      <c r="G512" s="2838">
        <f t="shared" si="268"/>
        <v>0</v>
      </c>
      <c r="H512" s="2839">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6">
        <f t="shared" si="270"/>
        <v>0</v>
      </c>
      <c r="AD512" s="2856"/>
      <c r="AE512" s="2856"/>
      <c r="AF512" s="2856"/>
      <c r="AG512" s="2856"/>
      <c r="AH512" s="2856"/>
      <c r="AI512" s="2856"/>
      <c r="AJ512" s="2856"/>
      <c r="AK512" s="2856"/>
      <c r="AL512" s="2856"/>
      <c r="AM512" s="2856"/>
      <c r="AN512" s="2856"/>
      <c r="AO512" s="2856"/>
      <c r="AP512" s="2856"/>
      <c r="AQ512" s="2856"/>
      <c r="AR512" s="2856"/>
      <c r="AS512" s="2856"/>
      <c r="AT512" s="2866"/>
      <c r="AU512" s="2867"/>
      <c r="AV512" s="1182">
        <f t="shared" si="294"/>
        <v>0</v>
      </c>
      <c r="AW512" s="1182">
        <f t="shared" si="295"/>
        <v>0</v>
      </c>
      <c r="AX512" s="1182">
        <f t="shared" si="296"/>
        <v>0</v>
      </c>
      <c r="AY512" s="2881">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8">
        <f t="shared" si="292"/>
        <v>0</v>
      </c>
    </row>
    <row r="513" spans="1:72">
      <c r="A513" s="2833"/>
      <c r="B513" s="2834"/>
      <c r="C513" s="2834"/>
      <c r="D513" s="2835"/>
      <c r="E513" s="2836">
        <f t="shared" si="293"/>
        <v>0</v>
      </c>
      <c r="F513" s="2837"/>
      <c r="G513" s="2838">
        <f t="shared" si="268"/>
        <v>0</v>
      </c>
      <c r="H513" s="2839">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6">
        <f t="shared" si="270"/>
        <v>0</v>
      </c>
      <c r="AD513" s="2856"/>
      <c r="AE513" s="2856"/>
      <c r="AF513" s="2856"/>
      <c r="AG513" s="2856"/>
      <c r="AH513" s="2856"/>
      <c r="AI513" s="2856"/>
      <c r="AJ513" s="2856"/>
      <c r="AK513" s="2856"/>
      <c r="AL513" s="2856"/>
      <c r="AM513" s="2856"/>
      <c r="AN513" s="2856"/>
      <c r="AO513" s="2856"/>
      <c r="AP513" s="2856"/>
      <c r="AQ513" s="2856"/>
      <c r="AR513" s="2856"/>
      <c r="AS513" s="2856"/>
      <c r="AT513" s="2866"/>
      <c r="AU513" s="2867"/>
      <c r="AV513" s="1182">
        <f t="shared" si="294"/>
        <v>0</v>
      </c>
      <c r="AW513" s="1182">
        <f t="shared" si="295"/>
        <v>0</v>
      </c>
      <c r="AX513" s="1182">
        <f t="shared" si="296"/>
        <v>0</v>
      </c>
      <c r="AY513" s="2881">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8">
        <f t="shared" si="292"/>
        <v>0</v>
      </c>
    </row>
    <row r="514" spans="1:72">
      <c r="A514" s="2833"/>
      <c r="B514" s="2834"/>
      <c r="C514" s="2834"/>
      <c r="D514" s="2835"/>
      <c r="E514" s="2836">
        <f t="shared" si="293"/>
        <v>0</v>
      </c>
      <c r="F514" s="2837"/>
      <c r="G514" s="2838">
        <f t="shared" si="268"/>
        <v>0</v>
      </c>
      <c r="H514" s="2839">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6">
        <f t="shared" si="270"/>
        <v>0</v>
      </c>
      <c r="AD514" s="2856"/>
      <c r="AE514" s="2856"/>
      <c r="AF514" s="2856"/>
      <c r="AG514" s="2856"/>
      <c r="AH514" s="2856"/>
      <c r="AI514" s="2856"/>
      <c r="AJ514" s="2856"/>
      <c r="AK514" s="2856"/>
      <c r="AL514" s="2856"/>
      <c r="AM514" s="2856"/>
      <c r="AN514" s="2856"/>
      <c r="AO514" s="2856"/>
      <c r="AP514" s="2856"/>
      <c r="AQ514" s="2856"/>
      <c r="AR514" s="2856"/>
      <c r="AS514" s="2856"/>
      <c r="AT514" s="2866"/>
      <c r="AU514" s="2867"/>
      <c r="AV514" s="1182">
        <f t="shared" si="294"/>
        <v>0</v>
      </c>
      <c r="AW514" s="1182">
        <f t="shared" si="295"/>
        <v>0</v>
      </c>
      <c r="AX514" s="1182">
        <f t="shared" si="296"/>
        <v>0</v>
      </c>
      <c r="AY514" s="2881">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8">
        <f t="shared" si="292"/>
        <v>0</v>
      </c>
    </row>
    <row r="515" spans="1:72">
      <c r="A515" s="2833"/>
      <c r="B515" s="2834"/>
      <c r="C515" s="2834"/>
      <c r="D515" s="2835"/>
      <c r="E515" s="2836">
        <f t="shared" si="293"/>
        <v>0</v>
      </c>
      <c r="F515" s="2837"/>
      <c r="G515" s="2838">
        <f t="shared" si="268"/>
        <v>0</v>
      </c>
      <c r="H515" s="2839">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6">
        <f t="shared" si="270"/>
        <v>0</v>
      </c>
      <c r="AD515" s="2856"/>
      <c r="AE515" s="2856"/>
      <c r="AF515" s="2856"/>
      <c r="AG515" s="2856"/>
      <c r="AH515" s="2856"/>
      <c r="AI515" s="2856"/>
      <c r="AJ515" s="2856"/>
      <c r="AK515" s="2856"/>
      <c r="AL515" s="2856"/>
      <c r="AM515" s="2856"/>
      <c r="AN515" s="2856"/>
      <c r="AO515" s="2856"/>
      <c r="AP515" s="2856"/>
      <c r="AQ515" s="2856"/>
      <c r="AR515" s="2856"/>
      <c r="AS515" s="2856"/>
      <c r="AT515" s="2866"/>
      <c r="AU515" s="2867"/>
      <c r="AV515" s="1182">
        <f t="shared" si="294"/>
        <v>0</v>
      </c>
      <c r="AW515" s="1182">
        <f t="shared" si="295"/>
        <v>0</v>
      </c>
      <c r="AX515" s="1182">
        <f t="shared" si="296"/>
        <v>0</v>
      </c>
      <c r="AY515" s="2881">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8">
        <f t="shared" si="292"/>
        <v>0</v>
      </c>
    </row>
    <row r="516" spans="1:72">
      <c r="A516" s="2833"/>
      <c r="B516" s="2834"/>
      <c r="C516" s="2834"/>
      <c r="D516" s="2835"/>
      <c r="E516" s="2836">
        <f t="shared" si="293"/>
        <v>0</v>
      </c>
      <c r="F516" s="2837"/>
      <c r="G516" s="2838">
        <f t="shared" si="268"/>
        <v>0</v>
      </c>
      <c r="H516" s="2839">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6">
        <f t="shared" si="270"/>
        <v>0</v>
      </c>
      <c r="AD516" s="2856"/>
      <c r="AE516" s="2856"/>
      <c r="AF516" s="2856"/>
      <c r="AG516" s="2856"/>
      <c r="AH516" s="2856"/>
      <c r="AI516" s="2856"/>
      <c r="AJ516" s="2856"/>
      <c r="AK516" s="2856"/>
      <c r="AL516" s="2856"/>
      <c r="AM516" s="2856"/>
      <c r="AN516" s="2856"/>
      <c r="AO516" s="2856"/>
      <c r="AP516" s="2856"/>
      <c r="AQ516" s="2856"/>
      <c r="AR516" s="2856"/>
      <c r="AS516" s="2856"/>
      <c r="AT516" s="2866"/>
      <c r="AU516" s="2867"/>
      <c r="AV516" s="1182">
        <f t="shared" si="294"/>
        <v>0</v>
      </c>
      <c r="AW516" s="1182">
        <f t="shared" si="295"/>
        <v>0</v>
      </c>
      <c r="AX516" s="1182">
        <f t="shared" si="296"/>
        <v>0</v>
      </c>
      <c r="AY516" s="2881">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8">
        <f t="shared" si="292"/>
        <v>0</v>
      </c>
    </row>
    <row r="517" spans="1:72">
      <c r="A517" s="2833"/>
      <c r="B517" s="2834"/>
      <c r="C517" s="2834"/>
      <c r="D517" s="2835"/>
      <c r="E517" s="2836">
        <f t="shared" si="293"/>
        <v>0</v>
      </c>
      <c r="F517" s="2837"/>
      <c r="G517" s="2838">
        <f t="shared" si="268"/>
        <v>0</v>
      </c>
      <c r="H517" s="2839">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6">
        <f t="shared" si="270"/>
        <v>0</v>
      </c>
      <c r="AD517" s="2856"/>
      <c r="AE517" s="2856"/>
      <c r="AF517" s="2856"/>
      <c r="AG517" s="2856"/>
      <c r="AH517" s="2856"/>
      <c r="AI517" s="2856"/>
      <c r="AJ517" s="2856"/>
      <c r="AK517" s="2856"/>
      <c r="AL517" s="2856"/>
      <c r="AM517" s="2856"/>
      <c r="AN517" s="2856"/>
      <c r="AO517" s="2856"/>
      <c r="AP517" s="2856"/>
      <c r="AQ517" s="2856"/>
      <c r="AR517" s="2856"/>
      <c r="AS517" s="2856"/>
      <c r="AT517" s="2866"/>
      <c r="AU517" s="2867"/>
      <c r="AV517" s="1182">
        <f t="shared" si="294"/>
        <v>0</v>
      </c>
      <c r="AW517" s="1182">
        <f t="shared" si="295"/>
        <v>0</v>
      </c>
      <c r="AX517" s="1182">
        <f t="shared" si="296"/>
        <v>0</v>
      </c>
      <c r="AY517" s="2881">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8">
        <f t="shared" si="292"/>
        <v>0</v>
      </c>
    </row>
    <row r="518" spans="1:72">
      <c r="A518" s="2833"/>
      <c r="B518" s="2834"/>
      <c r="C518" s="2834"/>
      <c r="D518" s="2835"/>
      <c r="E518" s="2836">
        <f t="shared" si="293"/>
        <v>0</v>
      </c>
      <c r="F518" s="2837"/>
      <c r="G518" s="2838">
        <f t="shared" si="268"/>
        <v>0</v>
      </c>
      <c r="H518" s="2839">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6">
        <f t="shared" si="270"/>
        <v>0</v>
      </c>
      <c r="AD518" s="2856"/>
      <c r="AE518" s="2856"/>
      <c r="AF518" s="2856"/>
      <c r="AG518" s="2856"/>
      <c r="AH518" s="2856"/>
      <c r="AI518" s="2856"/>
      <c r="AJ518" s="2856"/>
      <c r="AK518" s="2856"/>
      <c r="AL518" s="2856"/>
      <c r="AM518" s="2856"/>
      <c r="AN518" s="2856"/>
      <c r="AO518" s="2856"/>
      <c r="AP518" s="2856"/>
      <c r="AQ518" s="2856"/>
      <c r="AR518" s="2856"/>
      <c r="AS518" s="2856"/>
      <c r="AT518" s="2866"/>
      <c r="AU518" s="2867"/>
      <c r="AV518" s="1182">
        <f t="shared" si="294"/>
        <v>0</v>
      </c>
      <c r="AW518" s="1182">
        <f t="shared" si="295"/>
        <v>0</v>
      </c>
      <c r="AX518" s="1182">
        <f t="shared" si="296"/>
        <v>0</v>
      </c>
      <c r="AY518" s="2881">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8">
        <f t="shared" si="292"/>
        <v>0</v>
      </c>
    </row>
    <row r="519" spans="1:72">
      <c r="A519" s="2833"/>
      <c r="B519" s="2834"/>
      <c r="C519" s="2834"/>
      <c r="D519" s="2835"/>
      <c r="E519" s="2836">
        <f t="shared" si="293"/>
        <v>0</v>
      </c>
      <c r="F519" s="2837"/>
      <c r="G519" s="2838">
        <f t="shared" si="268"/>
        <v>0</v>
      </c>
      <c r="H519" s="2839">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6">
        <f t="shared" si="270"/>
        <v>0</v>
      </c>
      <c r="AD519" s="2856"/>
      <c r="AE519" s="2856"/>
      <c r="AF519" s="2856"/>
      <c r="AG519" s="2856"/>
      <c r="AH519" s="2856"/>
      <c r="AI519" s="2856"/>
      <c r="AJ519" s="2856"/>
      <c r="AK519" s="2856"/>
      <c r="AL519" s="2856"/>
      <c r="AM519" s="2856"/>
      <c r="AN519" s="2856"/>
      <c r="AO519" s="2856"/>
      <c r="AP519" s="2856"/>
      <c r="AQ519" s="2856"/>
      <c r="AR519" s="2856"/>
      <c r="AS519" s="2856"/>
      <c r="AT519" s="2866"/>
      <c r="AU519" s="2867"/>
      <c r="AV519" s="1182">
        <f t="shared" si="294"/>
        <v>0</v>
      </c>
      <c r="AW519" s="1182">
        <f t="shared" si="295"/>
        <v>0</v>
      </c>
      <c r="AX519" s="1182">
        <f t="shared" si="296"/>
        <v>0</v>
      </c>
      <c r="AY519" s="2881">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8">
        <f t="shared" si="292"/>
        <v>0</v>
      </c>
    </row>
    <row r="520" spans="1:72">
      <c r="A520" s="2833"/>
      <c r="B520" s="2834"/>
      <c r="C520" s="2834"/>
      <c r="D520" s="2835"/>
      <c r="E520" s="2836">
        <f t="shared" ref="E520:E551" si="297">IF($C$3="是",ROUND($A$3*G520/$B$3,2),ROUND($A$3*(G520-AT520)/$B$3,2))</f>
        <v>0</v>
      </c>
      <c r="F520" s="2837"/>
      <c r="G520" s="2838">
        <f t="shared" si="268"/>
        <v>0</v>
      </c>
      <c r="H520" s="2839">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6">
        <f t="shared" si="270"/>
        <v>0</v>
      </c>
      <c r="AD520" s="2856"/>
      <c r="AE520" s="2856"/>
      <c r="AF520" s="2856"/>
      <c r="AG520" s="2856"/>
      <c r="AH520" s="2856"/>
      <c r="AI520" s="2856"/>
      <c r="AJ520" s="2856"/>
      <c r="AK520" s="2856"/>
      <c r="AL520" s="2856"/>
      <c r="AM520" s="2856"/>
      <c r="AN520" s="2856"/>
      <c r="AO520" s="2856"/>
      <c r="AP520" s="2856"/>
      <c r="AQ520" s="2856"/>
      <c r="AR520" s="2856"/>
      <c r="AS520" s="2856"/>
      <c r="AT520" s="2866"/>
      <c r="AU520" s="2867"/>
      <c r="AV520" s="1182">
        <f t="shared" si="294"/>
        <v>0</v>
      </c>
      <c r="AW520" s="1182">
        <f t="shared" si="295"/>
        <v>0</v>
      </c>
      <c r="AX520" s="1182">
        <f t="shared" si="296"/>
        <v>0</v>
      </c>
      <c r="AY520" s="2881">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8">
        <f t="shared" si="292"/>
        <v>0</v>
      </c>
    </row>
    <row r="521" spans="1:72">
      <c r="A521" s="2833"/>
      <c r="B521" s="2834"/>
      <c r="C521" s="2834"/>
      <c r="D521" s="2835"/>
      <c r="E521" s="2836">
        <f t="shared" si="297"/>
        <v>0</v>
      </c>
      <c r="F521" s="2837"/>
      <c r="G521" s="2838">
        <f t="shared" si="268"/>
        <v>0</v>
      </c>
      <c r="H521" s="2839">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6">
        <f t="shared" si="270"/>
        <v>0</v>
      </c>
      <c r="AD521" s="2856"/>
      <c r="AE521" s="2856"/>
      <c r="AF521" s="2856"/>
      <c r="AG521" s="2856"/>
      <c r="AH521" s="2856"/>
      <c r="AI521" s="2856"/>
      <c r="AJ521" s="2856"/>
      <c r="AK521" s="2856"/>
      <c r="AL521" s="2856"/>
      <c r="AM521" s="2856"/>
      <c r="AN521" s="2856"/>
      <c r="AO521" s="2856"/>
      <c r="AP521" s="2856"/>
      <c r="AQ521" s="2856"/>
      <c r="AR521" s="2856"/>
      <c r="AS521" s="2856"/>
      <c r="AT521" s="2866"/>
      <c r="AU521" s="2867"/>
      <c r="AV521" s="1182">
        <f t="shared" ref="AV521:AV552" si="298">A521</f>
        <v>0</v>
      </c>
      <c r="AW521" s="1182">
        <f t="shared" ref="AW521:AW552" si="299">B521</f>
        <v>0</v>
      </c>
      <c r="AX521" s="1182">
        <f t="shared" ref="AX521:AX552" si="300">C521</f>
        <v>0</v>
      </c>
      <c r="AY521" s="2881">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8">
        <f t="shared" si="292"/>
        <v>0</v>
      </c>
    </row>
    <row r="522" spans="1:72">
      <c r="A522" s="2833"/>
      <c r="B522" s="2834"/>
      <c r="C522" s="2834"/>
      <c r="D522" s="2835"/>
      <c r="E522" s="2836">
        <f t="shared" si="297"/>
        <v>0</v>
      </c>
      <c r="F522" s="2837"/>
      <c r="G522" s="2838">
        <f t="shared" ref="G522:G552" si="301">H522+AC522+AT522</f>
        <v>0</v>
      </c>
      <c r="H522" s="2839">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6">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66"/>
      <c r="AU522" s="2867"/>
      <c r="AV522" s="1182">
        <f t="shared" si="298"/>
        <v>0</v>
      </c>
      <c r="AW522" s="1182">
        <f t="shared" si="299"/>
        <v>0</v>
      </c>
      <c r="AX522" s="1182">
        <f t="shared" si="300"/>
        <v>0</v>
      </c>
      <c r="AY522" s="2881">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8">
        <f t="shared" ref="BT522:BT552" si="325">IF($D522="是",AR522-AS522,0)</f>
        <v>0</v>
      </c>
    </row>
    <row r="523" spans="1:72">
      <c r="A523" s="2833"/>
      <c r="B523" s="2834"/>
      <c r="C523" s="2834"/>
      <c r="D523" s="2835"/>
      <c r="E523" s="2836">
        <f t="shared" si="297"/>
        <v>0</v>
      </c>
      <c r="F523" s="2837"/>
      <c r="G523" s="2838">
        <f t="shared" si="301"/>
        <v>0</v>
      </c>
      <c r="H523" s="2839">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6">
        <f t="shared" si="303"/>
        <v>0</v>
      </c>
      <c r="AD523" s="2856"/>
      <c r="AE523" s="2856"/>
      <c r="AF523" s="2856"/>
      <c r="AG523" s="2856"/>
      <c r="AH523" s="2856"/>
      <c r="AI523" s="2856"/>
      <c r="AJ523" s="2856"/>
      <c r="AK523" s="2856"/>
      <c r="AL523" s="2856"/>
      <c r="AM523" s="2856"/>
      <c r="AN523" s="2856"/>
      <c r="AO523" s="2856"/>
      <c r="AP523" s="2856"/>
      <c r="AQ523" s="2856"/>
      <c r="AR523" s="2856"/>
      <c r="AS523" s="2856"/>
      <c r="AT523" s="2866"/>
      <c r="AU523" s="2867"/>
      <c r="AV523" s="1182">
        <f t="shared" si="298"/>
        <v>0</v>
      </c>
      <c r="AW523" s="1182">
        <f t="shared" si="299"/>
        <v>0</v>
      </c>
      <c r="AX523" s="1182">
        <f t="shared" si="300"/>
        <v>0</v>
      </c>
      <c r="AY523" s="2881">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8">
        <f t="shared" si="325"/>
        <v>0</v>
      </c>
    </row>
    <row r="524" spans="1:72">
      <c r="A524" s="2833"/>
      <c r="B524" s="2834"/>
      <c r="C524" s="2834"/>
      <c r="D524" s="2835"/>
      <c r="E524" s="2836">
        <f t="shared" si="297"/>
        <v>0</v>
      </c>
      <c r="F524" s="2837"/>
      <c r="G524" s="2838">
        <f t="shared" si="301"/>
        <v>0</v>
      </c>
      <c r="H524" s="2839">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6">
        <f t="shared" si="303"/>
        <v>0</v>
      </c>
      <c r="AD524" s="2856"/>
      <c r="AE524" s="2856"/>
      <c r="AF524" s="2856"/>
      <c r="AG524" s="2856"/>
      <c r="AH524" s="2856"/>
      <c r="AI524" s="2856"/>
      <c r="AJ524" s="2856"/>
      <c r="AK524" s="2856"/>
      <c r="AL524" s="2856"/>
      <c r="AM524" s="2856"/>
      <c r="AN524" s="2856"/>
      <c r="AO524" s="2856"/>
      <c r="AP524" s="2856"/>
      <c r="AQ524" s="2856"/>
      <c r="AR524" s="2856"/>
      <c r="AS524" s="2856"/>
      <c r="AT524" s="2866"/>
      <c r="AU524" s="2867"/>
      <c r="AV524" s="1182">
        <f t="shared" si="298"/>
        <v>0</v>
      </c>
      <c r="AW524" s="1182">
        <f t="shared" si="299"/>
        <v>0</v>
      </c>
      <c r="AX524" s="1182">
        <f t="shared" si="300"/>
        <v>0</v>
      </c>
      <c r="AY524" s="2881">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8">
        <f t="shared" si="325"/>
        <v>0</v>
      </c>
    </row>
    <row r="525" spans="1:72">
      <c r="A525" s="2833"/>
      <c r="B525" s="2834"/>
      <c r="C525" s="2834"/>
      <c r="D525" s="2835"/>
      <c r="E525" s="2836">
        <f t="shared" si="297"/>
        <v>0</v>
      </c>
      <c r="F525" s="2837"/>
      <c r="G525" s="2838">
        <f t="shared" si="301"/>
        <v>0</v>
      </c>
      <c r="H525" s="2839">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6">
        <f t="shared" si="303"/>
        <v>0</v>
      </c>
      <c r="AD525" s="2856"/>
      <c r="AE525" s="2856"/>
      <c r="AF525" s="2856"/>
      <c r="AG525" s="2856"/>
      <c r="AH525" s="2856"/>
      <c r="AI525" s="2856"/>
      <c r="AJ525" s="2856"/>
      <c r="AK525" s="2856"/>
      <c r="AL525" s="2856"/>
      <c r="AM525" s="2856"/>
      <c r="AN525" s="2856"/>
      <c r="AO525" s="2856"/>
      <c r="AP525" s="2856"/>
      <c r="AQ525" s="2856"/>
      <c r="AR525" s="2856"/>
      <c r="AS525" s="2856"/>
      <c r="AT525" s="2866"/>
      <c r="AU525" s="2867"/>
      <c r="AV525" s="1182">
        <f t="shared" si="298"/>
        <v>0</v>
      </c>
      <c r="AW525" s="1182">
        <f t="shared" si="299"/>
        <v>0</v>
      </c>
      <c r="AX525" s="1182">
        <f t="shared" si="300"/>
        <v>0</v>
      </c>
      <c r="AY525" s="2881">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8">
        <f t="shared" si="325"/>
        <v>0</v>
      </c>
    </row>
    <row r="526" spans="1:72">
      <c r="A526" s="2833"/>
      <c r="B526" s="2834"/>
      <c r="C526" s="2834"/>
      <c r="D526" s="2835"/>
      <c r="E526" s="2836">
        <f t="shared" si="297"/>
        <v>0</v>
      </c>
      <c r="F526" s="2837"/>
      <c r="G526" s="2838">
        <f t="shared" si="301"/>
        <v>0</v>
      </c>
      <c r="H526" s="2839">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6">
        <f t="shared" si="303"/>
        <v>0</v>
      </c>
      <c r="AD526" s="2856"/>
      <c r="AE526" s="2856"/>
      <c r="AF526" s="2856"/>
      <c r="AG526" s="2856"/>
      <c r="AH526" s="2856"/>
      <c r="AI526" s="2856"/>
      <c r="AJ526" s="2856"/>
      <c r="AK526" s="2856"/>
      <c r="AL526" s="2856"/>
      <c r="AM526" s="2856"/>
      <c r="AN526" s="2856"/>
      <c r="AO526" s="2856"/>
      <c r="AP526" s="2856"/>
      <c r="AQ526" s="2856"/>
      <c r="AR526" s="2856"/>
      <c r="AS526" s="2856"/>
      <c r="AT526" s="2866"/>
      <c r="AU526" s="2867"/>
      <c r="AV526" s="1182">
        <f t="shared" si="298"/>
        <v>0</v>
      </c>
      <c r="AW526" s="1182">
        <f t="shared" si="299"/>
        <v>0</v>
      </c>
      <c r="AX526" s="1182">
        <f t="shared" si="300"/>
        <v>0</v>
      </c>
      <c r="AY526" s="2881">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8">
        <f t="shared" si="325"/>
        <v>0</v>
      </c>
    </row>
    <row r="527" spans="1:72">
      <c r="A527" s="2833"/>
      <c r="B527" s="2834"/>
      <c r="C527" s="2834"/>
      <c r="D527" s="2835"/>
      <c r="E527" s="2836">
        <f t="shared" si="297"/>
        <v>0</v>
      </c>
      <c r="F527" s="2837"/>
      <c r="G527" s="2838">
        <f t="shared" si="301"/>
        <v>0</v>
      </c>
      <c r="H527" s="2839">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6">
        <f t="shared" si="303"/>
        <v>0</v>
      </c>
      <c r="AD527" s="2856"/>
      <c r="AE527" s="2856"/>
      <c r="AF527" s="2856"/>
      <c r="AG527" s="2856"/>
      <c r="AH527" s="2856"/>
      <c r="AI527" s="2856"/>
      <c r="AJ527" s="2856"/>
      <c r="AK527" s="2856"/>
      <c r="AL527" s="2856"/>
      <c r="AM527" s="2856"/>
      <c r="AN527" s="2856"/>
      <c r="AO527" s="2856"/>
      <c r="AP527" s="2856"/>
      <c r="AQ527" s="2856"/>
      <c r="AR527" s="2856"/>
      <c r="AS527" s="2856"/>
      <c r="AT527" s="2866"/>
      <c r="AU527" s="2867"/>
      <c r="AV527" s="1182">
        <f t="shared" si="298"/>
        <v>0</v>
      </c>
      <c r="AW527" s="1182">
        <f t="shared" si="299"/>
        <v>0</v>
      </c>
      <c r="AX527" s="1182">
        <f t="shared" si="300"/>
        <v>0</v>
      </c>
      <c r="AY527" s="2881">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8">
        <f t="shared" si="325"/>
        <v>0</v>
      </c>
    </row>
    <row r="528" spans="1:72">
      <c r="A528" s="2833"/>
      <c r="B528" s="2834"/>
      <c r="C528" s="2834"/>
      <c r="D528" s="2835"/>
      <c r="E528" s="2836">
        <f t="shared" si="297"/>
        <v>0</v>
      </c>
      <c r="F528" s="2837"/>
      <c r="G528" s="2838">
        <f t="shared" si="301"/>
        <v>0</v>
      </c>
      <c r="H528" s="2839">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6">
        <f t="shared" si="303"/>
        <v>0</v>
      </c>
      <c r="AD528" s="2856"/>
      <c r="AE528" s="2856"/>
      <c r="AF528" s="2856"/>
      <c r="AG528" s="2856"/>
      <c r="AH528" s="2856"/>
      <c r="AI528" s="2856"/>
      <c r="AJ528" s="2856"/>
      <c r="AK528" s="2856"/>
      <c r="AL528" s="2856"/>
      <c r="AM528" s="2856"/>
      <c r="AN528" s="2856"/>
      <c r="AO528" s="2856"/>
      <c r="AP528" s="2856"/>
      <c r="AQ528" s="2856"/>
      <c r="AR528" s="2856"/>
      <c r="AS528" s="2856"/>
      <c r="AT528" s="2866"/>
      <c r="AU528" s="2867"/>
      <c r="AV528" s="1182">
        <f t="shared" si="298"/>
        <v>0</v>
      </c>
      <c r="AW528" s="1182">
        <f t="shared" si="299"/>
        <v>0</v>
      </c>
      <c r="AX528" s="1182">
        <f t="shared" si="300"/>
        <v>0</v>
      </c>
      <c r="AY528" s="2881">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8">
        <f t="shared" si="325"/>
        <v>0</v>
      </c>
    </row>
    <row r="529" spans="1:72">
      <c r="A529" s="2833"/>
      <c r="B529" s="2834"/>
      <c r="C529" s="2834"/>
      <c r="D529" s="2835"/>
      <c r="E529" s="2836">
        <f t="shared" si="297"/>
        <v>0</v>
      </c>
      <c r="F529" s="2837"/>
      <c r="G529" s="2838">
        <f t="shared" si="301"/>
        <v>0</v>
      </c>
      <c r="H529" s="2839">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6">
        <f t="shared" si="303"/>
        <v>0</v>
      </c>
      <c r="AD529" s="2856"/>
      <c r="AE529" s="2856"/>
      <c r="AF529" s="2856"/>
      <c r="AG529" s="2856"/>
      <c r="AH529" s="2856"/>
      <c r="AI529" s="2856"/>
      <c r="AJ529" s="2856"/>
      <c r="AK529" s="2856"/>
      <c r="AL529" s="2856"/>
      <c r="AM529" s="2856"/>
      <c r="AN529" s="2856"/>
      <c r="AO529" s="2856"/>
      <c r="AP529" s="2856"/>
      <c r="AQ529" s="2856"/>
      <c r="AR529" s="2856"/>
      <c r="AS529" s="2856"/>
      <c r="AT529" s="2866"/>
      <c r="AU529" s="2867"/>
      <c r="AV529" s="1182">
        <f t="shared" si="298"/>
        <v>0</v>
      </c>
      <c r="AW529" s="1182">
        <f t="shared" si="299"/>
        <v>0</v>
      </c>
      <c r="AX529" s="1182">
        <f t="shared" si="300"/>
        <v>0</v>
      </c>
      <c r="AY529" s="2881">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8">
        <f t="shared" si="325"/>
        <v>0</v>
      </c>
    </row>
    <row r="530" spans="1:72">
      <c r="A530" s="2833"/>
      <c r="B530" s="2834"/>
      <c r="C530" s="2834"/>
      <c r="D530" s="2835"/>
      <c r="E530" s="2836">
        <f t="shared" si="297"/>
        <v>0</v>
      </c>
      <c r="F530" s="2837"/>
      <c r="G530" s="2838">
        <f t="shared" si="301"/>
        <v>0</v>
      </c>
      <c r="H530" s="2839">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6">
        <f t="shared" si="303"/>
        <v>0</v>
      </c>
      <c r="AD530" s="2856"/>
      <c r="AE530" s="2856"/>
      <c r="AF530" s="2856"/>
      <c r="AG530" s="2856"/>
      <c r="AH530" s="2856"/>
      <c r="AI530" s="2856"/>
      <c r="AJ530" s="2856"/>
      <c r="AK530" s="2856"/>
      <c r="AL530" s="2856"/>
      <c r="AM530" s="2856"/>
      <c r="AN530" s="2856"/>
      <c r="AO530" s="2856"/>
      <c r="AP530" s="2856"/>
      <c r="AQ530" s="2856"/>
      <c r="AR530" s="2856"/>
      <c r="AS530" s="2856"/>
      <c r="AT530" s="2866"/>
      <c r="AU530" s="2867"/>
      <c r="AV530" s="1182">
        <f t="shared" si="298"/>
        <v>0</v>
      </c>
      <c r="AW530" s="1182">
        <f t="shared" si="299"/>
        <v>0</v>
      </c>
      <c r="AX530" s="1182">
        <f t="shared" si="300"/>
        <v>0</v>
      </c>
      <c r="AY530" s="2881">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8">
        <f t="shared" si="325"/>
        <v>0</v>
      </c>
    </row>
    <row r="531" spans="1:72">
      <c r="A531" s="2833"/>
      <c r="B531" s="2834"/>
      <c r="C531" s="2834"/>
      <c r="D531" s="2835"/>
      <c r="E531" s="2836">
        <f t="shared" si="297"/>
        <v>0</v>
      </c>
      <c r="F531" s="2837"/>
      <c r="G531" s="2838">
        <f t="shared" si="301"/>
        <v>0</v>
      </c>
      <c r="H531" s="2839">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6">
        <f t="shared" si="303"/>
        <v>0</v>
      </c>
      <c r="AD531" s="2856"/>
      <c r="AE531" s="2856"/>
      <c r="AF531" s="2856"/>
      <c r="AG531" s="2856"/>
      <c r="AH531" s="2856"/>
      <c r="AI531" s="2856"/>
      <c r="AJ531" s="2856"/>
      <c r="AK531" s="2856"/>
      <c r="AL531" s="2856"/>
      <c r="AM531" s="2856"/>
      <c r="AN531" s="2856"/>
      <c r="AO531" s="2856"/>
      <c r="AP531" s="2856"/>
      <c r="AQ531" s="2856"/>
      <c r="AR531" s="2856"/>
      <c r="AS531" s="2856"/>
      <c r="AT531" s="2866"/>
      <c r="AU531" s="2867"/>
      <c r="AV531" s="1182">
        <f t="shared" si="298"/>
        <v>0</v>
      </c>
      <c r="AW531" s="1182">
        <f t="shared" si="299"/>
        <v>0</v>
      </c>
      <c r="AX531" s="1182">
        <f t="shared" si="300"/>
        <v>0</v>
      </c>
      <c r="AY531" s="2881">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8">
        <f t="shared" si="325"/>
        <v>0</v>
      </c>
    </row>
    <row r="532" spans="1:72">
      <c r="A532" s="2833"/>
      <c r="B532" s="2834"/>
      <c r="C532" s="2834"/>
      <c r="D532" s="2835"/>
      <c r="E532" s="2836">
        <f t="shared" si="297"/>
        <v>0</v>
      </c>
      <c r="F532" s="2837"/>
      <c r="G532" s="2838">
        <f t="shared" si="301"/>
        <v>0</v>
      </c>
      <c r="H532" s="2839">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6">
        <f t="shared" si="303"/>
        <v>0</v>
      </c>
      <c r="AD532" s="2856"/>
      <c r="AE532" s="2856"/>
      <c r="AF532" s="2856"/>
      <c r="AG532" s="2856"/>
      <c r="AH532" s="2856"/>
      <c r="AI532" s="2856"/>
      <c r="AJ532" s="2856"/>
      <c r="AK532" s="2856"/>
      <c r="AL532" s="2856"/>
      <c r="AM532" s="2856"/>
      <c r="AN532" s="2856"/>
      <c r="AO532" s="2856"/>
      <c r="AP532" s="2856"/>
      <c r="AQ532" s="2856"/>
      <c r="AR532" s="2856"/>
      <c r="AS532" s="2856"/>
      <c r="AT532" s="2866"/>
      <c r="AU532" s="2867"/>
      <c r="AV532" s="1182">
        <f t="shared" si="298"/>
        <v>0</v>
      </c>
      <c r="AW532" s="1182">
        <f t="shared" si="299"/>
        <v>0</v>
      </c>
      <c r="AX532" s="1182">
        <f t="shared" si="300"/>
        <v>0</v>
      </c>
      <c r="AY532" s="2881">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8">
        <f t="shared" si="325"/>
        <v>0</v>
      </c>
    </row>
    <row r="533" spans="1:72">
      <c r="A533" s="2833"/>
      <c r="B533" s="2834"/>
      <c r="C533" s="2834"/>
      <c r="D533" s="2835"/>
      <c r="E533" s="2836">
        <f t="shared" si="297"/>
        <v>0</v>
      </c>
      <c r="F533" s="2837"/>
      <c r="G533" s="2838">
        <f t="shared" si="301"/>
        <v>0</v>
      </c>
      <c r="H533" s="2839">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6">
        <f t="shared" si="303"/>
        <v>0</v>
      </c>
      <c r="AD533" s="2856"/>
      <c r="AE533" s="2856"/>
      <c r="AF533" s="2856"/>
      <c r="AG533" s="2856"/>
      <c r="AH533" s="2856"/>
      <c r="AI533" s="2856"/>
      <c r="AJ533" s="2856"/>
      <c r="AK533" s="2856"/>
      <c r="AL533" s="2856"/>
      <c r="AM533" s="2856"/>
      <c r="AN533" s="2856"/>
      <c r="AO533" s="2856"/>
      <c r="AP533" s="2856"/>
      <c r="AQ533" s="2856"/>
      <c r="AR533" s="2856"/>
      <c r="AS533" s="2856"/>
      <c r="AT533" s="2866"/>
      <c r="AU533" s="2867"/>
      <c r="AV533" s="1182">
        <f t="shared" si="298"/>
        <v>0</v>
      </c>
      <c r="AW533" s="1182">
        <f t="shared" si="299"/>
        <v>0</v>
      </c>
      <c r="AX533" s="1182">
        <f t="shared" si="300"/>
        <v>0</v>
      </c>
      <c r="AY533" s="2881">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8">
        <f t="shared" si="325"/>
        <v>0</v>
      </c>
    </row>
    <row r="534" spans="1:72">
      <c r="A534" s="2833"/>
      <c r="B534" s="2834"/>
      <c r="C534" s="2834"/>
      <c r="D534" s="2835"/>
      <c r="E534" s="2836">
        <f t="shared" si="297"/>
        <v>0</v>
      </c>
      <c r="F534" s="2837"/>
      <c r="G534" s="2838">
        <f t="shared" si="301"/>
        <v>0</v>
      </c>
      <c r="H534" s="2839">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6">
        <f t="shared" si="303"/>
        <v>0</v>
      </c>
      <c r="AD534" s="2856"/>
      <c r="AE534" s="2856"/>
      <c r="AF534" s="2856"/>
      <c r="AG534" s="2856"/>
      <c r="AH534" s="2856"/>
      <c r="AI534" s="2856"/>
      <c r="AJ534" s="2856"/>
      <c r="AK534" s="2856"/>
      <c r="AL534" s="2856"/>
      <c r="AM534" s="2856"/>
      <c r="AN534" s="2856"/>
      <c r="AO534" s="2856"/>
      <c r="AP534" s="2856"/>
      <c r="AQ534" s="2856"/>
      <c r="AR534" s="2856"/>
      <c r="AS534" s="2856"/>
      <c r="AT534" s="2866"/>
      <c r="AU534" s="2867"/>
      <c r="AV534" s="1182">
        <f t="shared" si="298"/>
        <v>0</v>
      </c>
      <c r="AW534" s="1182">
        <f t="shared" si="299"/>
        <v>0</v>
      </c>
      <c r="AX534" s="1182">
        <f t="shared" si="300"/>
        <v>0</v>
      </c>
      <c r="AY534" s="2881">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8">
        <f t="shared" si="325"/>
        <v>0</v>
      </c>
    </row>
    <row r="535" spans="1:72">
      <c r="A535" s="2833"/>
      <c r="B535" s="2834"/>
      <c r="C535" s="2834"/>
      <c r="D535" s="2835"/>
      <c r="E535" s="2836">
        <f t="shared" si="297"/>
        <v>0</v>
      </c>
      <c r="F535" s="2837"/>
      <c r="G535" s="2838">
        <f t="shared" si="301"/>
        <v>0</v>
      </c>
      <c r="H535" s="2839">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6">
        <f t="shared" si="303"/>
        <v>0</v>
      </c>
      <c r="AD535" s="2856"/>
      <c r="AE535" s="2856"/>
      <c r="AF535" s="2856"/>
      <c r="AG535" s="2856"/>
      <c r="AH535" s="2856"/>
      <c r="AI535" s="2856"/>
      <c r="AJ535" s="2856"/>
      <c r="AK535" s="2856"/>
      <c r="AL535" s="2856"/>
      <c r="AM535" s="2856"/>
      <c r="AN535" s="2856"/>
      <c r="AO535" s="2856"/>
      <c r="AP535" s="2856"/>
      <c r="AQ535" s="2856"/>
      <c r="AR535" s="2856"/>
      <c r="AS535" s="2856"/>
      <c r="AT535" s="2866"/>
      <c r="AU535" s="2867"/>
      <c r="AV535" s="1182">
        <f t="shared" si="298"/>
        <v>0</v>
      </c>
      <c r="AW535" s="1182">
        <f t="shared" si="299"/>
        <v>0</v>
      </c>
      <c r="AX535" s="1182">
        <f t="shared" si="300"/>
        <v>0</v>
      </c>
      <c r="AY535" s="2881">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8">
        <f t="shared" si="325"/>
        <v>0</v>
      </c>
    </row>
    <row r="536" spans="1:72">
      <c r="A536" s="2833"/>
      <c r="B536" s="2834"/>
      <c r="C536" s="2834"/>
      <c r="D536" s="2835"/>
      <c r="E536" s="2836">
        <f t="shared" si="297"/>
        <v>0</v>
      </c>
      <c r="F536" s="2837"/>
      <c r="G536" s="2838">
        <f t="shared" si="301"/>
        <v>0</v>
      </c>
      <c r="H536" s="2839">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6">
        <f t="shared" si="303"/>
        <v>0</v>
      </c>
      <c r="AD536" s="2856"/>
      <c r="AE536" s="2856"/>
      <c r="AF536" s="2856"/>
      <c r="AG536" s="2856"/>
      <c r="AH536" s="2856"/>
      <c r="AI536" s="2856"/>
      <c r="AJ536" s="2856"/>
      <c r="AK536" s="2856"/>
      <c r="AL536" s="2856"/>
      <c r="AM536" s="2856"/>
      <c r="AN536" s="2856"/>
      <c r="AO536" s="2856"/>
      <c r="AP536" s="2856"/>
      <c r="AQ536" s="2856"/>
      <c r="AR536" s="2856"/>
      <c r="AS536" s="2856"/>
      <c r="AT536" s="2866"/>
      <c r="AU536" s="2867"/>
      <c r="AV536" s="1182">
        <f t="shared" si="298"/>
        <v>0</v>
      </c>
      <c r="AW536" s="1182">
        <f t="shared" si="299"/>
        <v>0</v>
      </c>
      <c r="AX536" s="1182">
        <f t="shared" si="300"/>
        <v>0</v>
      </c>
      <c r="AY536" s="2881">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8">
        <f t="shared" si="325"/>
        <v>0</v>
      </c>
    </row>
    <row r="537" spans="1:72">
      <c r="A537" s="2833"/>
      <c r="B537" s="2834"/>
      <c r="C537" s="2834"/>
      <c r="D537" s="2835"/>
      <c r="E537" s="2836">
        <f t="shared" si="297"/>
        <v>0</v>
      </c>
      <c r="F537" s="2837"/>
      <c r="G537" s="2838">
        <f t="shared" si="301"/>
        <v>0</v>
      </c>
      <c r="H537" s="2839">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6">
        <f t="shared" si="303"/>
        <v>0</v>
      </c>
      <c r="AD537" s="2856"/>
      <c r="AE537" s="2856"/>
      <c r="AF537" s="2856"/>
      <c r="AG537" s="2856"/>
      <c r="AH537" s="2856"/>
      <c r="AI537" s="2856"/>
      <c r="AJ537" s="2856"/>
      <c r="AK537" s="2856"/>
      <c r="AL537" s="2856"/>
      <c r="AM537" s="2856"/>
      <c r="AN537" s="2856"/>
      <c r="AO537" s="2856"/>
      <c r="AP537" s="2856"/>
      <c r="AQ537" s="2856"/>
      <c r="AR537" s="2856"/>
      <c r="AS537" s="2856"/>
      <c r="AT537" s="2866"/>
      <c r="AU537" s="2867"/>
      <c r="AV537" s="1182">
        <f t="shared" si="298"/>
        <v>0</v>
      </c>
      <c r="AW537" s="1182">
        <f t="shared" si="299"/>
        <v>0</v>
      </c>
      <c r="AX537" s="1182">
        <f t="shared" si="300"/>
        <v>0</v>
      </c>
      <c r="AY537" s="2881">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8">
        <f t="shared" si="325"/>
        <v>0</v>
      </c>
    </row>
    <row r="538" spans="1:72">
      <c r="A538" s="2833"/>
      <c r="B538" s="2834"/>
      <c r="C538" s="2834"/>
      <c r="D538" s="2835"/>
      <c r="E538" s="2836">
        <f t="shared" si="297"/>
        <v>0</v>
      </c>
      <c r="F538" s="2837"/>
      <c r="G538" s="2838">
        <f t="shared" si="301"/>
        <v>0</v>
      </c>
      <c r="H538" s="2839">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6">
        <f t="shared" si="303"/>
        <v>0</v>
      </c>
      <c r="AD538" s="2856"/>
      <c r="AE538" s="2856"/>
      <c r="AF538" s="2856"/>
      <c r="AG538" s="2856"/>
      <c r="AH538" s="2856"/>
      <c r="AI538" s="2856"/>
      <c r="AJ538" s="2856"/>
      <c r="AK538" s="2856"/>
      <c r="AL538" s="2856"/>
      <c r="AM538" s="2856"/>
      <c r="AN538" s="2856"/>
      <c r="AO538" s="2856"/>
      <c r="AP538" s="2856"/>
      <c r="AQ538" s="2856"/>
      <c r="AR538" s="2856"/>
      <c r="AS538" s="2856"/>
      <c r="AT538" s="2866"/>
      <c r="AU538" s="2867"/>
      <c r="AV538" s="1182">
        <f t="shared" si="298"/>
        <v>0</v>
      </c>
      <c r="AW538" s="1182">
        <f t="shared" si="299"/>
        <v>0</v>
      </c>
      <c r="AX538" s="1182">
        <f t="shared" si="300"/>
        <v>0</v>
      </c>
      <c r="AY538" s="2881">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8">
        <f t="shared" si="325"/>
        <v>0</v>
      </c>
    </row>
    <row r="539" spans="1:72">
      <c r="A539" s="2833"/>
      <c r="B539" s="2834"/>
      <c r="C539" s="2834"/>
      <c r="D539" s="2835"/>
      <c r="E539" s="2836">
        <f t="shared" si="297"/>
        <v>0</v>
      </c>
      <c r="F539" s="2837"/>
      <c r="G539" s="2838">
        <f t="shared" si="301"/>
        <v>0</v>
      </c>
      <c r="H539" s="2839">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6">
        <f t="shared" si="303"/>
        <v>0</v>
      </c>
      <c r="AD539" s="2856"/>
      <c r="AE539" s="2856"/>
      <c r="AF539" s="2856"/>
      <c r="AG539" s="2856"/>
      <c r="AH539" s="2856"/>
      <c r="AI539" s="2856"/>
      <c r="AJ539" s="2856"/>
      <c r="AK539" s="2856"/>
      <c r="AL539" s="2856"/>
      <c r="AM539" s="2856"/>
      <c r="AN539" s="2856"/>
      <c r="AO539" s="2856"/>
      <c r="AP539" s="2856"/>
      <c r="AQ539" s="2856"/>
      <c r="AR539" s="2856"/>
      <c r="AS539" s="2856"/>
      <c r="AT539" s="2866"/>
      <c r="AU539" s="2867"/>
      <c r="AV539" s="1182">
        <f t="shared" si="298"/>
        <v>0</v>
      </c>
      <c r="AW539" s="1182">
        <f t="shared" si="299"/>
        <v>0</v>
      </c>
      <c r="AX539" s="1182">
        <f t="shared" si="300"/>
        <v>0</v>
      </c>
      <c r="AY539" s="2881">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8">
        <f t="shared" si="325"/>
        <v>0</v>
      </c>
    </row>
    <row r="540" spans="1:72">
      <c r="A540" s="2833"/>
      <c r="B540" s="2834"/>
      <c r="C540" s="2834"/>
      <c r="D540" s="2835"/>
      <c r="E540" s="2836">
        <f t="shared" si="297"/>
        <v>0</v>
      </c>
      <c r="F540" s="2837"/>
      <c r="G540" s="2838">
        <f t="shared" si="301"/>
        <v>0</v>
      </c>
      <c r="H540" s="2839">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6">
        <f t="shared" si="303"/>
        <v>0</v>
      </c>
      <c r="AD540" s="2856"/>
      <c r="AE540" s="2856"/>
      <c r="AF540" s="2856"/>
      <c r="AG540" s="2856"/>
      <c r="AH540" s="2856"/>
      <c r="AI540" s="2856"/>
      <c r="AJ540" s="2856"/>
      <c r="AK540" s="2856"/>
      <c r="AL540" s="2856"/>
      <c r="AM540" s="2856"/>
      <c r="AN540" s="2856"/>
      <c r="AO540" s="2856"/>
      <c r="AP540" s="2856"/>
      <c r="AQ540" s="2856"/>
      <c r="AR540" s="2856"/>
      <c r="AS540" s="2856"/>
      <c r="AT540" s="2866"/>
      <c r="AU540" s="2867"/>
      <c r="AV540" s="1182">
        <f t="shared" si="298"/>
        <v>0</v>
      </c>
      <c r="AW540" s="1182">
        <f t="shared" si="299"/>
        <v>0</v>
      </c>
      <c r="AX540" s="1182">
        <f t="shared" si="300"/>
        <v>0</v>
      </c>
      <c r="AY540" s="2881">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8">
        <f t="shared" si="325"/>
        <v>0</v>
      </c>
    </row>
    <row r="541" spans="1:72">
      <c r="A541" s="2833"/>
      <c r="B541" s="2834"/>
      <c r="C541" s="2834"/>
      <c r="D541" s="2835"/>
      <c r="E541" s="2836">
        <f t="shared" si="297"/>
        <v>0</v>
      </c>
      <c r="F541" s="2837"/>
      <c r="G541" s="2838">
        <f t="shared" si="301"/>
        <v>0</v>
      </c>
      <c r="H541" s="2839">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6">
        <f t="shared" si="303"/>
        <v>0</v>
      </c>
      <c r="AD541" s="2856"/>
      <c r="AE541" s="2856"/>
      <c r="AF541" s="2856"/>
      <c r="AG541" s="2856"/>
      <c r="AH541" s="2856"/>
      <c r="AI541" s="2856"/>
      <c r="AJ541" s="2856"/>
      <c r="AK541" s="2856"/>
      <c r="AL541" s="2856"/>
      <c r="AM541" s="2856"/>
      <c r="AN541" s="2856"/>
      <c r="AO541" s="2856"/>
      <c r="AP541" s="2856"/>
      <c r="AQ541" s="2856"/>
      <c r="AR541" s="2856"/>
      <c r="AS541" s="2856"/>
      <c r="AT541" s="2866"/>
      <c r="AU541" s="2867"/>
      <c r="AV541" s="1182">
        <f t="shared" si="298"/>
        <v>0</v>
      </c>
      <c r="AW541" s="1182">
        <f t="shared" si="299"/>
        <v>0</v>
      </c>
      <c r="AX541" s="1182">
        <f t="shared" si="300"/>
        <v>0</v>
      </c>
      <c r="AY541" s="2881">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8">
        <f t="shared" si="325"/>
        <v>0</v>
      </c>
    </row>
    <row r="542" spans="1:72">
      <c r="A542" s="2833"/>
      <c r="B542" s="2834"/>
      <c r="C542" s="2834"/>
      <c r="D542" s="2835"/>
      <c r="E542" s="2836">
        <f t="shared" si="297"/>
        <v>0</v>
      </c>
      <c r="F542" s="2837"/>
      <c r="G542" s="2838">
        <f t="shared" si="301"/>
        <v>0</v>
      </c>
      <c r="H542" s="2839">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6">
        <f t="shared" si="303"/>
        <v>0</v>
      </c>
      <c r="AD542" s="2856"/>
      <c r="AE542" s="2856"/>
      <c r="AF542" s="2856"/>
      <c r="AG542" s="2856"/>
      <c r="AH542" s="2856"/>
      <c r="AI542" s="2856"/>
      <c r="AJ542" s="2856"/>
      <c r="AK542" s="2856"/>
      <c r="AL542" s="2856"/>
      <c r="AM542" s="2856"/>
      <c r="AN542" s="2856"/>
      <c r="AO542" s="2856"/>
      <c r="AP542" s="2856"/>
      <c r="AQ542" s="2856"/>
      <c r="AR542" s="2856"/>
      <c r="AS542" s="2856"/>
      <c r="AT542" s="2866"/>
      <c r="AU542" s="2867"/>
      <c r="AV542" s="1182">
        <f t="shared" si="298"/>
        <v>0</v>
      </c>
      <c r="AW542" s="1182">
        <f t="shared" si="299"/>
        <v>0</v>
      </c>
      <c r="AX542" s="1182">
        <f t="shared" si="300"/>
        <v>0</v>
      </c>
      <c r="AY542" s="2881">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8">
        <f t="shared" si="325"/>
        <v>0</v>
      </c>
    </row>
    <row r="543" spans="1:72">
      <c r="A543" s="2833"/>
      <c r="B543" s="2834"/>
      <c r="C543" s="2834"/>
      <c r="D543" s="2835"/>
      <c r="E543" s="2836">
        <f t="shared" si="297"/>
        <v>0</v>
      </c>
      <c r="F543" s="2837"/>
      <c r="G543" s="2838">
        <f t="shared" si="301"/>
        <v>0</v>
      </c>
      <c r="H543" s="2839">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6">
        <f t="shared" si="303"/>
        <v>0</v>
      </c>
      <c r="AD543" s="2856"/>
      <c r="AE543" s="2856"/>
      <c r="AF543" s="2856"/>
      <c r="AG543" s="2856"/>
      <c r="AH543" s="2856"/>
      <c r="AI543" s="2856"/>
      <c r="AJ543" s="2856"/>
      <c r="AK543" s="2856"/>
      <c r="AL543" s="2856"/>
      <c r="AM543" s="2856"/>
      <c r="AN543" s="2856"/>
      <c r="AO543" s="2856"/>
      <c r="AP543" s="2856"/>
      <c r="AQ543" s="2856"/>
      <c r="AR543" s="2856"/>
      <c r="AS543" s="2856"/>
      <c r="AT543" s="2866"/>
      <c r="AU543" s="2867"/>
      <c r="AV543" s="1182">
        <f t="shared" si="298"/>
        <v>0</v>
      </c>
      <c r="AW543" s="1182">
        <f t="shared" si="299"/>
        <v>0</v>
      </c>
      <c r="AX543" s="1182">
        <f t="shared" si="300"/>
        <v>0</v>
      </c>
      <c r="AY543" s="2881">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8">
        <f t="shared" si="325"/>
        <v>0</v>
      </c>
    </row>
    <row r="544" spans="1:72">
      <c r="A544" s="2833"/>
      <c r="B544" s="2834"/>
      <c r="C544" s="2834"/>
      <c r="D544" s="2835"/>
      <c r="E544" s="2836">
        <f t="shared" si="297"/>
        <v>0</v>
      </c>
      <c r="F544" s="2837"/>
      <c r="G544" s="2838">
        <f t="shared" si="301"/>
        <v>0</v>
      </c>
      <c r="H544" s="2839">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6">
        <f t="shared" si="303"/>
        <v>0</v>
      </c>
      <c r="AD544" s="2856"/>
      <c r="AE544" s="2856"/>
      <c r="AF544" s="2856"/>
      <c r="AG544" s="2856"/>
      <c r="AH544" s="2856"/>
      <c r="AI544" s="2856"/>
      <c r="AJ544" s="2856"/>
      <c r="AK544" s="2856"/>
      <c r="AL544" s="2856"/>
      <c r="AM544" s="2856"/>
      <c r="AN544" s="2856"/>
      <c r="AO544" s="2856"/>
      <c r="AP544" s="2856"/>
      <c r="AQ544" s="2856"/>
      <c r="AR544" s="2856"/>
      <c r="AS544" s="2856"/>
      <c r="AT544" s="2866"/>
      <c r="AU544" s="2867"/>
      <c r="AV544" s="1182">
        <f t="shared" si="298"/>
        <v>0</v>
      </c>
      <c r="AW544" s="1182">
        <f t="shared" si="299"/>
        <v>0</v>
      </c>
      <c r="AX544" s="1182">
        <f t="shared" si="300"/>
        <v>0</v>
      </c>
      <c r="AY544" s="2881">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8">
        <f t="shared" si="325"/>
        <v>0</v>
      </c>
    </row>
    <row r="545" spans="1:72">
      <c r="A545" s="2833"/>
      <c r="B545" s="2834"/>
      <c r="C545" s="2834"/>
      <c r="D545" s="2835"/>
      <c r="E545" s="2836">
        <f t="shared" si="297"/>
        <v>0</v>
      </c>
      <c r="F545" s="2837"/>
      <c r="G545" s="2838">
        <f t="shared" si="301"/>
        <v>0</v>
      </c>
      <c r="H545" s="2839">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6">
        <f t="shared" si="303"/>
        <v>0</v>
      </c>
      <c r="AD545" s="2856"/>
      <c r="AE545" s="2856"/>
      <c r="AF545" s="2856"/>
      <c r="AG545" s="2856"/>
      <c r="AH545" s="2856"/>
      <c r="AI545" s="2856"/>
      <c r="AJ545" s="2856"/>
      <c r="AK545" s="2856"/>
      <c r="AL545" s="2856"/>
      <c r="AM545" s="2856"/>
      <c r="AN545" s="2856"/>
      <c r="AO545" s="2856"/>
      <c r="AP545" s="2856"/>
      <c r="AQ545" s="2856"/>
      <c r="AR545" s="2856"/>
      <c r="AS545" s="2856"/>
      <c r="AT545" s="2866"/>
      <c r="AU545" s="2867"/>
      <c r="AV545" s="1182">
        <f t="shared" si="298"/>
        <v>0</v>
      </c>
      <c r="AW545" s="1182">
        <f t="shared" si="299"/>
        <v>0</v>
      </c>
      <c r="AX545" s="1182">
        <f t="shared" si="300"/>
        <v>0</v>
      </c>
      <c r="AY545" s="2881">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8">
        <f t="shared" si="325"/>
        <v>0</v>
      </c>
    </row>
    <row r="546" spans="1:72">
      <c r="A546" s="2833"/>
      <c r="B546" s="2834"/>
      <c r="C546" s="2834"/>
      <c r="D546" s="2835"/>
      <c r="E546" s="2836">
        <f t="shared" si="297"/>
        <v>0</v>
      </c>
      <c r="F546" s="2837"/>
      <c r="G546" s="2838">
        <f t="shared" si="301"/>
        <v>0</v>
      </c>
      <c r="H546" s="2839">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6">
        <f t="shared" si="303"/>
        <v>0</v>
      </c>
      <c r="AD546" s="2856"/>
      <c r="AE546" s="2856"/>
      <c r="AF546" s="2856"/>
      <c r="AG546" s="2856"/>
      <c r="AH546" s="2856"/>
      <c r="AI546" s="2856"/>
      <c r="AJ546" s="2856"/>
      <c r="AK546" s="2856"/>
      <c r="AL546" s="2856"/>
      <c r="AM546" s="2856"/>
      <c r="AN546" s="2856"/>
      <c r="AO546" s="2856"/>
      <c r="AP546" s="2856"/>
      <c r="AQ546" s="2856"/>
      <c r="AR546" s="2856"/>
      <c r="AS546" s="2856"/>
      <c r="AT546" s="2866"/>
      <c r="AU546" s="2867"/>
      <c r="AV546" s="1182">
        <f t="shared" si="298"/>
        <v>0</v>
      </c>
      <c r="AW546" s="1182">
        <f t="shared" si="299"/>
        <v>0</v>
      </c>
      <c r="AX546" s="1182">
        <f t="shared" si="300"/>
        <v>0</v>
      </c>
      <c r="AY546" s="2881">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8">
        <f t="shared" si="325"/>
        <v>0</v>
      </c>
    </row>
    <row r="547" spans="1:72">
      <c r="A547" s="2833"/>
      <c r="B547" s="2834"/>
      <c r="C547" s="2834"/>
      <c r="D547" s="2835"/>
      <c r="E547" s="2836">
        <f t="shared" si="297"/>
        <v>0</v>
      </c>
      <c r="F547" s="2837"/>
      <c r="G547" s="2838">
        <f t="shared" si="301"/>
        <v>0</v>
      </c>
      <c r="H547" s="2839">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6">
        <f t="shared" si="303"/>
        <v>0</v>
      </c>
      <c r="AD547" s="2856"/>
      <c r="AE547" s="2856"/>
      <c r="AF547" s="2856"/>
      <c r="AG547" s="2856"/>
      <c r="AH547" s="2856"/>
      <c r="AI547" s="2856"/>
      <c r="AJ547" s="2856"/>
      <c r="AK547" s="2856"/>
      <c r="AL547" s="2856"/>
      <c r="AM547" s="2856"/>
      <c r="AN547" s="2856"/>
      <c r="AO547" s="2856"/>
      <c r="AP547" s="2856"/>
      <c r="AQ547" s="2856"/>
      <c r="AR547" s="2856"/>
      <c r="AS547" s="2856"/>
      <c r="AT547" s="2866"/>
      <c r="AU547" s="2867"/>
      <c r="AV547" s="1182">
        <f t="shared" si="298"/>
        <v>0</v>
      </c>
      <c r="AW547" s="1182">
        <f t="shared" si="299"/>
        <v>0</v>
      </c>
      <c r="AX547" s="1182">
        <f t="shared" si="300"/>
        <v>0</v>
      </c>
      <c r="AY547" s="2881">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8">
        <f t="shared" si="325"/>
        <v>0</v>
      </c>
    </row>
    <row r="548" spans="1:72">
      <c r="A548" s="2833"/>
      <c r="B548" s="2834"/>
      <c r="C548" s="2834"/>
      <c r="D548" s="2835"/>
      <c r="E548" s="2836">
        <f t="shared" si="297"/>
        <v>0</v>
      </c>
      <c r="F548" s="2837"/>
      <c r="G548" s="2838">
        <f t="shared" si="301"/>
        <v>0</v>
      </c>
      <c r="H548" s="2839">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6">
        <f t="shared" si="303"/>
        <v>0</v>
      </c>
      <c r="AD548" s="2856"/>
      <c r="AE548" s="2856"/>
      <c r="AF548" s="2856"/>
      <c r="AG548" s="2856"/>
      <c r="AH548" s="2856"/>
      <c r="AI548" s="2856"/>
      <c r="AJ548" s="2856"/>
      <c r="AK548" s="2856"/>
      <c r="AL548" s="2856"/>
      <c r="AM548" s="2856"/>
      <c r="AN548" s="2856"/>
      <c r="AO548" s="2856"/>
      <c r="AP548" s="2856"/>
      <c r="AQ548" s="2856"/>
      <c r="AR548" s="2856"/>
      <c r="AS548" s="2856"/>
      <c r="AT548" s="2866"/>
      <c r="AU548" s="2867"/>
      <c r="AV548" s="1182">
        <f t="shared" si="298"/>
        <v>0</v>
      </c>
      <c r="AW548" s="1182">
        <f t="shared" si="299"/>
        <v>0</v>
      </c>
      <c r="AX548" s="1182">
        <f t="shared" si="300"/>
        <v>0</v>
      </c>
      <c r="AY548" s="2881">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8">
        <f t="shared" si="325"/>
        <v>0</v>
      </c>
    </row>
    <row r="549" spans="1:72">
      <c r="A549" s="2833"/>
      <c r="B549" s="2834"/>
      <c r="C549" s="2834"/>
      <c r="D549" s="2835"/>
      <c r="E549" s="2836">
        <f t="shared" si="297"/>
        <v>0</v>
      </c>
      <c r="F549" s="2837"/>
      <c r="G549" s="2838">
        <f t="shared" si="301"/>
        <v>0</v>
      </c>
      <c r="H549" s="2839">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6">
        <f t="shared" si="303"/>
        <v>0</v>
      </c>
      <c r="AD549" s="2856"/>
      <c r="AE549" s="2856"/>
      <c r="AF549" s="2856"/>
      <c r="AG549" s="2856"/>
      <c r="AH549" s="2856"/>
      <c r="AI549" s="2856"/>
      <c r="AJ549" s="2856"/>
      <c r="AK549" s="2856"/>
      <c r="AL549" s="2856"/>
      <c r="AM549" s="2856"/>
      <c r="AN549" s="2856"/>
      <c r="AO549" s="2856"/>
      <c r="AP549" s="2856"/>
      <c r="AQ549" s="2856"/>
      <c r="AR549" s="2856"/>
      <c r="AS549" s="2856"/>
      <c r="AT549" s="2866"/>
      <c r="AU549" s="2867"/>
      <c r="AV549" s="1182">
        <f t="shared" si="298"/>
        <v>0</v>
      </c>
      <c r="AW549" s="1182">
        <f t="shared" si="299"/>
        <v>0</v>
      </c>
      <c r="AX549" s="1182">
        <f t="shared" si="300"/>
        <v>0</v>
      </c>
      <c r="AY549" s="2881">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8">
        <f t="shared" si="325"/>
        <v>0</v>
      </c>
    </row>
    <row r="550" spans="1:72">
      <c r="A550" s="2833"/>
      <c r="B550" s="2834"/>
      <c r="C550" s="2834"/>
      <c r="D550" s="2835"/>
      <c r="E550" s="2836">
        <f t="shared" si="297"/>
        <v>0</v>
      </c>
      <c r="F550" s="2837"/>
      <c r="G550" s="2838">
        <f t="shared" si="301"/>
        <v>0</v>
      </c>
      <c r="H550" s="2839">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6">
        <f t="shared" si="303"/>
        <v>0</v>
      </c>
      <c r="AD550" s="2856"/>
      <c r="AE550" s="2856"/>
      <c r="AF550" s="2856"/>
      <c r="AG550" s="2856"/>
      <c r="AH550" s="2856"/>
      <c r="AI550" s="2856"/>
      <c r="AJ550" s="2856"/>
      <c r="AK550" s="2856"/>
      <c r="AL550" s="2856"/>
      <c r="AM550" s="2856"/>
      <c r="AN550" s="2856"/>
      <c r="AO550" s="2856"/>
      <c r="AP550" s="2856"/>
      <c r="AQ550" s="2856"/>
      <c r="AR550" s="2856"/>
      <c r="AS550" s="2856"/>
      <c r="AT550" s="2866"/>
      <c r="AU550" s="2867"/>
      <c r="AV550" s="1182">
        <f t="shared" si="298"/>
        <v>0</v>
      </c>
      <c r="AW550" s="1182">
        <f t="shared" si="299"/>
        <v>0</v>
      </c>
      <c r="AX550" s="1182">
        <f t="shared" si="300"/>
        <v>0</v>
      </c>
      <c r="AY550" s="2881">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8">
        <f t="shared" si="325"/>
        <v>0</v>
      </c>
    </row>
    <row r="551" spans="1:72">
      <c r="A551" s="2833"/>
      <c r="B551" s="2834"/>
      <c r="C551" s="2834"/>
      <c r="D551" s="2835"/>
      <c r="E551" s="2836">
        <f t="shared" si="297"/>
        <v>0</v>
      </c>
      <c r="F551" s="2837"/>
      <c r="G551" s="2838">
        <f t="shared" si="301"/>
        <v>0</v>
      </c>
      <c r="H551" s="2839">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6">
        <f t="shared" si="303"/>
        <v>0</v>
      </c>
      <c r="AD551" s="2856"/>
      <c r="AE551" s="2856"/>
      <c r="AF551" s="2856"/>
      <c r="AG551" s="2856"/>
      <c r="AH551" s="2856"/>
      <c r="AI551" s="2856"/>
      <c r="AJ551" s="2856"/>
      <c r="AK551" s="2856"/>
      <c r="AL551" s="2856"/>
      <c r="AM551" s="2856"/>
      <c r="AN551" s="2856"/>
      <c r="AO551" s="2856"/>
      <c r="AP551" s="2856"/>
      <c r="AQ551" s="2856"/>
      <c r="AR551" s="2856"/>
      <c r="AS551" s="2856"/>
      <c r="AT551" s="2866"/>
      <c r="AU551" s="2867"/>
      <c r="AV551" s="1182">
        <f t="shared" si="298"/>
        <v>0</v>
      </c>
      <c r="AW551" s="1182">
        <f t="shared" si="299"/>
        <v>0</v>
      </c>
      <c r="AX551" s="1182">
        <f t="shared" si="300"/>
        <v>0</v>
      </c>
      <c r="AY551" s="2881">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8">
        <f t="shared" si="325"/>
        <v>0</v>
      </c>
    </row>
    <row r="552" spans="1:72">
      <c r="A552" s="2833"/>
      <c r="B552" s="2834"/>
      <c r="C552" s="2834"/>
      <c r="D552" s="2835"/>
      <c r="E552" s="2836">
        <f t="shared" ref="E552:E587" si="326">IF($C$3="是",ROUND($A$3*G552/$B$3,2),ROUND($A$3*(G552-AT552)/$B$3,2))</f>
        <v>0</v>
      </c>
      <c r="F552" s="2837"/>
      <c r="G552" s="2838">
        <f t="shared" si="301"/>
        <v>0</v>
      </c>
      <c r="H552" s="2839">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6">
        <f t="shared" si="303"/>
        <v>0</v>
      </c>
      <c r="AD552" s="2856"/>
      <c r="AE552" s="2856"/>
      <c r="AF552" s="2856"/>
      <c r="AG552" s="2856"/>
      <c r="AH552" s="2856"/>
      <c r="AI552" s="2856"/>
      <c r="AJ552" s="2856"/>
      <c r="AK552" s="2856"/>
      <c r="AL552" s="2856"/>
      <c r="AM552" s="2856"/>
      <c r="AN552" s="2856"/>
      <c r="AO552" s="2856"/>
      <c r="AP552" s="2856"/>
      <c r="AQ552" s="2856"/>
      <c r="AR552" s="2856"/>
      <c r="AS552" s="2856"/>
      <c r="AT552" s="2866"/>
      <c r="AU552" s="2867"/>
      <c r="AV552" s="1182">
        <f t="shared" si="298"/>
        <v>0</v>
      </c>
      <c r="AW552" s="1182">
        <f t="shared" si="299"/>
        <v>0</v>
      </c>
      <c r="AX552" s="1182">
        <f t="shared" si="300"/>
        <v>0</v>
      </c>
      <c r="AY552" s="2881">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8">
        <f t="shared" si="325"/>
        <v>0</v>
      </c>
    </row>
    <row r="553" spans="1:72">
      <c r="A553" s="2833"/>
      <c r="B553" s="2834"/>
      <c r="C553" s="2834"/>
      <c r="D553" s="2835"/>
      <c r="E553" s="2836">
        <f t="shared" si="326"/>
        <v>0</v>
      </c>
      <c r="F553" s="2837"/>
      <c r="G553" s="2838">
        <f t="shared" ref="G553:G587" si="327">H553+AC553+AT553</f>
        <v>0</v>
      </c>
      <c r="H553" s="2839">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6">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66"/>
      <c r="AU553" s="2867"/>
      <c r="AV553" s="1182">
        <f t="shared" ref="AV553:AV587" si="330">A553</f>
        <v>0</v>
      </c>
      <c r="AW553" s="1182">
        <f t="shared" ref="AW553:AW587" si="331">B553</f>
        <v>0</v>
      </c>
      <c r="AX553" s="1182">
        <f t="shared" ref="AX553:AX587" si="332">C553</f>
        <v>0</v>
      </c>
      <c r="AY553" s="2881">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8">
        <f t="shared" ref="BT553:BT587" si="354">IF($D553="是",AR553-AS553,0)</f>
        <v>0</v>
      </c>
    </row>
    <row r="554" spans="1:72">
      <c r="A554" s="2833"/>
      <c r="B554" s="2834"/>
      <c r="C554" s="2834"/>
      <c r="D554" s="2835"/>
      <c r="E554" s="2836">
        <f t="shared" si="326"/>
        <v>0</v>
      </c>
      <c r="F554" s="2837"/>
      <c r="G554" s="2838">
        <f t="shared" si="327"/>
        <v>0</v>
      </c>
      <c r="H554" s="2839">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6">
        <f t="shared" si="329"/>
        <v>0</v>
      </c>
      <c r="AD554" s="2856"/>
      <c r="AE554" s="2856"/>
      <c r="AF554" s="2856"/>
      <c r="AG554" s="2856"/>
      <c r="AH554" s="2856"/>
      <c r="AI554" s="2856"/>
      <c r="AJ554" s="2856"/>
      <c r="AK554" s="2856"/>
      <c r="AL554" s="2856"/>
      <c r="AM554" s="2856"/>
      <c r="AN554" s="2856"/>
      <c r="AO554" s="2856"/>
      <c r="AP554" s="2856"/>
      <c r="AQ554" s="2856"/>
      <c r="AR554" s="2856"/>
      <c r="AS554" s="2856"/>
      <c r="AT554" s="2866"/>
      <c r="AU554" s="2867"/>
      <c r="AV554" s="1182">
        <f t="shared" si="330"/>
        <v>0</v>
      </c>
      <c r="AW554" s="1182">
        <f t="shared" si="331"/>
        <v>0</v>
      </c>
      <c r="AX554" s="1182">
        <f t="shared" si="332"/>
        <v>0</v>
      </c>
      <c r="AY554" s="2881">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8">
        <f t="shared" si="354"/>
        <v>0</v>
      </c>
    </row>
    <row r="555" spans="1:72">
      <c r="A555" s="2833"/>
      <c r="B555" s="2834"/>
      <c r="C555" s="2834"/>
      <c r="D555" s="2835"/>
      <c r="E555" s="2836">
        <f t="shared" si="326"/>
        <v>0</v>
      </c>
      <c r="F555" s="2837"/>
      <c r="G555" s="2838">
        <f t="shared" si="327"/>
        <v>0</v>
      </c>
      <c r="H555" s="2839">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6">
        <f t="shared" si="329"/>
        <v>0</v>
      </c>
      <c r="AD555" s="2856"/>
      <c r="AE555" s="2856"/>
      <c r="AF555" s="2856"/>
      <c r="AG555" s="2856"/>
      <c r="AH555" s="2856"/>
      <c r="AI555" s="2856"/>
      <c r="AJ555" s="2856"/>
      <c r="AK555" s="2856"/>
      <c r="AL555" s="2856"/>
      <c r="AM555" s="2856"/>
      <c r="AN555" s="2856"/>
      <c r="AO555" s="2856"/>
      <c r="AP555" s="2856"/>
      <c r="AQ555" s="2856"/>
      <c r="AR555" s="2856"/>
      <c r="AS555" s="2856"/>
      <c r="AT555" s="2866"/>
      <c r="AU555" s="2867"/>
      <c r="AV555" s="1182">
        <f t="shared" si="330"/>
        <v>0</v>
      </c>
      <c r="AW555" s="1182">
        <f t="shared" si="331"/>
        <v>0</v>
      </c>
      <c r="AX555" s="1182">
        <f t="shared" si="332"/>
        <v>0</v>
      </c>
      <c r="AY555" s="2881">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8">
        <f t="shared" si="354"/>
        <v>0</v>
      </c>
    </row>
    <row r="556" spans="1:72">
      <c r="A556" s="2833"/>
      <c r="B556" s="2834"/>
      <c r="C556" s="2834"/>
      <c r="D556" s="2835"/>
      <c r="E556" s="2836">
        <f t="shared" si="326"/>
        <v>0</v>
      </c>
      <c r="F556" s="2837"/>
      <c r="G556" s="2838">
        <f t="shared" si="327"/>
        <v>0</v>
      </c>
      <c r="H556" s="2839">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6">
        <f t="shared" si="329"/>
        <v>0</v>
      </c>
      <c r="AD556" s="2856"/>
      <c r="AE556" s="2856"/>
      <c r="AF556" s="2856"/>
      <c r="AG556" s="2856"/>
      <c r="AH556" s="2856"/>
      <c r="AI556" s="2856"/>
      <c r="AJ556" s="2856"/>
      <c r="AK556" s="2856"/>
      <c r="AL556" s="2856"/>
      <c r="AM556" s="2856"/>
      <c r="AN556" s="2856"/>
      <c r="AO556" s="2856"/>
      <c r="AP556" s="2856"/>
      <c r="AQ556" s="2856"/>
      <c r="AR556" s="2856"/>
      <c r="AS556" s="2856"/>
      <c r="AT556" s="2866"/>
      <c r="AU556" s="2867"/>
      <c r="AV556" s="1182">
        <f t="shared" si="330"/>
        <v>0</v>
      </c>
      <c r="AW556" s="1182">
        <f t="shared" si="331"/>
        <v>0</v>
      </c>
      <c r="AX556" s="1182">
        <f t="shared" si="332"/>
        <v>0</v>
      </c>
      <c r="AY556" s="2881">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8">
        <f t="shared" si="354"/>
        <v>0</v>
      </c>
    </row>
    <row r="557" spans="1:72">
      <c r="A557" s="2833"/>
      <c r="B557" s="2834"/>
      <c r="C557" s="2834"/>
      <c r="D557" s="2835"/>
      <c r="E557" s="2836">
        <f t="shared" si="326"/>
        <v>0</v>
      </c>
      <c r="F557" s="2837"/>
      <c r="G557" s="2838">
        <f t="shared" si="327"/>
        <v>0</v>
      </c>
      <c r="H557" s="2839">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6">
        <f t="shared" si="329"/>
        <v>0</v>
      </c>
      <c r="AD557" s="2856"/>
      <c r="AE557" s="2856"/>
      <c r="AF557" s="2856"/>
      <c r="AG557" s="2856"/>
      <c r="AH557" s="2856"/>
      <c r="AI557" s="2856"/>
      <c r="AJ557" s="2856"/>
      <c r="AK557" s="2856"/>
      <c r="AL557" s="2856"/>
      <c r="AM557" s="2856"/>
      <c r="AN557" s="2856"/>
      <c r="AO557" s="2856"/>
      <c r="AP557" s="2856"/>
      <c r="AQ557" s="2856"/>
      <c r="AR557" s="2856"/>
      <c r="AS557" s="2856"/>
      <c r="AT557" s="2866"/>
      <c r="AU557" s="2867"/>
      <c r="AV557" s="1182">
        <f t="shared" si="330"/>
        <v>0</v>
      </c>
      <c r="AW557" s="1182">
        <f t="shared" si="331"/>
        <v>0</v>
      </c>
      <c r="AX557" s="1182">
        <f t="shared" si="332"/>
        <v>0</v>
      </c>
      <c r="AY557" s="2881">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8">
        <f t="shared" si="354"/>
        <v>0</v>
      </c>
    </row>
    <row r="558" spans="1:72">
      <c r="A558" s="2833"/>
      <c r="B558" s="2834"/>
      <c r="C558" s="2834"/>
      <c r="D558" s="2835"/>
      <c r="E558" s="2836">
        <f t="shared" si="326"/>
        <v>0</v>
      </c>
      <c r="F558" s="2837"/>
      <c r="G558" s="2838">
        <f t="shared" si="327"/>
        <v>0</v>
      </c>
      <c r="H558" s="2839">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6">
        <f t="shared" si="329"/>
        <v>0</v>
      </c>
      <c r="AD558" s="2856"/>
      <c r="AE558" s="2856"/>
      <c r="AF558" s="2856"/>
      <c r="AG558" s="2856"/>
      <c r="AH558" s="2856"/>
      <c r="AI558" s="2856"/>
      <c r="AJ558" s="2856"/>
      <c r="AK558" s="2856"/>
      <c r="AL558" s="2856"/>
      <c r="AM558" s="2856"/>
      <c r="AN558" s="2856"/>
      <c r="AO558" s="2856"/>
      <c r="AP558" s="2856"/>
      <c r="AQ558" s="2856"/>
      <c r="AR558" s="2856"/>
      <c r="AS558" s="2856"/>
      <c r="AT558" s="2866"/>
      <c r="AU558" s="2867"/>
      <c r="AV558" s="1182">
        <f t="shared" si="330"/>
        <v>0</v>
      </c>
      <c r="AW558" s="1182">
        <f t="shared" si="331"/>
        <v>0</v>
      </c>
      <c r="AX558" s="1182">
        <f t="shared" si="332"/>
        <v>0</v>
      </c>
      <c r="AY558" s="2881">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8">
        <f t="shared" si="354"/>
        <v>0</v>
      </c>
    </row>
    <row r="559" spans="1:72">
      <c r="A559" s="2833"/>
      <c r="B559" s="2834"/>
      <c r="C559" s="2834"/>
      <c r="D559" s="2835"/>
      <c r="E559" s="2836">
        <f t="shared" si="326"/>
        <v>0</v>
      </c>
      <c r="F559" s="2837"/>
      <c r="G559" s="2838">
        <f t="shared" si="327"/>
        <v>0</v>
      </c>
      <c r="H559" s="2839">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6">
        <f t="shared" si="329"/>
        <v>0</v>
      </c>
      <c r="AD559" s="2856"/>
      <c r="AE559" s="2856"/>
      <c r="AF559" s="2856"/>
      <c r="AG559" s="2856"/>
      <c r="AH559" s="2856"/>
      <c r="AI559" s="2856"/>
      <c r="AJ559" s="2856"/>
      <c r="AK559" s="2856"/>
      <c r="AL559" s="2856"/>
      <c r="AM559" s="2856"/>
      <c r="AN559" s="2856"/>
      <c r="AO559" s="2856"/>
      <c r="AP559" s="2856"/>
      <c r="AQ559" s="2856"/>
      <c r="AR559" s="2856"/>
      <c r="AS559" s="2856"/>
      <c r="AT559" s="2866"/>
      <c r="AU559" s="2867"/>
      <c r="AV559" s="1182">
        <f t="shared" si="330"/>
        <v>0</v>
      </c>
      <c r="AW559" s="1182">
        <f t="shared" si="331"/>
        <v>0</v>
      </c>
      <c r="AX559" s="1182">
        <f t="shared" si="332"/>
        <v>0</v>
      </c>
      <c r="AY559" s="2881">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8">
        <f t="shared" si="354"/>
        <v>0</v>
      </c>
    </row>
    <row r="560" spans="1:72">
      <c r="A560" s="2833"/>
      <c r="B560" s="2834"/>
      <c r="C560" s="2834"/>
      <c r="D560" s="2835"/>
      <c r="E560" s="2836">
        <f t="shared" si="326"/>
        <v>0</v>
      </c>
      <c r="F560" s="2837"/>
      <c r="G560" s="2838">
        <f t="shared" si="327"/>
        <v>0</v>
      </c>
      <c r="H560" s="2839">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6">
        <f t="shared" si="329"/>
        <v>0</v>
      </c>
      <c r="AD560" s="2856"/>
      <c r="AE560" s="2856"/>
      <c r="AF560" s="2856"/>
      <c r="AG560" s="2856"/>
      <c r="AH560" s="2856"/>
      <c r="AI560" s="2856"/>
      <c r="AJ560" s="2856"/>
      <c r="AK560" s="2856"/>
      <c r="AL560" s="2856"/>
      <c r="AM560" s="2856"/>
      <c r="AN560" s="2856"/>
      <c r="AO560" s="2856"/>
      <c r="AP560" s="2856"/>
      <c r="AQ560" s="2856"/>
      <c r="AR560" s="2856"/>
      <c r="AS560" s="2856"/>
      <c r="AT560" s="2866"/>
      <c r="AU560" s="2867"/>
      <c r="AV560" s="1182">
        <f t="shared" si="330"/>
        <v>0</v>
      </c>
      <c r="AW560" s="1182">
        <f t="shared" si="331"/>
        <v>0</v>
      </c>
      <c r="AX560" s="1182">
        <f t="shared" si="332"/>
        <v>0</v>
      </c>
      <c r="AY560" s="2881">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8">
        <f t="shared" si="354"/>
        <v>0</v>
      </c>
    </row>
    <row r="561" spans="1:72">
      <c r="A561" s="2833"/>
      <c r="B561" s="2834"/>
      <c r="C561" s="2834"/>
      <c r="D561" s="2835"/>
      <c r="E561" s="2836">
        <f t="shared" si="326"/>
        <v>0</v>
      </c>
      <c r="F561" s="2837"/>
      <c r="G561" s="2838">
        <f t="shared" si="327"/>
        <v>0</v>
      </c>
      <c r="H561" s="2839">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6">
        <f t="shared" si="329"/>
        <v>0</v>
      </c>
      <c r="AD561" s="2856"/>
      <c r="AE561" s="2856"/>
      <c r="AF561" s="2856"/>
      <c r="AG561" s="2856"/>
      <c r="AH561" s="2856"/>
      <c r="AI561" s="2856"/>
      <c r="AJ561" s="2856"/>
      <c r="AK561" s="2856"/>
      <c r="AL561" s="2856"/>
      <c r="AM561" s="2856"/>
      <c r="AN561" s="2856"/>
      <c r="AO561" s="2856"/>
      <c r="AP561" s="2856"/>
      <c r="AQ561" s="2856"/>
      <c r="AR561" s="2856"/>
      <c r="AS561" s="2856"/>
      <c r="AT561" s="2866"/>
      <c r="AU561" s="2867"/>
      <c r="AV561" s="1182">
        <f t="shared" si="330"/>
        <v>0</v>
      </c>
      <c r="AW561" s="1182">
        <f t="shared" si="331"/>
        <v>0</v>
      </c>
      <c r="AX561" s="1182">
        <f t="shared" si="332"/>
        <v>0</v>
      </c>
      <c r="AY561" s="2881">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8">
        <f t="shared" si="354"/>
        <v>0</v>
      </c>
    </row>
    <row r="562" spans="1:72">
      <c r="A562" s="2833"/>
      <c r="B562" s="2834"/>
      <c r="C562" s="2834"/>
      <c r="D562" s="2835"/>
      <c r="E562" s="2836">
        <f t="shared" si="326"/>
        <v>0</v>
      </c>
      <c r="F562" s="2837"/>
      <c r="G562" s="2838">
        <f t="shared" si="327"/>
        <v>0</v>
      </c>
      <c r="H562" s="2839">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6">
        <f t="shared" si="329"/>
        <v>0</v>
      </c>
      <c r="AD562" s="2856"/>
      <c r="AE562" s="2856"/>
      <c r="AF562" s="2856"/>
      <c r="AG562" s="2856"/>
      <c r="AH562" s="2856"/>
      <c r="AI562" s="2856"/>
      <c r="AJ562" s="2856"/>
      <c r="AK562" s="2856"/>
      <c r="AL562" s="2856"/>
      <c r="AM562" s="2856"/>
      <c r="AN562" s="2856"/>
      <c r="AO562" s="2856"/>
      <c r="AP562" s="2856"/>
      <c r="AQ562" s="2856"/>
      <c r="AR562" s="2856"/>
      <c r="AS562" s="2856"/>
      <c r="AT562" s="2866"/>
      <c r="AU562" s="2867"/>
      <c r="AV562" s="1182">
        <f t="shared" si="330"/>
        <v>0</v>
      </c>
      <c r="AW562" s="1182">
        <f t="shared" si="331"/>
        <v>0</v>
      </c>
      <c r="AX562" s="1182">
        <f t="shared" si="332"/>
        <v>0</v>
      </c>
      <c r="AY562" s="2881">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8">
        <f t="shared" si="354"/>
        <v>0</v>
      </c>
    </row>
    <row r="563" spans="1:72">
      <c r="A563" s="2833"/>
      <c r="B563" s="2834"/>
      <c r="C563" s="2834"/>
      <c r="D563" s="2835"/>
      <c r="E563" s="2836">
        <f t="shared" si="326"/>
        <v>0</v>
      </c>
      <c r="F563" s="2837"/>
      <c r="G563" s="2838">
        <f t="shared" si="327"/>
        <v>0</v>
      </c>
      <c r="H563" s="2839">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6">
        <f t="shared" si="329"/>
        <v>0</v>
      </c>
      <c r="AD563" s="2856"/>
      <c r="AE563" s="2856"/>
      <c r="AF563" s="2856"/>
      <c r="AG563" s="2856"/>
      <c r="AH563" s="2856"/>
      <c r="AI563" s="2856"/>
      <c r="AJ563" s="2856"/>
      <c r="AK563" s="2856"/>
      <c r="AL563" s="2856"/>
      <c r="AM563" s="2856"/>
      <c r="AN563" s="2856"/>
      <c r="AO563" s="2856"/>
      <c r="AP563" s="2856"/>
      <c r="AQ563" s="2856"/>
      <c r="AR563" s="2856"/>
      <c r="AS563" s="2856"/>
      <c r="AT563" s="2866"/>
      <c r="AU563" s="2867"/>
      <c r="AV563" s="1182">
        <f t="shared" si="330"/>
        <v>0</v>
      </c>
      <c r="AW563" s="1182">
        <f t="shared" si="331"/>
        <v>0</v>
      </c>
      <c r="AX563" s="1182">
        <f t="shared" si="332"/>
        <v>0</v>
      </c>
      <c r="AY563" s="2881">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8">
        <f t="shared" si="354"/>
        <v>0</v>
      </c>
    </row>
    <row r="564" spans="1:72">
      <c r="A564" s="2833"/>
      <c r="B564" s="2834"/>
      <c r="C564" s="2834"/>
      <c r="D564" s="2835"/>
      <c r="E564" s="2836">
        <f t="shared" si="326"/>
        <v>0</v>
      </c>
      <c r="F564" s="2837"/>
      <c r="G564" s="2838">
        <f t="shared" si="327"/>
        <v>0</v>
      </c>
      <c r="H564" s="2839">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6">
        <f t="shared" si="329"/>
        <v>0</v>
      </c>
      <c r="AD564" s="2856"/>
      <c r="AE564" s="2856"/>
      <c r="AF564" s="2856"/>
      <c r="AG564" s="2856"/>
      <c r="AH564" s="2856"/>
      <c r="AI564" s="2856"/>
      <c r="AJ564" s="2856"/>
      <c r="AK564" s="2856"/>
      <c r="AL564" s="2856"/>
      <c r="AM564" s="2856"/>
      <c r="AN564" s="2856"/>
      <c r="AO564" s="2856"/>
      <c r="AP564" s="2856"/>
      <c r="AQ564" s="2856"/>
      <c r="AR564" s="2856"/>
      <c r="AS564" s="2856"/>
      <c r="AT564" s="2866"/>
      <c r="AU564" s="2867"/>
      <c r="AV564" s="1182">
        <f t="shared" si="330"/>
        <v>0</v>
      </c>
      <c r="AW564" s="1182">
        <f t="shared" si="331"/>
        <v>0</v>
      </c>
      <c r="AX564" s="1182">
        <f t="shared" si="332"/>
        <v>0</v>
      </c>
      <c r="AY564" s="2881">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8">
        <f t="shared" si="354"/>
        <v>0</v>
      </c>
    </row>
    <row r="565" spans="1:72">
      <c r="A565" s="2833"/>
      <c r="B565" s="2834"/>
      <c r="C565" s="2834"/>
      <c r="D565" s="2835"/>
      <c r="E565" s="2836">
        <f t="shared" si="326"/>
        <v>0</v>
      </c>
      <c r="F565" s="2837"/>
      <c r="G565" s="2838">
        <f t="shared" si="327"/>
        <v>0</v>
      </c>
      <c r="H565" s="2839">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6">
        <f t="shared" si="329"/>
        <v>0</v>
      </c>
      <c r="AD565" s="2856"/>
      <c r="AE565" s="2856"/>
      <c r="AF565" s="2856"/>
      <c r="AG565" s="2856"/>
      <c r="AH565" s="2856"/>
      <c r="AI565" s="2856"/>
      <c r="AJ565" s="2856"/>
      <c r="AK565" s="2856"/>
      <c r="AL565" s="2856"/>
      <c r="AM565" s="2856"/>
      <c r="AN565" s="2856"/>
      <c r="AO565" s="2856"/>
      <c r="AP565" s="2856"/>
      <c r="AQ565" s="2856"/>
      <c r="AR565" s="2856"/>
      <c r="AS565" s="2856"/>
      <c r="AT565" s="2866"/>
      <c r="AU565" s="2867"/>
      <c r="AV565" s="1182">
        <f t="shared" si="330"/>
        <v>0</v>
      </c>
      <c r="AW565" s="1182">
        <f t="shared" si="331"/>
        <v>0</v>
      </c>
      <c r="AX565" s="1182">
        <f t="shared" si="332"/>
        <v>0</v>
      </c>
      <c r="AY565" s="2881">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8">
        <f t="shared" si="354"/>
        <v>0</v>
      </c>
    </row>
    <row r="566" spans="1:72">
      <c r="A566" s="2833"/>
      <c r="B566" s="2834"/>
      <c r="C566" s="2834"/>
      <c r="D566" s="2835"/>
      <c r="E566" s="2836">
        <f t="shared" si="326"/>
        <v>0</v>
      </c>
      <c r="F566" s="2837"/>
      <c r="G566" s="2838">
        <f t="shared" si="327"/>
        <v>0</v>
      </c>
      <c r="H566" s="2839">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6">
        <f t="shared" si="329"/>
        <v>0</v>
      </c>
      <c r="AD566" s="2856"/>
      <c r="AE566" s="2856"/>
      <c r="AF566" s="2856"/>
      <c r="AG566" s="2856"/>
      <c r="AH566" s="2856"/>
      <c r="AI566" s="2856"/>
      <c r="AJ566" s="2856"/>
      <c r="AK566" s="2856"/>
      <c r="AL566" s="2856"/>
      <c r="AM566" s="2856"/>
      <c r="AN566" s="2856"/>
      <c r="AO566" s="2856"/>
      <c r="AP566" s="2856"/>
      <c r="AQ566" s="2856"/>
      <c r="AR566" s="2856"/>
      <c r="AS566" s="2856"/>
      <c r="AT566" s="2866"/>
      <c r="AU566" s="2867"/>
      <c r="AV566" s="1182">
        <f t="shared" si="330"/>
        <v>0</v>
      </c>
      <c r="AW566" s="1182">
        <f t="shared" si="331"/>
        <v>0</v>
      </c>
      <c r="AX566" s="1182">
        <f t="shared" si="332"/>
        <v>0</v>
      </c>
      <c r="AY566" s="2881">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8">
        <f t="shared" si="354"/>
        <v>0</v>
      </c>
    </row>
    <row r="567" spans="1:72">
      <c r="A567" s="2833"/>
      <c r="B567" s="2834"/>
      <c r="C567" s="2834"/>
      <c r="D567" s="2835"/>
      <c r="E567" s="2836">
        <f t="shared" si="326"/>
        <v>0</v>
      </c>
      <c r="F567" s="2837"/>
      <c r="G567" s="2838">
        <f t="shared" si="327"/>
        <v>0</v>
      </c>
      <c r="H567" s="2839">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6">
        <f t="shared" si="329"/>
        <v>0</v>
      </c>
      <c r="AD567" s="2856"/>
      <c r="AE567" s="2856"/>
      <c r="AF567" s="2856"/>
      <c r="AG567" s="2856"/>
      <c r="AH567" s="2856"/>
      <c r="AI567" s="2856"/>
      <c r="AJ567" s="2856"/>
      <c r="AK567" s="2856"/>
      <c r="AL567" s="2856"/>
      <c r="AM567" s="2856"/>
      <c r="AN567" s="2856"/>
      <c r="AO567" s="2856"/>
      <c r="AP567" s="2856"/>
      <c r="AQ567" s="2856"/>
      <c r="AR567" s="2856"/>
      <c r="AS567" s="2856"/>
      <c r="AT567" s="2866"/>
      <c r="AU567" s="2867"/>
      <c r="AV567" s="1182">
        <f t="shared" si="330"/>
        <v>0</v>
      </c>
      <c r="AW567" s="1182">
        <f t="shared" si="331"/>
        <v>0</v>
      </c>
      <c r="AX567" s="1182">
        <f t="shared" si="332"/>
        <v>0</v>
      </c>
      <c r="AY567" s="2881">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8">
        <f t="shared" si="354"/>
        <v>0</v>
      </c>
    </row>
    <row r="568" spans="1:72">
      <c r="A568" s="2833"/>
      <c r="B568" s="2834"/>
      <c r="C568" s="2834"/>
      <c r="D568" s="2835"/>
      <c r="E568" s="2836">
        <f t="shared" si="326"/>
        <v>0</v>
      </c>
      <c r="F568" s="2837"/>
      <c r="G568" s="2838">
        <f t="shared" si="327"/>
        <v>0</v>
      </c>
      <c r="H568" s="2839">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6">
        <f t="shared" si="329"/>
        <v>0</v>
      </c>
      <c r="AD568" s="2856"/>
      <c r="AE568" s="2856"/>
      <c r="AF568" s="2856"/>
      <c r="AG568" s="2856"/>
      <c r="AH568" s="2856"/>
      <c r="AI568" s="2856"/>
      <c r="AJ568" s="2856"/>
      <c r="AK568" s="2856"/>
      <c r="AL568" s="2856"/>
      <c r="AM568" s="2856"/>
      <c r="AN568" s="2856"/>
      <c r="AO568" s="2856"/>
      <c r="AP568" s="2856"/>
      <c r="AQ568" s="2856"/>
      <c r="AR568" s="2856"/>
      <c r="AS568" s="2856"/>
      <c r="AT568" s="2866"/>
      <c r="AU568" s="2867"/>
      <c r="AV568" s="1182">
        <f t="shared" si="330"/>
        <v>0</v>
      </c>
      <c r="AW568" s="1182">
        <f t="shared" si="331"/>
        <v>0</v>
      </c>
      <c r="AX568" s="1182">
        <f t="shared" si="332"/>
        <v>0</v>
      </c>
      <c r="AY568" s="2881">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8">
        <f t="shared" si="354"/>
        <v>0</v>
      </c>
    </row>
    <row r="569" spans="1:72">
      <c r="A569" s="2833"/>
      <c r="B569" s="2834"/>
      <c r="C569" s="2834"/>
      <c r="D569" s="2835"/>
      <c r="E569" s="2836">
        <f t="shared" si="326"/>
        <v>0</v>
      </c>
      <c r="F569" s="2837"/>
      <c r="G569" s="2838">
        <f t="shared" si="327"/>
        <v>0</v>
      </c>
      <c r="H569" s="2839">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6">
        <f t="shared" si="329"/>
        <v>0</v>
      </c>
      <c r="AD569" s="2856"/>
      <c r="AE569" s="2856"/>
      <c r="AF569" s="2856"/>
      <c r="AG569" s="2856"/>
      <c r="AH569" s="2856"/>
      <c r="AI569" s="2856"/>
      <c r="AJ569" s="2856"/>
      <c r="AK569" s="2856"/>
      <c r="AL569" s="2856"/>
      <c r="AM569" s="2856"/>
      <c r="AN569" s="2856"/>
      <c r="AO569" s="2856"/>
      <c r="AP569" s="2856"/>
      <c r="AQ569" s="2856"/>
      <c r="AR569" s="2856"/>
      <c r="AS569" s="2856"/>
      <c r="AT569" s="2866"/>
      <c r="AU569" s="2867"/>
      <c r="AV569" s="1182">
        <f t="shared" si="330"/>
        <v>0</v>
      </c>
      <c r="AW569" s="1182">
        <f t="shared" si="331"/>
        <v>0</v>
      </c>
      <c r="AX569" s="1182">
        <f t="shared" si="332"/>
        <v>0</v>
      </c>
      <c r="AY569" s="2881">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8">
        <f t="shared" si="354"/>
        <v>0</v>
      </c>
    </row>
    <row r="570" spans="1:72">
      <c r="A570" s="2833"/>
      <c r="B570" s="2834"/>
      <c r="C570" s="2834"/>
      <c r="D570" s="2835"/>
      <c r="E570" s="2836">
        <f t="shared" si="326"/>
        <v>0</v>
      </c>
      <c r="F570" s="2837"/>
      <c r="G570" s="2838">
        <f t="shared" si="327"/>
        <v>0</v>
      </c>
      <c r="H570" s="2839">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6">
        <f t="shared" si="329"/>
        <v>0</v>
      </c>
      <c r="AD570" s="2856"/>
      <c r="AE570" s="2856"/>
      <c r="AF570" s="2856"/>
      <c r="AG570" s="2856"/>
      <c r="AH570" s="2856"/>
      <c r="AI570" s="2856"/>
      <c r="AJ570" s="2856"/>
      <c r="AK570" s="2856"/>
      <c r="AL570" s="2856"/>
      <c r="AM570" s="2856"/>
      <c r="AN570" s="2856"/>
      <c r="AO570" s="2856"/>
      <c r="AP570" s="2856"/>
      <c r="AQ570" s="2856"/>
      <c r="AR570" s="2856"/>
      <c r="AS570" s="2856"/>
      <c r="AT570" s="2866"/>
      <c r="AU570" s="2867"/>
      <c r="AV570" s="1182">
        <f t="shared" si="330"/>
        <v>0</v>
      </c>
      <c r="AW570" s="1182">
        <f t="shared" si="331"/>
        <v>0</v>
      </c>
      <c r="AX570" s="1182">
        <f t="shared" si="332"/>
        <v>0</v>
      </c>
      <c r="AY570" s="2881">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8">
        <f t="shared" si="354"/>
        <v>0</v>
      </c>
    </row>
    <row r="571" spans="1:72">
      <c r="A571" s="2833"/>
      <c r="B571" s="2834"/>
      <c r="C571" s="2834"/>
      <c r="D571" s="2835"/>
      <c r="E571" s="2836">
        <f t="shared" si="326"/>
        <v>0</v>
      </c>
      <c r="F571" s="2837"/>
      <c r="G571" s="2838">
        <f t="shared" si="327"/>
        <v>0</v>
      </c>
      <c r="H571" s="2839">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6">
        <f t="shared" si="329"/>
        <v>0</v>
      </c>
      <c r="AD571" s="2856"/>
      <c r="AE571" s="2856"/>
      <c r="AF571" s="2856"/>
      <c r="AG571" s="2856"/>
      <c r="AH571" s="2856"/>
      <c r="AI571" s="2856"/>
      <c r="AJ571" s="2856"/>
      <c r="AK571" s="2856"/>
      <c r="AL571" s="2856"/>
      <c r="AM571" s="2856"/>
      <c r="AN571" s="2856"/>
      <c r="AO571" s="2856"/>
      <c r="AP571" s="2856"/>
      <c r="AQ571" s="2856"/>
      <c r="AR571" s="2856"/>
      <c r="AS571" s="2856"/>
      <c r="AT571" s="2866"/>
      <c r="AU571" s="2867"/>
      <c r="AV571" s="1182">
        <f t="shared" si="330"/>
        <v>0</v>
      </c>
      <c r="AW571" s="1182">
        <f t="shared" si="331"/>
        <v>0</v>
      </c>
      <c r="AX571" s="1182">
        <f t="shared" si="332"/>
        <v>0</v>
      </c>
      <c r="AY571" s="2881">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8">
        <f t="shared" si="354"/>
        <v>0</v>
      </c>
    </row>
    <row r="572" spans="1:72">
      <c r="A572" s="2833"/>
      <c r="B572" s="2834"/>
      <c r="C572" s="2834"/>
      <c r="D572" s="2835"/>
      <c r="E572" s="2836">
        <f t="shared" si="326"/>
        <v>0</v>
      </c>
      <c r="F572" s="2837"/>
      <c r="G572" s="2838">
        <f t="shared" si="327"/>
        <v>0</v>
      </c>
      <c r="H572" s="2839">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6">
        <f t="shared" si="329"/>
        <v>0</v>
      </c>
      <c r="AD572" s="2856"/>
      <c r="AE572" s="2856"/>
      <c r="AF572" s="2856"/>
      <c r="AG572" s="2856"/>
      <c r="AH572" s="2856"/>
      <c r="AI572" s="2856"/>
      <c r="AJ572" s="2856"/>
      <c r="AK572" s="2856"/>
      <c r="AL572" s="2856"/>
      <c r="AM572" s="2856"/>
      <c r="AN572" s="2856"/>
      <c r="AO572" s="2856"/>
      <c r="AP572" s="2856"/>
      <c r="AQ572" s="2856"/>
      <c r="AR572" s="2856"/>
      <c r="AS572" s="2856"/>
      <c r="AT572" s="2866"/>
      <c r="AU572" s="2867"/>
      <c r="AV572" s="1182">
        <f t="shared" si="330"/>
        <v>0</v>
      </c>
      <c r="AW572" s="1182">
        <f t="shared" si="331"/>
        <v>0</v>
      </c>
      <c r="AX572" s="1182">
        <f t="shared" si="332"/>
        <v>0</v>
      </c>
      <c r="AY572" s="2881">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8">
        <f t="shared" si="354"/>
        <v>0</v>
      </c>
    </row>
    <row r="573" spans="1:72">
      <c r="A573" s="2833"/>
      <c r="B573" s="2834"/>
      <c r="C573" s="2834"/>
      <c r="D573" s="2835"/>
      <c r="E573" s="2836">
        <f t="shared" si="326"/>
        <v>0</v>
      </c>
      <c r="F573" s="2837"/>
      <c r="G573" s="2838">
        <f t="shared" si="327"/>
        <v>0</v>
      </c>
      <c r="H573" s="2839">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6">
        <f t="shared" si="329"/>
        <v>0</v>
      </c>
      <c r="AD573" s="2856"/>
      <c r="AE573" s="2856"/>
      <c r="AF573" s="2856"/>
      <c r="AG573" s="2856"/>
      <c r="AH573" s="2856"/>
      <c r="AI573" s="2856"/>
      <c r="AJ573" s="2856"/>
      <c r="AK573" s="2856"/>
      <c r="AL573" s="2856"/>
      <c r="AM573" s="2856"/>
      <c r="AN573" s="2856"/>
      <c r="AO573" s="2856"/>
      <c r="AP573" s="2856"/>
      <c r="AQ573" s="2856"/>
      <c r="AR573" s="2856"/>
      <c r="AS573" s="2856"/>
      <c r="AT573" s="2866"/>
      <c r="AU573" s="2867"/>
      <c r="AV573" s="1182">
        <f t="shared" si="330"/>
        <v>0</v>
      </c>
      <c r="AW573" s="1182">
        <f t="shared" si="331"/>
        <v>0</v>
      </c>
      <c r="AX573" s="1182">
        <f t="shared" si="332"/>
        <v>0</v>
      </c>
      <c r="AY573" s="2881">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8">
        <f t="shared" si="354"/>
        <v>0</v>
      </c>
    </row>
    <row r="574" spans="1:72">
      <c r="A574" s="2833"/>
      <c r="B574" s="2834"/>
      <c r="C574" s="2834"/>
      <c r="D574" s="2835"/>
      <c r="E574" s="2836">
        <f t="shared" si="326"/>
        <v>0</v>
      </c>
      <c r="F574" s="2837"/>
      <c r="G574" s="2838">
        <f t="shared" si="327"/>
        <v>0</v>
      </c>
      <c r="H574" s="2839">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6">
        <f t="shared" si="329"/>
        <v>0</v>
      </c>
      <c r="AD574" s="2856"/>
      <c r="AE574" s="2856"/>
      <c r="AF574" s="2856"/>
      <c r="AG574" s="2856"/>
      <c r="AH574" s="2856"/>
      <c r="AI574" s="2856"/>
      <c r="AJ574" s="2856"/>
      <c r="AK574" s="2856"/>
      <c r="AL574" s="2856"/>
      <c r="AM574" s="2856"/>
      <c r="AN574" s="2856"/>
      <c r="AO574" s="2856"/>
      <c r="AP574" s="2856"/>
      <c r="AQ574" s="2856"/>
      <c r="AR574" s="2856"/>
      <c r="AS574" s="2856"/>
      <c r="AT574" s="2866"/>
      <c r="AU574" s="2867"/>
      <c r="AV574" s="1182">
        <f t="shared" si="330"/>
        <v>0</v>
      </c>
      <c r="AW574" s="1182">
        <f t="shared" si="331"/>
        <v>0</v>
      </c>
      <c r="AX574" s="1182">
        <f t="shared" si="332"/>
        <v>0</v>
      </c>
      <c r="AY574" s="2881">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8">
        <f t="shared" si="354"/>
        <v>0</v>
      </c>
    </row>
    <row r="575" spans="1:72">
      <c r="A575" s="2833"/>
      <c r="B575" s="2834"/>
      <c r="C575" s="2834"/>
      <c r="D575" s="2835"/>
      <c r="E575" s="2836">
        <f t="shared" si="326"/>
        <v>0</v>
      </c>
      <c r="F575" s="2837"/>
      <c r="G575" s="2838">
        <f t="shared" si="327"/>
        <v>0</v>
      </c>
      <c r="H575" s="2839">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6">
        <f t="shared" si="329"/>
        <v>0</v>
      </c>
      <c r="AD575" s="2856"/>
      <c r="AE575" s="2856"/>
      <c r="AF575" s="2856"/>
      <c r="AG575" s="2856"/>
      <c r="AH575" s="2856"/>
      <c r="AI575" s="2856"/>
      <c r="AJ575" s="2856"/>
      <c r="AK575" s="2856"/>
      <c r="AL575" s="2856"/>
      <c r="AM575" s="2856"/>
      <c r="AN575" s="2856"/>
      <c r="AO575" s="2856"/>
      <c r="AP575" s="2856"/>
      <c r="AQ575" s="2856"/>
      <c r="AR575" s="2856"/>
      <c r="AS575" s="2856"/>
      <c r="AT575" s="2866"/>
      <c r="AU575" s="2867"/>
      <c r="AV575" s="1182">
        <f t="shared" si="330"/>
        <v>0</v>
      </c>
      <c r="AW575" s="1182">
        <f t="shared" si="331"/>
        <v>0</v>
      </c>
      <c r="AX575" s="1182">
        <f t="shared" si="332"/>
        <v>0</v>
      </c>
      <c r="AY575" s="2881">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8">
        <f t="shared" si="354"/>
        <v>0</v>
      </c>
    </row>
    <row r="576" spans="1:72">
      <c r="A576" s="2833"/>
      <c r="B576" s="2834"/>
      <c r="C576" s="2834"/>
      <c r="D576" s="2835"/>
      <c r="E576" s="2836">
        <f t="shared" si="326"/>
        <v>0</v>
      </c>
      <c r="F576" s="2837"/>
      <c r="G576" s="2838">
        <f t="shared" si="327"/>
        <v>0</v>
      </c>
      <c r="H576" s="2839">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6">
        <f t="shared" si="329"/>
        <v>0</v>
      </c>
      <c r="AD576" s="2856"/>
      <c r="AE576" s="2856"/>
      <c r="AF576" s="2856"/>
      <c r="AG576" s="2856"/>
      <c r="AH576" s="2856"/>
      <c r="AI576" s="2856"/>
      <c r="AJ576" s="2856"/>
      <c r="AK576" s="2856"/>
      <c r="AL576" s="2856"/>
      <c r="AM576" s="2856"/>
      <c r="AN576" s="2856"/>
      <c r="AO576" s="2856"/>
      <c r="AP576" s="2856"/>
      <c r="AQ576" s="2856"/>
      <c r="AR576" s="2856"/>
      <c r="AS576" s="2856"/>
      <c r="AT576" s="2866"/>
      <c r="AU576" s="2867"/>
      <c r="AV576" s="1182">
        <f t="shared" si="330"/>
        <v>0</v>
      </c>
      <c r="AW576" s="1182">
        <f t="shared" si="331"/>
        <v>0</v>
      </c>
      <c r="AX576" s="1182">
        <f t="shared" si="332"/>
        <v>0</v>
      </c>
      <c r="AY576" s="2881">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8">
        <f t="shared" si="354"/>
        <v>0</v>
      </c>
    </row>
    <row r="577" spans="1:72">
      <c r="A577" s="2833"/>
      <c r="B577" s="2834"/>
      <c r="C577" s="2834"/>
      <c r="D577" s="2835"/>
      <c r="E577" s="2836">
        <f t="shared" si="326"/>
        <v>0</v>
      </c>
      <c r="F577" s="2837"/>
      <c r="G577" s="2838">
        <f t="shared" si="327"/>
        <v>0</v>
      </c>
      <c r="H577" s="2839">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6">
        <f t="shared" si="329"/>
        <v>0</v>
      </c>
      <c r="AD577" s="2856"/>
      <c r="AE577" s="2856"/>
      <c r="AF577" s="2856"/>
      <c r="AG577" s="2856"/>
      <c r="AH577" s="2856"/>
      <c r="AI577" s="2856"/>
      <c r="AJ577" s="2856"/>
      <c r="AK577" s="2856"/>
      <c r="AL577" s="2856"/>
      <c r="AM577" s="2856"/>
      <c r="AN577" s="2856"/>
      <c r="AO577" s="2856"/>
      <c r="AP577" s="2856"/>
      <c r="AQ577" s="2856"/>
      <c r="AR577" s="2856"/>
      <c r="AS577" s="2856"/>
      <c r="AT577" s="2866"/>
      <c r="AU577" s="2867"/>
      <c r="AV577" s="1182">
        <f t="shared" si="330"/>
        <v>0</v>
      </c>
      <c r="AW577" s="1182">
        <f t="shared" si="331"/>
        <v>0</v>
      </c>
      <c r="AX577" s="1182">
        <f t="shared" si="332"/>
        <v>0</v>
      </c>
      <c r="AY577" s="2881">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8">
        <f t="shared" si="354"/>
        <v>0</v>
      </c>
    </row>
    <row r="578" spans="1:72">
      <c r="A578" s="2833"/>
      <c r="B578" s="2834"/>
      <c r="C578" s="2834"/>
      <c r="D578" s="2835"/>
      <c r="E578" s="2836">
        <f t="shared" si="326"/>
        <v>0</v>
      </c>
      <c r="F578" s="2837"/>
      <c r="G578" s="2838">
        <f t="shared" si="327"/>
        <v>0</v>
      </c>
      <c r="H578" s="2839">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6">
        <f t="shared" si="329"/>
        <v>0</v>
      </c>
      <c r="AD578" s="2856"/>
      <c r="AE578" s="2856"/>
      <c r="AF578" s="2856"/>
      <c r="AG578" s="2856"/>
      <c r="AH578" s="2856"/>
      <c r="AI578" s="2856"/>
      <c r="AJ578" s="2856"/>
      <c r="AK578" s="2856"/>
      <c r="AL578" s="2856"/>
      <c r="AM578" s="2856"/>
      <c r="AN578" s="2856"/>
      <c r="AO578" s="2856"/>
      <c r="AP578" s="2856"/>
      <c r="AQ578" s="2856"/>
      <c r="AR578" s="2856"/>
      <c r="AS578" s="2856"/>
      <c r="AT578" s="2866"/>
      <c r="AU578" s="2867"/>
      <c r="AV578" s="1182">
        <f t="shared" si="330"/>
        <v>0</v>
      </c>
      <c r="AW578" s="1182">
        <f t="shared" si="331"/>
        <v>0</v>
      </c>
      <c r="AX578" s="1182">
        <f t="shared" si="332"/>
        <v>0</v>
      </c>
      <c r="AY578" s="2881">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8">
        <f t="shared" si="354"/>
        <v>0</v>
      </c>
    </row>
    <row r="579" spans="1:72">
      <c r="A579" s="2833"/>
      <c r="B579" s="2834"/>
      <c r="C579" s="2834"/>
      <c r="D579" s="2835"/>
      <c r="E579" s="2836">
        <f t="shared" si="326"/>
        <v>0</v>
      </c>
      <c r="F579" s="2837"/>
      <c r="G579" s="2838">
        <f t="shared" si="327"/>
        <v>0</v>
      </c>
      <c r="H579" s="2839">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6">
        <f t="shared" si="329"/>
        <v>0</v>
      </c>
      <c r="AD579" s="2856"/>
      <c r="AE579" s="2856"/>
      <c r="AF579" s="2856"/>
      <c r="AG579" s="2856"/>
      <c r="AH579" s="2856"/>
      <c r="AI579" s="2856"/>
      <c r="AJ579" s="2856"/>
      <c r="AK579" s="2856"/>
      <c r="AL579" s="2856"/>
      <c r="AM579" s="2856"/>
      <c r="AN579" s="2856"/>
      <c r="AO579" s="2856"/>
      <c r="AP579" s="2856"/>
      <c r="AQ579" s="2856"/>
      <c r="AR579" s="2856"/>
      <c r="AS579" s="2856"/>
      <c r="AT579" s="2866"/>
      <c r="AU579" s="2867"/>
      <c r="AV579" s="1182">
        <f t="shared" si="330"/>
        <v>0</v>
      </c>
      <c r="AW579" s="1182">
        <f t="shared" si="331"/>
        <v>0</v>
      </c>
      <c r="AX579" s="1182">
        <f t="shared" si="332"/>
        <v>0</v>
      </c>
      <c r="AY579" s="2881">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8">
        <f t="shared" si="354"/>
        <v>0</v>
      </c>
    </row>
    <row r="580" spans="1:72">
      <c r="A580" s="2833"/>
      <c r="B580" s="2834"/>
      <c r="C580" s="2834"/>
      <c r="D580" s="2835"/>
      <c r="E580" s="2836">
        <f t="shared" si="326"/>
        <v>0</v>
      </c>
      <c r="F580" s="2837"/>
      <c r="G580" s="2838">
        <f t="shared" si="327"/>
        <v>0</v>
      </c>
      <c r="H580" s="2839">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6">
        <f t="shared" si="329"/>
        <v>0</v>
      </c>
      <c r="AD580" s="2856"/>
      <c r="AE580" s="2856"/>
      <c r="AF580" s="2856"/>
      <c r="AG580" s="2856"/>
      <c r="AH580" s="2856"/>
      <c r="AI580" s="2856"/>
      <c r="AJ580" s="2856"/>
      <c r="AK580" s="2856"/>
      <c r="AL580" s="2856"/>
      <c r="AM580" s="2856"/>
      <c r="AN580" s="2856"/>
      <c r="AO580" s="2856"/>
      <c r="AP580" s="2856"/>
      <c r="AQ580" s="2856"/>
      <c r="AR580" s="2856"/>
      <c r="AS580" s="2856"/>
      <c r="AT580" s="2866"/>
      <c r="AU580" s="2867"/>
      <c r="AV580" s="1182">
        <f t="shared" si="330"/>
        <v>0</v>
      </c>
      <c r="AW580" s="1182">
        <f t="shared" si="331"/>
        <v>0</v>
      </c>
      <c r="AX580" s="1182">
        <f t="shared" si="332"/>
        <v>0</v>
      </c>
      <c r="AY580" s="2881">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8">
        <f t="shared" si="354"/>
        <v>0</v>
      </c>
    </row>
    <row r="581" spans="1:72">
      <c r="A581" s="2833"/>
      <c r="B581" s="2834"/>
      <c r="C581" s="2834"/>
      <c r="D581" s="2835"/>
      <c r="E581" s="2836">
        <f t="shared" si="326"/>
        <v>0</v>
      </c>
      <c r="F581" s="2837"/>
      <c r="G581" s="2838">
        <f t="shared" si="327"/>
        <v>0</v>
      </c>
      <c r="H581" s="2839">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6">
        <f t="shared" si="329"/>
        <v>0</v>
      </c>
      <c r="AD581" s="2856"/>
      <c r="AE581" s="2856"/>
      <c r="AF581" s="2856"/>
      <c r="AG581" s="2856"/>
      <c r="AH581" s="2856"/>
      <c r="AI581" s="2856"/>
      <c r="AJ581" s="2856"/>
      <c r="AK581" s="2856"/>
      <c r="AL581" s="2856"/>
      <c r="AM581" s="2856"/>
      <c r="AN581" s="2856"/>
      <c r="AO581" s="2856"/>
      <c r="AP581" s="2856"/>
      <c r="AQ581" s="2856"/>
      <c r="AR581" s="2856"/>
      <c r="AS581" s="2856"/>
      <c r="AT581" s="2866"/>
      <c r="AU581" s="2867"/>
      <c r="AV581" s="1182">
        <f t="shared" si="330"/>
        <v>0</v>
      </c>
      <c r="AW581" s="1182">
        <f t="shared" si="331"/>
        <v>0</v>
      </c>
      <c r="AX581" s="1182">
        <f t="shared" si="332"/>
        <v>0</v>
      </c>
      <c r="AY581" s="2881">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8">
        <f t="shared" si="354"/>
        <v>0</v>
      </c>
    </row>
    <row r="582" spans="1:72">
      <c r="A582" s="2833"/>
      <c r="B582" s="2834"/>
      <c r="C582" s="2834"/>
      <c r="D582" s="2835"/>
      <c r="E582" s="2836">
        <f t="shared" si="326"/>
        <v>0</v>
      </c>
      <c r="F582" s="2837"/>
      <c r="G582" s="2838">
        <f t="shared" si="327"/>
        <v>0</v>
      </c>
      <c r="H582" s="2839">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6">
        <f t="shared" si="329"/>
        <v>0</v>
      </c>
      <c r="AD582" s="2856"/>
      <c r="AE582" s="2856"/>
      <c r="AF582" s="2856"/>
      <c r="AG582" s="2856"/>
      <c r="AH582" s="2856"/>
      <c r="AI582" s="2856"/>
      <c r="AJ582" s="2856"/>
      <c r="AK582" s="2856"/>
      <c r="AL582" s="2856"/>
      <c r="AM582" s="2856"/>
      <c r="AN582" s="2856"/>
      <c r="AO582" s="2856"/>
      <c r="AP582" s="2856"/>
      <c r="AQ582" s="2856"/>
      <c r="AR582" s="2856"/>
      <c r="AS582" s="2856"/>
      <c r="AT582" s="2866"/>
      <c r="AU582" s="2867"/>
      <c r="AV582" s="1182">
        <f t="shared" si="330"/>
        <v>0</v>
      </c>
      <c r="AW582" s="1182">
        <f t="shared" si="331"/>
        <v>0</v>
      </c>
      <c r="AX582" s="1182">
        <f t="shared" si="332"/>
        <v>0</v>
      </c>
      <c r="AY582" s="2881">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8">
        <f t="shared" si="354"/>
        <v>0</v>
      </c>
    </row>
    <row r="583" spans="1:72">
      <c r="A583" s="2833"/>
      <c r="B583" s="2834"/>
      <c r="C583" s="2834"/>
      <c r="D583" s="2835"/>
      <c r="E583" s="2836">
        <f t="shared" si="326"/>
        <v>0</v>
      </c>
      <c r="F583" s="2837"/>
      <c r="G583" s="2838">
        <f t="shared" si="327"/>
        <v>0</v>
      </c>
      <c r="H583" s="2839">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6">
        <f t="shared" si="329"/>
        <v>0</v>
      </c>
      <c r="AD583" s="2856"/>
      <c r="AE583" s="2856"/>
      <c r="AF583" s="2856"/>
      <c r="AG583" s="2856"/>
      <c r="AH583" s="2856"/>
      <c r="AI583" s="2856"/>
      <c r="AJ583" s="2856"/>
      <c r="AK583" s="2856"/>
      <c r="AL583" s="2856"/>
      <c r="AM583" s="2856"/>
      <c r="AN583" s="2856"/>
      <c r="AO583" s="2856"/>
      <c r="AP583" s="2856"/>
      <c r="AQ583" s="2856"/>
      <c r="AR583" s="2856"/>
      <c r="AS583" s="2856"/>
      <c r="AT583" s="2866"/>
      <c r="AU583" s="2867"/>
      <c r="AV583" s="1182">
        <f t="shared" si="330"/>
        <v>0</v>
      </c>
      <c r="AW583" s="1182">
        <f t="shared" si="331"/>
        <v>0</v>
      </c>
      <c r="AX583" s="1182">
        <f t="shared" si="332"/>
        <v>0</v>
      </c>
      <c r="AY583" s="2881">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8">
        <f t="shared" si="354"/>
        <v>0</v>
      </c>
    </row>
    <row r="584" spans="1:72">
      <c r="A584" s="2833"/>
      <c r="B584" s="2834"/>
      <c r="C584" s="2834"/>
      <c r="D584" s="2835"/>
      <c r="E584" s="2836">
        <f t="shared" si="326"/>
        <v>0</v>
      </c>
      <c r="F584" s="2837"/>
      <c r="G584" s="2838">
        <f t="shared" si="327"/>
        <v>0</v>
      </c>
      <c r="H584" s="2839">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6">
        <f t="shared" si="329"/>
        <v>0</v>
      </c>
      <c r="AD584" s="2856"/>
      <c r="AE584" s="2856"/>
      <c r="AF584" s="2856"/>
      <c r="AG584" s="2856"/>
      <c r="AH584" s="2856"/>
      <c r="AI584" s="2856"/>
      <c r="AJ584" s="2856"/>
      <c r="AK584" s="2856"/>
      <c r="AL584" s="2856"/>
      <c r="AM584" s="2856"/>
      <c r="AN584" s="2856"/>
      <c r="AO584" s="2856"/>
      <c r="AP584" s="2856"/>
      <c r="AQ584" s="2856"/>
      <c r="AR584" s="2856"/>
      <c r="AS584" s="2856"/>
      <c r="AT584" s="2866"/>
      <c r="AU584" s="2867"/>
      <c r="AV584" s="1182">
        <f t="shared" si="330"/>
        <v>0</v>
      </c>
      <c r="AW584" s="1182">
        <f t="shared" si="331"/>
        <v>0</v>
      </c>
      <c r="AX584" s="1182">
        <f t="shared" si="332"/>
        <v>0</v>
      </c>
      <c r="AY584" s="2881">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8">
        <f t="shared" si="354"/>
        <v>0</v>
      </c>
    </row>
    <row r="585" spans="1:72">
      <c r="A585" s="2833"/>
      <c r="B585" s="2833"/>
      <c r="C585" s="2833"/>
      <c r="D585" s="2835"/>
      <c r="E585" s="2836">
        <f t="shared" si="326"/>
        <v>0</v>
      </c>
      <c r="F585" s="2889"/>
      <c r="G585" s="2838">
        <f t="shared" si="327"/>
        <v>0</v>
      </c>
      <c r="H585" s="2839">
        <f t="shared" si="328"/>
        <v>0</v>
      </c>
      <c r="I585" s="2890"/>
      <c r="J585" s="2890"/>
      <c r="K585" s="2846"/>
      <c r="L585" s="2846"/>
      <c r="M585" s="2846"/>
      <c r="N585" s="2846"/>
      <c r="O585" s="2846"/>
      <c r="P585" s="2846"/>
      <c r="Q585" s="2846"/>
      <c r="R585" s="2846"/>
      <c r="S585" s="2846"/>
      <c r="T585" s="2846"/>
      <c r="U585" s="2846"/>
      <c r="V585" s="2846"/>
      <c r="W585" s="2846"/>
      <c r="X585" s="2846"/>
      <c r="Y585" s="2846"/>
      <c r="Z585" s="2846"/>
      <c r="AA585" s="2846"/>
      <c r="AB585" s="2846"/>
      <c r="AC585" s="2836">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2891"/>
      <c r="AV585" s="1182">
        <f t="shared" si="330"/>
        <v>0</v>
      </c>
      <c r="AW585" s="1182">
        <f t="shared" si="331"/>
        <v>0</v>
      </c>
      <c r="AX585" s="1182">
        <f t="shared" si="332"/>
        <v>0</v>
      </c>
      <c r="AY585" s="2881">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8">
        <f t="shared" si="354"/>
        <v>0</v>
      </c>
    </row>
    <row r="586" spans="1:72">
      <c r="A586" s="2833"/>
      <c r="B586" s="2833"/>
      <c r="C586" s="2833"/>
      <c r="D586" s="2835"/>
      <c r="E586" s="2836">
        <f t="shared" si="326"/>
        <v>0</v>
      </c>
      <c r="F586" s="2889"/>
      <c r="G586" s="2838">
        <f t="shared" si="327"/>
        <v>0</v>
      </c>
      <c r="H586" s="2839">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6">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2891"/>
      <c r="AV586" s="1182">
        <f t="shared" si="330"/>
        <v>0</v>
      </c>
      <c r="AW586" s="1182">
        <f t="shared" si="331"/>
        <v>0</v>
      </c>
      <c r="AX586" s="1182">
        <f t="shared" si="332"/>
        <v>0</v>
      </c>
      <c r="AY586" s="2881">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8">
        <f t="shared" si="354"/>
        <v>0</v>
      </c>
    </row>
    <row r="587" spans="1:72">
      <c r="A587" s="2833"/>
      <c r="B587" s="2833"/>
      <c r="C587" s="2833"/>
      <c r="D587" s="2835"/>
      <c r="E587" s="2836">
        <f t="shared" si="326"/>
        <v>0</v>
      </c>
      <c r="F587" s="2889"/>
      <c r="G587" s="2838">
        <f t="shared" si="327"/>
        <v>0</v>
      </c>
      <c r="H587" s="2839">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6">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2891"/>
      <c r="AV587" s="1182">
        <f t="shared" si="330"/>
        <v>0</v>
      </c>
      <c r="AW587" s="1182">
        <f t="shared" si="331"/>
        <v>0</v>
      </c>
      <c r="AX587" s="1182">
        <f t="shared" si="332"/>
        <v>0</v>
      </c>
      <c r="AY587" s="2881">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8">
        <f t="shared" si="354"/>
        <v>0</v>
      </c>
    </row>
    <row r="588" spans="1:72" s="2801" customFormat="1">
      <c r="A588" s="2892"/>
      <c r="B588" s="2892"/>
      <c r="C588" s="2892"/>
      <c r="D588" s="2892"/>
      <c r="E588" s="2893"/>
      <c r="F588" s="2893"/>
      <c r="G588" s="2892"/>
      <c r="H588" s="2893"/>
      <c r="I588" s="2893"/>
      <c r="J588" s="2893"/>
      <c r="K588" s="2893"/>
      <c r="L588" s="2893"/>
      <c r="M588" s="2893"/>
      <c r="N588" s="2893"/>
      <c r="O588" s="2893"/>
      <c r="P588" s="2893"/>
      <c r="Q588" s="2893"/>
      <c r="R588" s="2893"/>
      <c r="S588" s="2893"/>
      <c r="T588" s="2893"/>
      <c r="U588" s="2893"/>
      <c r="V588" s="2893"/>
      <c r="W588" s="2893"/>
      <c r="X588" s="2893"/>
      <c r="Y588" s="2893"/>
      <c r="Z588" s="2893"/>
      <c r="AA588" s="2893"/>
      <c r="AB588" s="2893"/>
      <c r="AC588" s="2893"/>
      <c r="AD588" s="2893"/>
      <c r="AE588" s="2893"/>
      <c r="AF588" s="2893"/>
      <c r="AG588" s="2893"/>
      <c r="AH588" s="2893"/>
      <c r="AI588" s="2893"/>
      <c r="AJ588" s="2893"/>
      <c r="AK588" s="2893"/>
      <c r="AL588" s="2893"/>
      <c r="AM588" s="2893"/>
      <c r="AN588" s="2893"/>
      <c r="AO588" s="2893"/>
      <c r="AP588" s="2893"/>
      <c r="AQ588" s="2893"/>
      <c r="AR588" s="2893"/>
      <c r="AS588" s="2893"/>
      <c r="AT588" s="2893"/>
      <c r="AU588" s="2892"/>
      <c r="AV588" s="2892"/>
      <c r="AW588" s="2892"/>
      <c r="AX588" s="2892"/>
    </row>
    <row r="589" spans="1:72" s="2802" customFormat="1">
      <c r="C589" s="2894"/>
      <c r="D589" s="2894"/>
    </row>
    <row r="590" spans="1:72" s="2802" customFormat="1">
      <c r="C590" s="2894"/>
      <c r="D590" s="2894"/>
    </row>
    <row r="593" spans="2:2">
      <c r="B593" s="2894"/>
    </row>
  </sheetData>
  <sheetProtection password="C66D" sheet="1" objects="1" scenarios="1" formatCells="0" formatColumns="0" formatRows="0"/>
  <phoneticPr fontId="22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5" customWidth="1"/>
    <col min="2" max="2" width="10.625" style="2795" customWidth="1"/>
    <col min="3" max="3" width="15.75" style="2795" customWidth="1"/>
    <col min="4" max="7" width="9.5" style="2795" customWidth="1"/>
    <col min="8" max="13" width="9.125" style="2795" customWidth="1"/>
    <col min="14" max="16384" width="9" style="2795"/>
  </cols>
  <sheetData>
    <row r="1" spans="1:13" ht="14.25">
      <c r="A1" s="3297" t="s">
        <v>468</v>
      </c>
      <c r="B1" s="3297" t="s">
        <v>469</v>
      </c>
      <c r="C1" s="3297" t="s">
        <v>470</v>
      </c>
      <c r="D1" s="3296" t="s">
        <v>471</v>
      </c>
      <c r="E1" s="3296" t="s">
        <v>472</v>
      </c>
      <c r="F1" s="3296"/>
      <c r="G1" s="3296"/>
      <c r="H1" s="3296"/>
      <c r="I1" s="3296"/>
      <c r="J1" s="3296"/>
      <c r="K1" s="3296"/>
      <c r="L1" s="3296"/>
      <c r="M1" s="3296"/>
    </row>
    <row r="2" spans="1:13" ht="27" customHeight="1">
      <c r="A2" s="3297"/>
      <c r="B2" s="3297"/>
      <c r="C2" s="3297"/>
      <c r="D2" s="3296"/>
      <c r="E2" s="3296" t="s">
        <v>473</v>
      </c>
      <c r="F2" s="3296" t="s">
        <v>474</v>
      </c>
      <c r="G2" s="3296"/>
      <c r="H2" s="3296"/>
      <c r="I2" s="3296"/>
      <c r="J2" s="3296" t="s">
        <v>475</v>
      </c>
      <c r="K2" s="3296"/>
      <c r="L2" s="3296"/>
      <c r="M2" s="3296"/>
    </row>
    <row r="3" spans="1:13" ht="28.5">
      <c r="A3" s="3297"/>
      <c r="B3" s="3297"/>
      <c r="C3" s="3297"/>
      <c r="D3" s="3296"/>
      <c r="E3" s="3296"/>
      <c r="F3" s="2797" t="s">
        <v>476</v>
      </c>
      <c r="G3" s="2797" t="s">
        <v>477</v>
      </c>
      <c r="H3" s="2797" t="s">
        <v>478</v>
      </c>
      <c r="I3" s="2797" t="s">
        <v>479</v>
      </c>
      <c r="J3" s="2797" t="s">
        <v>476</v>
      </c>
      <c r="K3" s="2797" t="s">
        <v>480</v>
      </c>
      <c r="L3" s="2797" t="s">
        <v>481</v>
      </c>
      <c r="M3" s="2797" t="s">
        <v>482</v>
      </c>
    </row>
    <row r="4" spans="1:13" ht="42.75">
      <c r="A4" s="2797" t="s">
        <v>483</v>
      </c>
      <c r="B4" s="2797" t="s">
        <v>484</v>
      </c>
      <c r="C4" s="2797" t="s">
        <v>485</v>
      </c>
      <c r="D4" s="2796">
        <v>3807.94</v>
      </c>
      <c r="E4" s="2796">
        <v>20666.91</v>
      </c>
      <c r="F4" s="2796">
        <v>19673</v>
      </c>
      <c r="G4" s="2796">
        <v>0</v>
      </c>
      <c r="H4" s="2796">
        <v>19673</v>
      </c>
      <c r="I4" s="2796">
        <v>0</v>
      </c>
      <c r="J4" s="2796">
        <v>993.91</v>
      </c>
      <c r="K4" s="2796">
        <v>0</v>
      </c>
      <c r="L4" s="2796">
        <v>0</v>
      </c>
      <c r="M4" s="2796">
        <v>993.91</v>
      </c>
    </row>
    <row r="5" spans="1:13" ht="42.75">
      <c r="A5" s="2797" t="s">
        <v>483</v>
      </c>
      <c r="B5" s="2797" t="s">
        <v>486</v>
      </c>
      <c r="C5" s="2797" t="s">
        <v>487</v>
      </c>
      <c r="D5" s="2796">
        <v>3667.86</v>
      </c>
      <c r="E5" s="2796">
        <v>19906.61</v>
      </c>
      <c r="F5" s="2796">
        <v>18792.87</v>
      </c>
      <c r="G5" s="2796">
        <v>18792.87</v>
      </c>
      <c r="H5" s="2796">
        <v>0</v>
      </c>
      <c r="I5" s="2796">
        <v>0</v>
      </c>
      <c r="J5" s="2796">
        <v>1113.74</v>
      </c>
      <c r="K5" s="2796">
        <v>55.59</v>
      </c>
      <c r="L5" s="2796">
        <v>0</v>
      </c>
      <c r="M5" s="2796">
        <v>1058.1500000000001</v>
      </c>
    </row>
    <row r="6" spans="1:13" ht="42.75">
      <c r="A6" s="2797" t="s">
        <v>483</v>
      </c>
      <c r="B6" s="2797" t="s">
        <v>486</v>
      </c>
      <c r="C6" s="2797" t="s">
        <v>488</v>
      </c>
      <c r="D6" s="2796">
        <v>2067.52</v>
      </c>
      <c r="E6" s="2796">
        <v>11221.06</v>
      </c>
      <c r="F6" s="2796">
        <v>9934.1299999999992</v>
      </c>
      <c r="G6" s="2796">
        <v>9934.1299999999992</v>
      </c>
      <c r="H6" s="2796">
        <v>0</v>
      </c>
      <c r="I6" s="2796">
        <v>0</v>
      </c>
      <c r="J6" s="2796">
        <v>1286.93</v>
      </c>
      <c r="K6" s="2796">
        <v>0</v>
      </c>
      <c r="L6" s="2796">
        <v>0</v>
      </c>
      <c r="M6" s="2796">
        <v>1286.93</v>
      </c>
    </row>
    <row r="7" spans="1:13" ht="42.75">
      <c r="A7" s="2797" t="s">
        <v>483</v>
      </c>
      <c r="B7" s="2797" t="s">
        <v>486</v>
      </c>
      <c r="C7" s="2797" t="s">
        <v>489</v>
      </c>
      <c r="D7" s="2796">
        <v>8.18</v>
      </c>
      <c r="E7" s="2796">
        <v>44.41</v>
      </c>
      <c r="F7" s="2796">
        <v>0</v>
      </c>
      <c r="G7" s="2796">
        <v>0</v>
      </c>
      <c r="H7" s="2796">
        <v>0</v>
      </c>
      <c r="I7" s="2796">
        <v>0</v>
      </c>
      <c r="J7" s="2796">
        <v>44.41</v>
      </c>
      <c r="K7" s="2796">
        <v>44.41</v>
      </c>
      <c r="L7" s="2796">
        <v>0</v>
      </c>
      <c r="M7" s="2796">
        <v>0</v>
      </c>
    </row>
    <row r="8" spans="1:13" ht="42.75">
      <c r="A8" s="2797" t="s">
        <v>483</v>
      </c>
      <c r="B8" s="2797" t="s">
        <v>486</v>
      </c>
      <c r="C8" s="2797" t="s">
        <v>479</v>
      </c>
      <c r="D8" s="2796">
        <v>2455.5300000000002</v>
      </c>
      <c r="E8" s="2796">
        <v>13326.96</v>
      </c>
      <c r="F8" s="2796">
        <v>9231.0499999999993</v>
      </c>
      <c r="G8" s="2796">
        <v>0</v>
      </c>
      <c r="H8" s="2796">
        <v>0</v>
      </c>
      <c r="I8" s="2796">
        <v>9231.0499999999993</v>
      </c>
      <c r="J8" s="2796">
        <v>4095.91</v>
      </c>
      <c r="K8" s="2796">
        <v>0</v>
      </c>
      <c r="L8" s="2796">
        <v>3320.79</v>
      </c>
      <c r="M8" s="2796">
        <v>775.12</v>
      </c>
    </row>
    <row r="9" spans="1:13" ht="27" customHeight="1">
      <c r="A9" s="3296" t="s">
        <v>490</v>
      </c>
      <c r="B9" s="3296"/>
      <c r="C9" s="3296"/>
      <c r="D9" s="2796">
        <v>12007.03</v>
      </c>
      <c r="E9" s="2796">
        <v>65165.95</v>
      </c>
      <c r="F9" s="2796">
        <v>57631.05</v>
      </c>
      <c r="G9" s="2796">
        <v>28727</v>
      </c>
      <c r="H9" s="2796">
        <v>19673</v>
      </c>
      <c r="I9" s="2796">
        <v>9231.0499999999993</v>
      </c>
      <c r="J9" s="2796">
        <v>7534.9</v>
      </c>
      <c r="K9" s="2796">
        <v>100</v>
      </c>
      <c r="L9" s="2796">
        <v>3320.79</v>
      </c>
      <c r="M9" s="2796">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F23" sqref="F23"/>
    </sheetView>
  </sheetViews>
  <sheetFormatPr defaultColWidth="9.25" defaultRowHeight="14.25"/>
  <cols>
    <col min="1" max="1" width="12.125" style="2709" customWidth="1"/>
    <col min="2" max="2" width="10.25" style="2709" customWidth="1"/>
    <col min="3" max="3" width="18.5" style="2709" customWidth="1"/>
    <col min="4" max="4" width="11.625" style="2709" customWidth="1"/>
    <col min="5" max="5" width="13.375" style="2709" customWidth="1"/>
    <col min="6" max="8" width="11.5" style="2709" customWidth="1"/>
    <col min="9" max="9" width="11.125" style="2709" customWidth="1"/>
    <col min="10" max="10" width="3.125" style="2710" customWidth="1"/>
    <col min="11" max="16" width="10" style="2709" customWidth="1"/>
    <col min="17" max="17" width="2.625" style="2709" customWidth="1"/>
    <col min="18" max="18" width="9.375" style="2709" customWidth="1"/>
    <col min="19" max="19" width="10.5" style="2709" customWidth="1"/>
    <col min="20" max="16384" width="9.25" style="2709"/>
  </cols>
  <sheetData>
    <row r="1" spans="1:16" ht="18.75">
      <c r="A1" s="2135" t="s">
        <v>491</v>
      </c>
      <c r="B1" s="2212"/>
      <c r="C1" s="2212"/>
      <c r="D1" s="2212"/>
      <c r="E1" s="2212"/>
      <c r="F1" s="2212"/>
      <c r="G1" s="2212"/>
      <c r="H1" s="2212"/>
      <c r="I1" s="2212"/>
      <c r="J1" s="2212"/>
      <c r="K1" s="2212"/>
      <c r="L1" s="2212"/>
      <c r="M1" s="2212"/>
      <c r="N1" s="2212"/>
      <c r="O1" s="2212"/>
      <c r="P1" s="2212"/>
    </row>
    <row r="2" spans="1:16" ht="15">
      <c r="A2" s="3307" t="s">
        <v>492</v>
      </c>
      <c r="B2" s="3307"/>
      <c r="C2" s="3307"/>
      <c r="D2" s="1956" t="s">
        <v>493</v>
      </c>
      <c r="E2" s="2711" t="s">
        <v>494</v>
      </c>
      <c r="F2" s="2712"/>
      <c r="G2" s="2713"/>
      <c r="H2" s="2714"/>
      <c r="I2" s="2364" t="s">
        <v>495</v>
      </c>
      <c r="J2" s="2712"/>
      <c r="K2" s="2712"/>
      <c r="L2" s="2712"/>
      <c r="M2" s="2712"/>
      <c r="N2" s="1308"/>
      <c r="O2" s="2712"/>
      <c r="P2" s="2712"/>
    </row>
    <row r="3" spans="1:16" ht="15">
      <c r="A3" s="3308" t="s">
        <v>496</v>
      </c>
      <c r="B3" s="3308"/>
      <c r="C3" s="3308"/>
      <c r="D3" s="2715">
        <f>'数据-基础表'!AY6</f>
        <v>0.39</v>
      </c>
      <c r="E3" s="2715">
        <f>'数据-基础表'!AZ5</f>
        <v>1</v>
      </c>
      <c r="F3" s="2712"/>
      <c r="G3" s="2716"/>
      <c r="H3" s="2161" t="s">
        <v>497</v>
      </c>
      <c r="I3" s="2776">
        <f>ROUND('数据-基础表'!B3/'数据-基础表'!A3,2)</f>
        <v>2.56</v>
      </c>
      <c r="J3" s="2712"/>
      <c r="K3" s="2712"/>
      <c r="L3" s="2712"/>
      <c r="M3" s="2712"/>
      <c r="N3" s="1308"/>
      <c r="O3" s="2712"/>
      <c r="P3" s="2712"/>
    </row>
    <row r="4" spans="1:16" ht="15">
      <c r="A4" s="3309"/>
      <c r="B4" s="3310"/>
      <c r="C4" s="3311"/>
      <c r="D4" s="2717" t="s">
        <v>493</v>
      </c>
      <c r="E4" s="2718" t="s">
        <v>494</v>
      </c>
      <c r="F4" s="2712"/>
      <c r="G4" s="2719" t="s">
        <v>498</v>
      </c>
      <c r="H4" s="2161" t="s">
        <v>499</v>
      </c>
      <c r="I4" s="2776">
        <f>ROUND(SUMIF('数据-基础表'!I9:AS9,"地上",'数据-基础表'!I5:AS5)/'数据-基础表'!A3,2)</f>
        <v>2.56</v>
      </c>
      <c r="J4" s="2712"/>
      <c r="K4" s="2712"/>
      <c r="L4" s="2712"/>
      <c r="M4" s="2712"/>
      <c r="N4" s="1308"/>
      <c r="O4" s="2712"/>
      <c r="P4" s="2712"/>
    </row>
    <row r="5" spans="1:16">
      <c r="A5" s="2720" t="s">
        <v>500</v>
      </c>
      <c r="B5" s="3312" t="s">
        <v>501</v>
      </c>
      <c r="C5" s="3312"/>
      <c r="D5" s="2721">
        <f>ROUND($D$3*E5/$E$3,2)</f>
        <v>0.39</v>
      </c>
      <c r="E5" s="2722">
        <f>SUMIF('数据-基础表'!$11:$11,"住宅",'数据-基础表'!$5:$5)</f>
        <v>1</v>
      </c>
      <c r="F5" s="2712"/>
      <c r="G5" s="2716"/>
      <c r="H5" s="2161" t="s">
        <v>497</v>
      </c>
      <c r="I5" s="2776">
        <f>ROUND(E31/D31,2)</f>
        <v>2.56</v>
      </c>
      <c r="J5" s="2712"/>
      <c r="K5" s="2712"/>
      <c r="L5" s="2712"/>
      <c r="M5" s="2712"/>
      <c r="N5" s="2712"/>
      <c r="O5" s="2712"/>
      <c r="P5" s="2712"/>
    </row>
    <row r="6" spans="1:16">
      <c r="A6" s="2723"/>
      <c r="B6" s="3312" t="s">
        <v>502</v>
      </c>
      <c r="C6" s="3312"/>
      <c r="D6" s="2721">
        <f>ROUND($D$3*E6/$E$3,2)</f>
        <v>0</v>
      </c>
      <c r="E6" s="2722">
        <f>E3-E5</f>
        <v>0</v>
      </c>
      <c r="F6" s="2712"/>
      <c r="G6" s="2724" t="s">
        <v>503</v>
      </c>
      <c r="H6" s="2725" t="s">
        <v>499</v>
      </c>
      <c r="I6" s="2777">
        <f>ROUND(F31/D31,2)</f>
        <v>2.56</v>
      </c>
      <c r="J6" s="2712"/>
      <c r="K6" s="2712"/>
      <c r="L6" s="2712"/>
      <c r="M6" s="2712"/>
      <c r="N6" s="2712"/>
      <c r="O6" s="2712"/>
      <c r="P6" s="2712"/>
    </row>
    <row r="7" spans="1:16" ht="15">
      <c r="A7" s="3298"/>
      <c r="B7" s="3299"/>
      <c r="C7" s="3300"/>
      <c r="D7" s="2717" t="s">
        <v>493</v>
      </c>
      <c r="E7" s="2726" t="s">
        <v>504</v>
      </c>
      <c r="F7" s="2712"/>
      <c r="G7" s="2727" t="s">
        <v>505</v>
      </c>
      <c r="H7" s="2728"/>
      <c r="I7" s="2778"/>
      <c r="J7" s="2712"/>
      <c r="K7" s="2712"/>
      <c r="L7" s="2712"/>
      <c r="M7" s="2712"/>
      <c r="N7" s="2712"/>
      <c r="O7" s="2712"/>
      <c r="P7" s="2712"/>
    </row>
    <row r="8" spans="1:16">
      <c r="A8" s="2720" t="s">
        <v>506</v>
      </c>
      <c r="B8" s="2729" t="s">
        <v>507</v>
      </c>
      <c r="C8" s="2721" t="s">
        <v>508</v>
      </c>
      <c r="D8" s="2721">
        <f t="shared" ref="D8:D15" si="0">ROUND($D$3*E8/$E$3,2)</f>
        <v>0.39</v>
      </c>
      <c r="E8" s="2730">
        <f>SUMIF('数据-基础表'!BB10:BK10,"地上",'数据-基础表'!BB5:BK5)</f>
        <v>1</v>
      </c>
      <c r="F8" s="2712"/>
      <c r="G8" s="2731"/>
      <c r="H8" s="2731"/>
      <c r="I8" s="2712"/>
      <c r="J8" s="2712"/>
      <c r="K8" s="2712"/>
      <c r="L8" s="2712"/>
      <c r="M8" s="2712"/>
      <c r="N8" s="2712"/>
      <c r="O8" s="2712"/>
      <c r="P8" s="2712"/>
    </row>
    <row r="9" spans="1:16">
      <c r="A9" s="2732"/>
      <c r="B9" s="2733"/>
      <c r="C9" s="2721" t="s">
        <v>509</v>
      </c>
      <c r="D9" s="2721">
        <f t="shared" si="0"/>
        <v>0</v>
      </c>
      <c r="E9" s="2734">
        <v>0</v>
      </c>
      <c r="F9" s="2712"/>
      <c r="G9" s="2731"/>
      <c r="H9" s="2731"/>
      <c r="I9" s="2712"/>
      <c r="J9" s="2712"/>
      <c r="K9" s="2712"/>
      <c r="L9" s="2712"/>
      <c r="M9" s="2712"/>
      <c r="N9" s="2712"/>
      <c r="O9" s="2712"/>
      <c r="P9" s="2712"/>
    </row>
    <row r="10" spans="1:16">
      <c r="A10" s="2732"/>
      <c r="B10" s="2733"/>
      <c r="C10" s="2721" t="s">
        <v>510</v>
      </c>
      <c r="D10" s="2721">
        <f t="shared" si="0"/>
        <v>0</v>
      </c>
      <c r="E10" s="2730">
        <f>SUMPRODUCT(('数据-基础表'!BB10:BK10="地下")*('数据-基础表'!BB11:BK11="商业")*('数据-基础表'!BB5:BK5))</f>
        <v>0</v>
      </c>
      <c r="F10" s="2712"/>
      <c r="G10" s="2731"/>
      <c r="H10" s="2731"/>
      <c r="I10" s="2712"/>
      <c r="J10" s="2712"/>
      <c r="K10" s="2712"/>
      <c r="L10" s="2712"/>
      <c r="M10" s="2712"/>
      <c r="N10" s="2712"/>
      <c r="O10" s="2712"/>
      <c r="P10" s="2712"/>
    </row>
    <row r="11" spans="1:16">
      <c r="A11" s="2732"/>
      <c r="B11" s="2733"/>
      <c r="C11" s="2721" t="s">
        <v>511</v>
      </c>
      <c r="D11" s="2721">
        <f t="shared" si="0"/>
        <v>0</v>
      </c>
      <c r="E11" s="2730">
        <f>SUMPRODUCT(('数据-基础表'!BB10:BK10="地下")*('数据-基础表'!BB11:BK11="办公")*('数据-基础表'!BB5:BK5))+'数据-基础表'!BP5</f>
        <v>0</v>
      </c>
      <c r="F11" s="2712"/>
      <c r="G11" s="2731"/>
      <c r="H11" s="2731"/>
      <c r="I11" s="2712"/>
      <c r="J11" s="2712"/>
      <c r="K11" s="2712"/>
      <c r="L11" s="2712"/>
      <c r="M11" s="2712"/>
      <c r="N11" s="2712"/>
      <c r="O11" s="2712"/>
      <c r="P11" s="2712"/>
    </row>
    <row r="12" spans="1:16">
      <c r="A12" s="2732"/>
      <c r="B12" s="2733"/>
      <c r="C12" s="2721" t="s">
        <v>512</v>
      </c>
      <c r="D12" s="2721">
        <f t="shared" si="0"/>
        <v>0</v>
      </c>
      <c r="E12" s="2730">
        <f>SUMPRODUCT(('数据-基础表'!BB10:BK10="地下")*('数据-基础表'!BB11:BK11="仓储")*('数据-基础表'!BB5:BK5))</f>
        <v>0</v>
      </c>
      <c r="F12" s="2712"/>
      <c r="G12" s="2731"/>
      <c r="H12" s="2731"/>
      <c r="I12" s="2712"/>
      <c r="J12" s="2712"/>
      <c r="K12" s="2712"/>
      <c r="L12" s="2712"/>
      <c r="M12" s="2712"/>
      <c r="N12" s="2712"/>
      <c r="O12" s="2712"/>
      <c r="P12" s="2712"/>
    </row>
    <row r="13" spans="1:16">
      <c r="A13" s="2732"/>
      <c r="B13" s="2733"/>
      <c r="C13" s="2721" t="s">
        <v>513</v>
      </c>
      <c r="D13" s="2721">
        <f t="shared" si="0"/>
        <v>0</v>
      </c>
      <c r="E13" s="2730">
        <f>SUMPRODUCT(('数据-基础表'!BB10:BK10="地下")*('数据-基础表'!BB11:BK11="车库")*('数据-基础表'!BB5:BK5))</f>
        <v>0</v>
      </c>
      <c r="F13" s="2712"/>
      <c r="G13" s="2731"/>
      <c r="H13" s="2731"/>
      <c r="I13" s="2712"/>
      <c r="J13" s="2712"/>
      <c r="K13" s="2712"/>
      <c r="L13" s="2712"/>
      <c r="M13" s="2712"/>
      <c r="N13" s="2712"/>
      <c r="O13" s="2712"/>
      <c r="P13" s="2712"/>
    </row>
    <row r="14" spans="1:16">
      <c r="A14" s="2732"/>
      <c r="B14" s="2733"/>
      <c r="C14" s="2721" t="s">
        <v>514</v>
      </c>
      <c r="D14" s="2721">
        <f t="shared" si="0"/>
        <v>0</v>
      </c>
      <c r="E14" s="2730">
        <f>SUMPRODUCT(('数据-基础表'!BB10:BK10="地下")*('数据-基础表'!BB11:BK11="车库—商业")*('数据-基础表'!BB5:BK5))</f>
        <v>0</v>
      </c>
      <c r="F14" s="2712"/>
      <c r="G14" s="2731"/>
      <c r="H14" s="2731"/>
      <c r="I14" s="2712"/>
      <c r="J14" s="2712"/>
      <c r="K14" s="2712"/>
      <c r="L14" s="2712"/>
      <c r="M14" s="2712"/>
      <c r="N14" s="2712"/>
      <c r="O14" s="2712"/>
      <c r="P14" s="2712"/>
    </row>
    <row r="15" spans="1:16">
      <c r="A15" s="2732"/>
      <c r="B15" s="2733"/>
      <c r="C15" s="2721" t="s">
        <v>515</v>
      </c>
      <c r="D15" s="2721">
        <f t="shared" si="0"/>
        <v>0</v>
      </c>
      <c r="E15" s="2730">
        <f>SUMPRODUCT(('数据-基础表'!BB10:BK10="地下")*('数据-基础表'!BB11:BK11="车库—办公")*('数据-基础表'!BB5:BK5))</f>
        <v>0</v>
      </c>
      <c r="F15" s="2712"/>
      <c r="G15" s="2731"/>
      <c r="H15" s="2731"/>
      <c r="I15" s="2712"/>
      <c r="J15" s="2712"/>
      <c r="K15" s="2712"/>
      <c r="L15" s="2712"/>
      <c r="M15" s="2712"/>
      <c r="N15" s="2712"/>
      <c r="O15" s="2712"/>
      <c r="P15" s="2712"/>
    </row>
    <row r="16" spans="1:16" ht="15">
      <c r="A16" s="2723"/>
      <c r="B16" s="2733"/>
      <c r="C16" s="2729" t="s">
        <v>516</v>
      </c>
      <c r="D16" s="2729">
        <f>SUM(D8:D15)</f>
        <v>0.39</v>
      </c>
      <c r="E16" s="2735">
        <f>SUM(E8:E15)</f>
        <v>1</v>
      </c>
      <c r="F16" s="2712"/>
      <c r="G16" s="2731"/>
      <c r="H16" s="2736" t="s">
        <v>517</v>
      </c>
      <c r="I16" s="2779"/>
      <c r="J16" s="2212"/>
      <c r="K16" s="3301" t="s">
        <v>517</v>
      </c>
      <c r="L16" s="3302"/>
      <c r="M16" s="3302"/>
      <c r="N16" s="3302"/>
      <c r="O16" s="3302"/>
      <c r="P16" s="3303"/>
    </row>
    <row r="17" spans="1:19" ht="15">
      <c r="A17" s="2671" t="s">
        <v>518</v>
      </c>
      <c r="B17" s="2737" t="s">
        <v>519</v>
      </c>
      <c r="C17" s="2670" t="s">
        <v>520</v>
      </c>
      <c r="D17" s="2738" t="s">
        <v>493</v>
      </c>
      <c r="E17" s="2739" t="s">
        <v>494</v>
      </c>
      <c r="F17" s="2740"/>
      <c r="G17" s="2741"/>
      <c r="H17" s="2742" t="s">
        <v>521</v>
      </c>
      <c r="I17" s="2780" t="s">
        <v>522</v>
      </c>
      <c r="J17" s="2212"/>
      <c r="K17" s="3304" t="s">
        <v>523</v>
      </c>
      <c r="L17" s="3305"/>
      <c r="M17" s="3306"/>
      <c r="N17" s="3304" t="s">
        <v>524</v>
      </c>
      <c r="O17" s="3305"/>
      <c r="P17" s="3306"/>
      <c r="R17" s="2793" t="s">
        <v>525</v>
      </c>
      <c r="S17" s="2150"/>
    </row>
    <row r="18" spans="1:19" ht="15">
      <c r="A18" s="2732"/>
      <c r="B18" s="2743"/>
      <c r="C18" s="2744"/>
      <c r="D18" s="2745"/>
      <c r="E18" s="2746" t="s">
        <v>526</v>
      </c>
      <c r="F18" s="2747" t="s">
        <v>499</v>
      </c>
      <c r="G18" s="2748" t="s">
        <v>527</v>
      </c>
      <c r="H18" s="2676" t="s">
        <v>528</v>
      </c>
      <c r="I18" s="2781" t="s">
        <v>529</v>
      </c>
      <c r="J18" s="2212"/>
      <c r="K18" s="2676" t="s">
        <v>530</v>
      </c>
      <c r="L18" s="2377" t="s">
        <v>531</v>
      </c>
      <c r="M18" s="2776" t="s">
        <v>532</v>
      </c>
      <c r="N18" s="2676" t="s">
        <v>530</v>
      </c>
      <c r="O18" s="2377" t="s">
        <v>531</v>
      </c>
      <c r="P18" s="2776" t="s">
        <v>532</v>
      </c>
      <c r="R18" s="2161" t="s">
        <v>528</v>
      </c>
      <c r="S18" s="2161" t="s">
        <v>529</v>
      </c>
    </row>
    <row r="19" spans="1:19">
      <c r="A19" s="2749"/>
      <c r="B19" s="2729" t="s">
        <v>533</v>
      </c>
      <c r="C19" s="2750" t="s">
        <v>457</v>
      </c>
      <c r="D19" s="2721">
        <f>ROUND($D$3*E19/$E$3,2)</f>
        <v>0.39</v>
      </c>
      <c r="E19" s="2751">
        <f t="shared" ref="E19:E26" si="1">SUM(F19:G19)</f>
        <v>1</v>
      </c>
      <c r="F19" s="2752">
        <v>1</v>
      </c>
      <c r="G19" s="2753"/>
      <c r="H19" s="2660">
        <f>ROUND($D$3*I19/$E$3,2)</f>
        <v>0</v>
      </c>
      <c r="I19" s="2730">
        <f t="shared" ref="I19:I26" si="2">IF($I$17="自定义",P19,M19)</f>
        <v>0</v>
      </c>
      <c r="J19" s="2212"/>
      <c r="K19" s="2782">
        <f t="shared" ref="K19:K26" si="3">ROUND(E$28*E19/E$27,2)</f>
        <v>0</v>
      </c>
      <c r="L19" s="2161">
        <f t="shared" ref="L19:L26" si="4">ROUND(IF(COUNTIF(C19,"*住宅*")&gt;0,E$29*E19/E$32,0),2)</f>
        <v>0</v>
      </c>
      <c r="M19" s="2783">
        <f>K19+L19</f>
        <v>0</v>
      </c>
      <c r="N19" s="2784"/>
      <c r="O19" s="2785"/>
      <c r="P19" s="2783">
        <f>N19+O19</f>
        <v>0</v>
      </c>
      <c r="R19" s="2161">
        <f t="shared" ref="R19:S26" si="5">D19+H19</f>
        <v>0.39</v>
      </c>
      <c r="S19" s="2794">
        <f t="shared" si="5"/>
        <v>1</v>
      </c>
    </row>
    <row r="20" spans="1:19">
      <c r="A20" s="2754"/>
      <c r="B20" s="2729" t="s">
        <v>533</v>
      </c>
      <c r="C20" s="2755"/>
      <c r="D20" s="2721">
        <f t="shared" ref="D20:D26" si="6">ROUND($D$3*E20/$E$3,2)</f>
        <v>0</v>
      </c>
      <c r="E20" s="2751">
        <f t="shared" si="1"/>
        <v>0</v>
      </c>
      <c r="F20" s="2752"/>
      <c r="G20" s="2753"/>
      <c r="H20" s="2660">
        <f t="shared" ref="H20:H26" si="7">ROUND($D$3*I20/$E$3,2)</f>
        <v>0</v>
      </c>
      <c r="I20" s="2730">
        <f t="shared" si="2"/>
        <v>0</v>
      </c>
      <c r="J20" s="2212"/>
      <c r="K20" s="2782">
        <f t="shared" si="3"/>
        <v>0</v>
      </c>
      <c r="L20" s="2161">
        <f t="shared" si="4"/>
        <v>0</v>
      </c>
      <c r="M20" s="2783">
        <f t="shared" ref="M20:M26" si="8">K20+L20</f>
        <v>0</v>
      </c>
      <c r="N20" s="2784"/>
      <c r="O20" s="2785"/>
      <c r="P20" s="2783">
        <f t="shared" ref="P20:P26" si="9">N20+O20</f>
        <v>0</v>
      </c>
      <c r="R20" s="2161">
        <f t="shared" si="5"/>
        <v>0</v>
      </c>
      <c r="S20" s="2794">
        <f t="shared" si="5"/>
        <v>0</v>
      </c>
    </row>
    <row r="21" spans="1:19">
      <c r="A21" s="2754"/>
      <c r="B21" s="2729" t="s">
        <v>533</v>
      </c>
      <c r="C21" s="2755"/>
      <c r="D21" s="2721">
        <f t="shared" si="6"/>
        <v>0</v>
      </c>
      <c r="E21" s="2751">
        <f t="shared" si="1"/>
        <v>0</v>
      </c>
      <c r="F21" s="2752"/>
      <c r="G21" s="2753"/>
      <c r="H21" s="2660">
        <f t="shared" si="7"/>
        <v>0</v>
      </c>
      <c r="I21" s="2730">
        <f t="shared" si="2"/>
        <v>0</v>
      </c>
      <c r="J21" s="2212"/>
      <c r="K21" s="2782">
        <f t="shared" si="3"/>
        <v>0</v>
      </c>
      <c r="L21" s="2161">
        <f t="shared" si="4"/>
        <v>0</v>
      </c>
      <c r="M21" s="2783">
        <f t="shared" si="8"/>
        <v>0</v>
      </c>
      <c r="N21" s="2784"/>
      <c r="O21" s="2785"/>
      <c r="P21" s="2783">
        <f t="shared" si="9"/>
        <v>0</v>
      </c>
      <c r="R21" s="2161">
        <f t="shared" si="5"/>
        <v>0</v>
      </c>
      <c r="S21" s="2794">
        <f t="shared" si="5"/>
        <v>0</v>
      </c>
    </row>
    <row r="22" spans="1:19">
      <c r="A22" s="2754"/>
      <c r="B22" s="2729" t="s">
        <v>533</v>
      </c>
      <c r="C22" s="2756"/>
      <c r="D22" s="2721">
        <f t="shared" si="6"/>
        <v>0</v>
      </c>
      <c r="E22" s="2751">
        <f t="shared" si="1"/>
        <v>0</v>
      </c>
      <c r="F22" s="2757"/>
      <c r="G22" s="2758"/>
      <c r="H22" s="2660">
        <f t="shared" si="7"/>
        <v>0</v>
      </c>
      <c r="I22" s="2730">
        <f t="shared" si="2"/>
        <v>0</v>
      </c>
      <c r="J22" s="2212"/>
      <c r="K22" s="2782">
        <f t="shared" si="3"/>
        <v>0</v>
      </c>
      <c r="L22" s="2161">
        <f t="shared" si="4"/>
        <v>0</v>
      </c>
      <c r="M22" s="2783">
        <f t="shared" si="8"/>
        <v>0</v>
      </c>
      <c r="N22" s="2784"/>
      <c r="O22" s="2785"/>
      <c r="P22" s="2783">
        <f t="shared" si="9"/>
        <v>0</v>
      </c>
      <c r="R22" s="2161">
        <f t="shared" si="5"/>
        <v>0</v>
      </c>
      <c r="S22" s="2794">
        <f t="shared" si="5"/>
        <v>0</v>
      </c>
    </row>
    <row r="23" spans="1:19">
      <c r="A23" s="2754"/>
      <c r="B23" s="2729" t="s">
        <v>533</v>
      </c>
      <c r="C23" s="2756"/>
      <c r="D23" s="2721">
        <f t="shared" si="6"/>
        <v>0</v>
      </c>
      <c r="E23" s="2751">
        <f t="shared" si="1"/>
        <v>0</v>
      </c>
      <c r="F23" s="2757"/>
      <c r="G23" s="2758"/>
      <c r="H23" s="2660">
        <f t="shared" si="7"/>
        <v>0</v>
      </c>
      <c r="I23" s="2730">
        <f t="shared" si="2"/>
        <v>0</v>
      </c>
      <c r="J23" s="2212"/>
      <c r="K23" s="2782">
        <f t="shared" si="3"/>
        <v>0</v>
      </c>
      <c r="L23" s="2161">
        <f t="shared" si="4"/>
        <v>0</v>
      </c>
      <c r="M23" s="2783">
        <f t="shared" si="8"/>
        <v>0</v>
      </c>
      <c r="N23" s="2784"/>
      <c r="O23" s="2785"/>
      <c r="P23" s="2783">
        <f t="shared" si="9"/>
        <v>0</v>
      </c>
      <c r="R23" s="2161">
        <f t="shared" si="5"/>
        <v>0</v>
      </c>
      <c r="S23" s="2794">
        <f t="shared" si="5"/>
        <v>0</v>
      </c>
    </row>
    <row r="24" spans="1:19">
      <c r="A24" s="2754"/>
      <c r="B24" s="2729" t="s">
        <v>533</v>
      </c>
      <c r="C24" s="2756"/>
      <c r="D24" s="2721">
        <f t="shared" si="6"/>
        <v>0</v>
      </c>
      <c r="E24" s="2751">
        <f t="shared" si="1"/>
        <v>0</v>
      </c>
      <c r="F24" s="2757"/>
      <c r="G24" s="2758"/>
      <c r="H24" s="2660">
        <f t="shared" si="7"/>
        <v>0</v>
      </c>
      <c r="I24" s="2730">
        <f t="shared" si="2"/>
        <v>0</v>
      </c>
      <c r="J24" s="2212"/>
      <c r="K24" s="2782">
        <f t="shared" si="3"/>
        <v>0</v>
      </c>
      <c r="L24" s="2161">
        <f t="shared" si="4"/>
        <v>0</v>
      </c>
      <c r="M24" s="2783">
        <f t="shared" si="8"/>
        <v>0</v>
      </c>
      <c r="N24" s="2784"/>
      <c r="O24" s="2785"/>
      <c r="P24" s="2783">
        <f t="shared" si="9"/>
        <v>0</v>
      </c>
      <c r="R24" s="2161">
        <f t="shared" si="5"/>
        <v>0</v>
      </c>
      <c r="S24" s="2794">
        <f t="shared" si="5"/>
        <v>0</v>
      </c>
    </row>
    <row r="25" spans="1:19">
      <c r="A25" s="2754"/>
      <c r="B25" s="2729" t="s">
        <v>533</v>
      </c>
      <c r="C25" s="2756"/>
      <c r="D25" s="2721">
        <f t="shared" si="6"/>
        <v>0</v>
      </c>
      <c r="E25" s="2751">
        <f t="shared" si="1"/>
        <v>0</v>
      </c>
      <c r="F25" s="2757"/>
      <c r="G25" s="2758"/>
      <c r="H25" s="2720">
        <f t="shared" si="7"/>
        <v>0</v>
      </c>
      <c r="I25" s="2730">
        <f t="shared" si="2"/>
        <v>0</v>
      </c>
      <c r="J25" s="2212"/>
      <c r="K25" s="2782">
        <f t="shared" si="3"/>
        <v>0</v>
      </c>
      <c r="L25" s="2161">
        <f t="shared" si="4"/>
        <v>0</v>
      </c>
      <c r="M25" s="2783">
        <f t="shared" si="8"/>
        <v>0</v>
      </c>
      <c r="N25" s="2784"/>
      <c r="O25" s="2785"/>
      <c r="P25" s="2783">
        <f t="shared" si="9"/>
        <v>0</v>
      </c>
      <c r="R25" s="2161">
        <f t="shared" si="5"/>
        <v>0</v>
      </c>
      <c r="S25" s="2794">
        <f t="shared" si="5"/>
        <v>0</v>
      </c>
    </row>
    <row r="26" spans="1:19">
      <c r="A26" s="2754"/>
      <c r="B26" s="2729" t="s">
        <v>533</v>
      </c>
      <c r="C26" s="2759"/>
      <c r="D26" s="2721">
        <f t="shared" si="6"/>
        <v>0</v>
      </c>
      <c r="E26" s="2751">
        <f t="shared" si="1"/>
        <v>0</v>
      </c>
      <c r="F26" s="2757"/>
      <c r="G26" s="2758"/>
      <c r="H26" s="2720">
        <f t="shared" si="7"/>
        <v>0</v>
      </c>
      <c r="I26" s="2730">
        <f t="shared" si="2"/>
        <v>0</v>
      </c>
      <c r="J26" s="2212"/>
      <c r="K26" s="2716">
        <f t="shared" si="3"/>
        <v>0</v>
      </c>
      <c r="L26" s="2725">
        <f t="shared" si="4"/>
        <v>0</v>
      </c>
      <c r="M26" s="2766">
        <f t="shared" si="8"/>
        <v>0</v>
      </c>
      <c r="N26" s="2786"/>
      <c r="O26" s="2787"/>
      <c r="P26" s="2766">
        <f t="shared" si="9"/>
        <v>0</v>
      </c>
      <c r="R26" s="2161">
        <f t="shared" si="5"/>
        <v>0</v>
      </c>
      <c r="S26" s="2794">
        <f t="shared" si="5"/>
        <v>0</v>
      </c>
    </row>
    <row r="27" spans="1:19" ht="15">
      <c r="A27" s="2754"/>
      <c r="B27" s="2721"/>
      <c r="C27" s="2367" t="s">
        <v>534</v>
      </c>
      <c r="D27" s="2760">
        <f>SUM(D19:D26)</f>
        <v>0.39</v>
      </c>
      <c r="E27" s="2761">
        <f>IF(SUM(E19:E26)='数据-基础表'!BA5,SUM(E19:E26),IF(F27="地上面积有误","面积有误","地下面积有误"))</f>
        <v>1</v>
      </c>
      <c r="F27" s="2760">
        <f>IF(SUM(F19:F26)=E8,SUM(F19:F26),"地上面积有误")</f>
        <v>1</v>
      </c>
      <c r="G27" s="2762">
        <f>SUM(G19:G26)</f>
        <v>0</v>
      </c>
      <c r="H27" s="2763">
        <f>SUM(H19:H26)</f>
        <v>0</v>
      </c>
      <c r="I27" s="2788">
        <f>SUM(I19:I26)</f>
        <v>0</v>
      </c>
      <c r="J27" s="2212"/>
      <c r="K27" s="2789">
        <f>SUM(K19:K26)</f>
        <v>0</v>
      </c>
      <c r="L27" s="2790">
        <f>SUM(L19:L26)</f>
        <v>0</v>
      </c>
      <c r="M27" s="2791">
        <f>SUM(M19:M26)</f>
        <v>0</v>
      </c>
      <c r="N27" s="2789">
        <f t="shared" ref="N27:P27" si="10">SUM(N19:N26)</f>
        <v>0</v>
      </c>
      <c r="O27" s="2790">
        <f t="shared" si="10"/>
        <v>0</v>
      </c>
      <c r="P27" s="2792">
        <f t="shared" si="10"/>
        <v>0</v>
      </c>
      <c r="R27" s="2703">
        <f>IF(SUM(R19:R26)=$D$3,SUM(R19:R26),SUM(R19:R26)&amp;"误差"&amp;ROUND(SUM(R19:R26)-$D$3,2))</f>
        <v>0.39</v>
      </c>
      <c r="S27" s="2161">
        <f>IF(SUM(S19:S26)=$E$3,SUM(S19:S26),SUM(S19:S26)&amp;"误差"&amp;ROUND(SUM(S19:S26)-E3,2))</f>
        <v>1</v>
      </c>
    </row>
    <row r="28" spans="1:19">
      <c r="A28" s="2754"/>
      <c r="B28" s="2729" t="s">
        <v>535</v>
      </c>
      <c r="C28" s="2680" t="s">
        <v>536</v>
      </c>
      <c r="D28" s="2721">
        <f>ROUND($D$3*E28/$E$3,2)</f>
        <v>0</v>
      </c>
      <c r="E28" s="2751">
        <f>SUM(F28:G28)</f>
        <v>0</v>
      </c>
      <c r="F28" s="2150">
        <f>'数据-基础表'!BQ5+'数据-基础表'!BS5</f>
        <v>0</v>
      </c>
      <c r="G28" s="2764">
        <f>'数据-基础表'!BR5+'数据-基础表'!BT5</f>
        <v>0</v>
      </c>
      <c r="H28" s="2712"/>
      <c r="I28" s="2712"/>
      <c r="J28" s="2712"/>
      <c r="K28" s="2712"/>
      <c r="L28" s="2712"/>
      <c r="M28" s="2712"/>
      <c r="N28" s="2712"/>
      <c r="O28" s="2712"/>
      <c r="P28" s="2712"/>
    </row>
    <row r="29" spans="1:19">
      <c r="A29" s="2754"/>
      <c r="B29" s="2729" t="s">
        <v>535</v>
      </c>
      <c r="C29" s="2210" t="s">
        <v>537</v>
      </c>
      <c r="D29" s="2721">
        <f>ROUND($D$3*E29/$E$3,2)</f>
        <v>0</v>
      </c>
      <c r="E29" s="2751">
        <f>SUM(F29:G29)</f>
        <v>0</v>
      </c>
      <c r="F29" s="2765">
        <f>'数据-基础表'!BM5+'数据-基础表'!BO5</f>
        <v>0</v>
      </c>
      <c r="G29" s="2766">
        <f>'数据-基础表'!BN5+'数据-基础表'!BP5</f>
        <v>0</v>
      </c>
      <c r="H29" s="2712"/>
      <c r="I29" s="2712"/>
      <c r="J29" s="2712"/>
      <c r="K29" s="2712"/>
      <c r="L29" s="2712"/>
      <c r="M29" s="2712"/>
      <c r="N29" s="2712"/>
      <c r="O29" s="2712"/>
      <c r="P29" s="2712"/>
    </row>
    <row r="30" spans="1:19" ht="15">
      <c r="A30" s="2754"/>
      <c r="B30" s="2729"/>
      <c r="C30" s="2767" t="s">
        <v>534</v>
      </c>
      <c r="D30" s="2760">
        <f>SUM(D28:D29)</f>
        <v>0</v>
      </c>
      <c r="E30" s="2760">
        <f>SUM(E28:E29)</f>
        <v>0</v>
      </c>
      <c r="F30" s="2760">
        <f>SUM(F28:F29)</f>
        <v>0</v>
      </c>
      <c r="G30" s="2762">
        <f>SUM(G28:G29)</f>
        <v>0</v>
      </c>
      <c r="H30" s="2712"/>
      <c r="I30" s="2712"/>
      <c r="J30" s="2712"/>
      <c r="K30" s="2712"/>
      <c r="L30" s="2712"/>
      <c r="M30" s="2712"/>
      <c r="N30" s="2712"/>
      <c r="O30" s="2712"/>
      <c r="P30" s="2712"/>
    </row>
    <row r="31" spans="1:19" ht="15">
      <c r="A31" s="2768"/>
      <c r="B31" s="2769"/>
      <c r="C31" s="1999" t="s">
        <v>538</v>
      </c>
      <c r="D31" s="2770">
        <f>D27+D30</f>
        <v>0.39</v>
      </c>
      <c r="E31" s="2770">
        <f>E27+E30</f>
        <v>1</v>
      </c>
      <c r="F31" s="2771">
        <f>F27+F30</f>
        <v>1</v>
      </c>
      <c r="G31" s="2772">
        <f>G27+G30</f>
        <v>0</v>
      </c>
      <c r="H31" s="2712"/>
      <c r="I31" s="2712"/>
      <c r="J31" s="2712"/>
      <c r="K31" s="2712"/>
      <c r="L31" s="2712"/>
      <c r="M31" s="2712"/>
      <c r="N31" s="2712"/>
      <c r="O31" s="2712"/>
      <c r="P31" s="2712"/>
    </row>
    <row r="32" spans="1:19">
      <c r="A32" s="2773"/>
      <c r="B32" s="2773" t="s">
        <v>539</v>
      </c>
      <c r="C32" s="2773"/>
      <c r="D32" s="2773"/>
      <c r="E32" s="2774">
        <f>SUMIF(C19:C26,"*住宅*",E19:E26)</f>
        <v>1</v>
      </c>
      <c r="F32" s="2773"/>
      <c r="G32" s="2773"/>
      <c r="H32" s="2712"/>
      <c r="I32" s="2712"/>
      <c r="J32" s="2712"/>
      <c r="K32" s="2712"/>
      <c r="L32" s="2712"/>
      <c r="M32" s="2712"/>
      <c r="N32" s="2712"/>
      <c r="O32" s="2712"/>
      <c r="P32" s="2712"/>
    </row>
    <row r="33" spans="4:4">
      <c r="D33" s="277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D6" activePane="bottomRight" state="frozen"/>
      <selection pane="topRight"/>
      <selection pane="bottomLeft"/>
      <selection pane="bottomRight" activeCell="G22" sqref="G22"/>
    </sheetView>
  </sheetViews>
  <sheetFormatPr defaultColWidth="13.75" defaultRowHeight="12.75"/>
  <cols>
    <col min="1" max="1" width="20.875" style="2510" customWidth="1"/>
    <col min="2" max="2" width="12" style="2511" customWidth="1"/>
    <col min="3" max="3" width="12.75" style="2511" customWidth="1"/>
    <col min="4" max="4" width="9.125" style="2512" customWidth="1"/>
    <col min="5" max="5" width="15" style="2511" customWidth="1"/>
    <col min="6" max="10" width="8.875" style="2511" customWidth="1"/>
    <col min="11" max="12" width="12.375" style="2513" customWidth="1"/>
    <col min="13" max="13" width="8.625" style="2511" customWidth="1"/>
    <col min="14" max="14" width="11.875" style="2511" customWidth="1"/>
    <col min="15" max="15" width="8.5" style="2511" customWidth="1"/>
    <col min="16" max="17" width="10.875" style="2511" customWidth="1"/>
    <col min="18" max="19" width="12.5" style="2511" customWidth="1"/>
    <col min="20" max="20" width="12.125" style="2511" customWidth="1"/>
    <col min="21" max="21" width="7.5" style="2511" customWidth="1"/>
    <col min="22" max="22" width="6.375" style="2511" customWidth="1"/>
    <col min="23" max="30" width="6.75" style="2511" customWidth="1"/>
    <col min="31" max="31" width="8" style="2511" customWidth="1"/>
    <col min="32" max="34" width="7.25" style="2511" customWidth="1"/>
    <col min="35" max="39" width="8" style="2511" customWidth="1"/>
    <col min="40" max="40" width="13.75" style="2509"/>
    <col min="41" max="41" width="11.625" style="2509" customWidth="1"/>
    <col min="42" max="42" width="9.75" style="2509" customWidth="1"/>
    <col min="43" max="67" width="13.75" style="2509"/>
    <col min="68" max="16384" width="13.75" style="2511"/>
  </cols>
  <sheetData>
    <row r="1" spans="1:67" ht="18.75">
      <c r="A1" s="2514" t="s">
        <v>540</v>
      </c>
      <c r="B1" s="2515"/>
      <c r="C1" s="1748"/>
      <c r="D1" s="2516"/>
      <c r="E1" s="1748"/>
      <c r="F1" s="1748"/>
      <c r="G1" s="1748"/>
      <c r="H1" s="1748"/>
      <c r="I1" s="1748"/>
      <c r="J1" s="1748"/>
      <c r="K1" s="371"/>
      <c r="L1" s="371"/>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939"/>
      <c r="AO1" s="1939"/>
      <c r="AP1" s="1939"/>
      <c r="AQ1" s="1939"/>
      <c r="AR1" s="1939"/>
    </row>
    <row r="2" spans="1:67" s="2506" customFormat="1" ht="15">
      <c r="A2" s="2517" t="s">
        <v>541</v>
      </c>
      <c r="B2" s="2518">
        <f>项目基本情况!D3</f>
        <v>44347</v>
      </c>
      <c r="C2" s="2519"/>
      <c r="D2" s="2520"/>
      <c r="E2" s="2519"/>
      <c r="F2" s="2519"/>
      <c r="G2" s="2519"/>
      <c r="H2" s="2519"/>
      <c r="I2" s="2519"/>
      <c r="J2" s="2519"/>
      <c r="K2" s="2617"/>
      <c r="L2" s="2617"/>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552"/>
      <c r="AO2" s="2552"/>
      <c r="AP2" s="2552"/>
      <c r="AQ2" s="2552"/>
      <c r="AR2" s="2552"/>
      <c r="AS2" s="2436"/>
      <c r="AT2" s="2436"/>
      <c r="AU2" s="2436"/>
      <c r="AV2" s="2436"/>
      <c r="AW2" s="2436"/>
      <c r="AX2" s="2436"/>
      <c r="AY2" s="2436"/>
      <c r="AZ2" s="2436"/>
      <c r="BA2" s="2436"/>
      <c r="BB2" s="2436"/>
      <c r="BC2" s="2436"/>
      <c r="BD2" s="2436"/>
      <c r="BE2" s="2436"/>
      <c r="BF2" s="2436"/>
      <c r="BG2" s="2436"/>
      <c r="BH2" s="2436"/>
      <c r="BI2" s="2436"/>
      <c r="BJ2" s="2436"/>
      <c r="BK2" s="2436"/>
      <c r="BL2" s="2436"/>
      <c r="BM2" s="2436"/>
      <c r="BN2" s="2436"/>
      <c r="BO2" s="2436"/>
    </row>
    <row r="3" spans="1:67" s="2506" customFormat="1" ht="14.25">
      <c r="A3" s="2521"/>
      <c r="B3" s="2522"/>
      <c r="C3" s="2519"/>
      <c r="D3" s="2520"/>
      <c r="E3" s="2519"/>
      <c r="F3" s="2519"/>
      <c r="G3" s="2519"/>
      <c r="H3" s="2519"/>
      <c r="I3" s="2519"/>
      <c r="J3" s="2519"/>
      <c r="K3" s="2617"/>
      <c r="L3" s="2617"/>
      <c r="M3" s="2519"/>
      <c r="N3" s="2519"/>
      <c r="O3" s="2519"/>
      <c r="P3" s="2519"/>
      <c r="Q3" s="2519"/>
      <c r="R3" s="2519"/>
      <c r="S3" s="2519"/>
      <c r="T3" s="2519"/>
      <c r="U3" s="2519"/>
      <c r="V3" s="2519"/>
      <c r="W3" s="2519"/>
      <c r="X3" s="2519"/>
      <c r="Y3" s="2519"/>
      <c r="Z3" s="2519"/>
      <c r="AA3" s="2519"/>
      <c r="AB3" s="2519"/>
      <c r="AC3" s="2519"/>
      <c r="AD3" s="2519"/>
      <c r="AE3" s="2519"/>
      <c r="AF3" s="2519"/>
      <c r="AG3" s="2519"/>
      <c r="AH3" s="2519"/>
      <c r="AI3" s="2519"/>
      <c r="AJ3" s="2519"/>
      <c r="AK3" s="2519"/>
      <c r="AL3" s="2519"/>
      <c r="AM3" s="2519"/>
      <c r="AN3" s="2552"/>
      <c r="AO3" s="2552"/>
      <c r="AP3" s="2552"/>
      <c r="AQ3" s="2552"/>
      <c r="AR3" s="2552"/>
      <c r="AS3" s="2436"/>
      <c r="AT3" s="2436"/>
      <c r="AU3" s="2436"/>
      <c r="AV3" s="2436"/>
      <c r="AW3" s="2436"/>
      <c r="AX3" s="2436"/>
      <c r="AY3" s="2436"/>
      <c r="AZ3" s="2436"/>
      <c r="BA3" s="2436"/>
      <c r="BB3" s="2436"/>
      <c r="BC3" s="2436"/>
      <c r="BD3" s="2436"/>
      <c r="BE3" s="2436"/>
      <c r="BF3" s="2436"/>
      <c r="BG3" s="2436"/>
      <c r="BH3" s="2436"/>
      <c r="BI3" s="2436"/>
      <c r="BJ3" s="2436"/>
      <c r="BK3" s="2436"/>
      <c r="BL3" s="2436"/>
      <c r="BM3" s="2436"/>
      <c r="BN3" s="2436"/>
      <c r="BO3" s="2436"/>
    </row>
    <row r="4" spans="1:67" s="2506" customFormat="1" ht="14.25">
      <c r="A4" s="1444" t="s">
        <v>542</v>
      </c>
      <c r="B4" s="2170"/>
      <c r="C4" s="2523"/>
      <c r="D4" s="2524"/>
      <c r="E4" s="2523" t="s">
        <v>543</v>
      </c>
      <c r="F4" s="2523"/>
      <c r="G4" s="2523"/>
      <c r="H4" s="2523"/>
      <c r="I4" s="2523"/>
      <c r="J4" s="2618"/>
      <c r="K4" s="2619"/>
      <c r="L4" s="2620"/>
      <c r="M4" s="2523"/>
      <c r="N4" s="2523" t="s">
        <v>544</v>
      </c>
      <c r="O4" s="2523"/>
      <c r="P4" s="2523"/>
      <c r="Q4" s="2523"/>
      <c r="R4" s="2523"/>
      <c r="S4" s="2618"/>
      <c r="T4" s="2642" t="str">
        <f>'数据-汇总表'!I17</f>
        <v>按面积比例</v>
      </c>
      <c r="U4" s="2170" t="s">
        <v>545</v>
      </c>
      <c r="V4" s="2523"/>
      <c r="W4" s="2523"/>
      <c r="X4" s="2523"/>
      <c r="Y4" s="2618"/>
      <c r="Z4" s="2670" t="s">
        <v>546</v>
      </c>
      <c r="AA4" s="2670"/>
      <c r="AB4" s="2670"/>
      <c r="AC4" s="2670"/>
      <c r="AD4" s="2670"/>
      <c r="AE4" s="2671" t="s">
        <v>547</v>
      </c>
      <c r="AF4" s="2670"/>
      <c r="AG4" s="2684"/>
      <c r="AH4" s="2170"/>
      <c r="AI4" s="2523"/>
      <c r="AJ4" s="2523"/>
      <c r="AK4" s="2523"/>
      <c r="AL4" s="2523"/>
      <c r="AM4" s="2618"/>
      <c r="AN4" s="2552"/>
      <c r="AO4" s="2552"/>
      <c r="AP4" s="2552"/>
      <c r="AQ4" s="2552"/>
      <c r="AR4" s="2552"/>
      <c r="AS4" s="2436"/>
      <c r="AT4" s="2436"/>
      <c r="AU4" s="2436"/>
      <c r="AV4" s="2436"/>
      <c r="AW4" s="2436"/>
      <c r="AX4" s="2436"/>
      <c r="AY4" s="2436"/>
      <c r="AZ4" s="2436"/>
      <c r="BA4" s="2436"/>
      <c r="BB4" s="2436"/>
      <c r="BC4" s="2436"/>
      <c r="BD4" s="2436"/>
      <c r="BE4" s="2436"/>
      <c r="BF4" s="2436"/>
      <c r="BG4" s="2436"/>
      <c r="BH4" s="2436"/>
      <c r="BI4" s="2436"/>
      <c r="BJ4" s="2436"/>
      <c r="BK4" s="2436"/>
      <c r="BL4" s="2436"/>
      <c r="BM4" s="2436"/>
      <c r="BN4" s="2436"/>
      <c r="BO4" s="2436"/>
    </row>
    <row r="5" spans="1:67" s="2507" customFormat="1" ht="42">
      <c r="A5" s="2525" t="s">
        <v>520</v>
      </c>
      <c r="B5" s="2526" t="s">
        <v>519</v>
      </c>
      <c r="C5" s="2527" t="s">
        <v>548</v>
      </c>
      <c r="D5" s="2528" t="s">
        <v>549</v>
      </c>
      <c r="E5" s="2529" t="s">
        <v>550</v>
      </c>
      <c r="F5" s="2530" t="s">
        <v>551</v>
      </c>
      <c r="G5" s="2529" t="s">
        <v>552</v>
      </c>
      <c r="H5" s="2529" t="s">
        <v>553</v>
      </c>
      <c r="I5" s="2529" t="s">
        <v>554</v>
      </c>
      <c r="J5" s="2621" t="s">
        <v>555</v>
      </c>
      <c r="K5" s="2622" t="s">
        <v>529</v>
      </c>
      <c r="L5" s="2623" t="s">
        <v>556</v>
      </c>
      <c r="M5" s="2624" t="s">
        <v>557</v>
      </c>
      <c r="N5" s="2625" t="s">
        <v>558</v>
      </c>
      <c r="O5" s="2623" t="s">
        <v>559</v>
      </c>
      <c r="P5" s="2626" t="s">
        <v>560</v>
      </c>
      <c r="Q5" s="1317" t="s">
        <v>561</v>
      </c>
      <c r="R5" s="2643" t="s">
        <v>562</v>
      </c>
      <c r="S5" s="2644" t="s">
        <v>563</v>
      </c>
      <c r="T5" s="2645" t="s">
        <v>564</v>
      </c>
      <c r="U5" s="2646" t="s">
        <v>565</v>
      </c>
      <c r="V5" s="2529" t="s">
        <v>566</v>
      </c>
      <c r="W5" s="2529" t="s">
        <v>567</v>
      </c>
      <c r="X5" s="1004"/>
      <c r="Y5" s="1461" t="s">
        <v>568</v>
      </c>
      <c r="Z5" s="2672" t="s">
        <v>565</v>
      </c>
      <c r="AA5" s="2529" t="s">
        <v>566</v>
      </c>
      <c r="AB5" s="2529" t="s">
        <v>567</v>
      </c>
      <c r="AC5" s="1004"/>
      <c r="AD5" s="1004" t="s">
        <v>568</v>
      </c>
      <c r="AE5" s="2646" t="s">
        <v>569</v>
      </c>
      <c r="AF5" s="2529" t="s">
        <v>570</v>
      </c>
      <c r="AG5" s="1461" t="s">
        <v>571</v>
      </c>
      <c r="AH5" s="2646" t="s">
        <v>572</v>
      </c>
      <c r="AI5" s="2672" t="s">
        <v>573</v>
      </c>
      <c r="AJ5" s="2672" t="s">
        <v>574</v>
      </c>
      <c r="AK5" s="2529" t="s">
        <v>575</v>
      </c>
      <c r="AL5" s="2529" t="s">
        <v>576</v>
      </c>
      <c r="AM5" s="1461" t="s">
        <v>577</v>
      </c>
      <c r="AN5" s="2685" t="s">
        <v>578</v>
      </c>
      <c r="AO5" s="2702" t="s">
        <v>579</v>
      </c>
      <c r="AP5" s="2703" t="s">
        <v>580</v>
      </c>
      <c r="AQ5" s="2704" t="s">
        <v>581</v>
      </c>
      <c r="AR5" s="2704" t="s">
        <v>582</v>
      </c>
      <c r="AS5" s="2437"/>
      <c r="AT5" s="2437"/>
      <c r="AU5" s="2437"/>
      <c r="AV5" s="2437"/>
      <c r="AW5" s="2437"/>
      <c r="AX5" s="2437"/>
      <c r="AY5" s="2437"/>
      <c r="AZ5" s="2437"/>
      <c r="BA5" s="2437"/>
      <c r="BB5" s="2437"/>
      <c r="BC5" s="2437"/>
      <c r="BD5" s="2437"/>
      <c r="BE5" s="2437"/>
      <c r="BF5" s="2437"/>
      <c r="BG5" s="2437"/>
      <c r="BH5" s="2437"/>
      <c r="BI5" s="2437"/>
      <c r="BJ5" s="2437"/>
      <c r="BK5" s="2437"/>
      <c r="BL5" s="2437"/>
      <c r="BM5" s="2437"/>
      <c r="BN5" s="2437"/>
      <c r="BO5" s="2437"/>
    </row>
    <row r="6" spans="1:67" s="2506" customFormat="1" ht="14.25">
      <c r="A6" s="2531" t="str">
        <f>'数据-汇总表'!C19</f>
        <v>住宅</v>
      </c>
      <c r="B6" s="2532" t="str">
        <f>IF(A6=0,"","经营性")</f>
        <v>经营性</v>
      </c>
      <c r="C6" s="2533" t="s">
        <v>457</v>
      </c>
      <c r="D6" s="2534">
        <f>SUMIF(项目基本情况!D$12:I$12,C6,项目基本情况!D$14:I$14)</f>
        <v>70</v>
      </c>
      <c r="E6" s="2535">
        <f>IF(B6="","",SUMIF(项目基本情况!D$12:I$12,C6,项目基本情况!D$13:I$13))</f>
        <v>0</v>
      </c>
      <c r="F6" s="2536">
        <f>SUMIF(项目基本情况!D$12:I$12,C6,项目基本情况!D$15:I$15)</f>
        <v>70</v>
      </c>
      <c r="G6" s="2537">
        <f>IF(ISERROR(ROUND(POWER(1+H6,D6-F6)*(POWER(1+H6,F6)-1)/(POWER(1+H6,D6)-1),3)),0,ROUND(POWER(1+H6,D6-F6)*(POWER(1+H6,F6)-1)/(POWER(1+H6,D6)-1),3))</f>
        <v>1</v>
      </c>
      <c r="H6" s="2538">
        <v>0.04</v>
      </c>
      <c r="I6" s="2538">
        <v>4.4999999999999998E-2</v>
      </c>
      <c r="J6" s="2539">
        <v>7.0000000000000007E-2</v>
      </c>
      <c r="K6" s="2627">
        <f>SUMIF('数据-汇总表'!C$19:C$33,A6,'数据-汇总表'!E$19:E$33)</f>
        <v>1</v>
      </c>
      <c r="L6" s="2628">
        <v>5080</v>
      </c>
      <c r="M6" s="2629">
        <f t="shared" ref="M6:M14" si="0">ROUND(K6*L6/10000,0)</f>
        <v>1</v>
      </c>
      <c r="N6" s="2630">
        <v>1</v>
      </c>
      <c r="O6" s="2629" t="str">
        <f>IF($N$5="成新度","——",ROUND(M6*N6,0))</f>
        <v>——</v>
      </c>
      <c r="P6" s="2631" t="str">
        <f>IF($N$5="成新度","——",M6-O6)</f>
        <v>——</v>
      </c>
      <c r="Q6" s="2647">
        <v>0.03</v>
      </c>
      <c r="R6" s="2648">
        <f ca="1">SUMIF('数据-汇总表'!C$19:C$33,A6,'数据-汇总表'!R$19:R$27)</f>
        <v>0.39</v>
      </c>
      <c r="S6" s="2649">
        <f>IF('数据-汇总表'!$I$17="按面积比例",SUMIF('数据-汇总表'!C$19:C$33,A6,'数据-汇总表'!K$19:K$33),SUMIF('数据-汇总表'!C$19:C$33,A6,'数据-汇总表'!N$19:N$33))</f>
        <v>0</v>
      </c>
      <c r="T6" s="2650">
        <f>ROUND($L$14*S6/10000,0)</f>
        <v>0</v>
      </c>
      <c r="U6" s="2651"/>
      <c r="V6" s="2652"/>
      <c r="W6" s="2652"/>
      <c r="X6" s="2653"/>
      <c r="Y6" s="2673"/>
      <c r="Z6" s="2674"/>
      <c r="AA6" s="2539"/>
      <c r="AB6" s="2539"/>
      <c r="AC6" s="2653"/>
      <c r="AD6" s="2675"/>
      <c r="AE6" s="2676">
        <f ca="1">IF(AN6="",0,SUMIF(INDIRECT("'"&amp;AN6&amp;"'"&amp;"!E:E"),$AE$5,INDIRECT("'"&amp;AN6&amp;"'"&amp;"!F:F")))</f>
        <v>0</v>
      </c>
      <c r="AF6" s="2147"/>
      <c r="AG6" s="2094">
        <f>IF(AF6="",0,AE6-AF6)</f>
        <v>0</v>
      </c>
      <c r="AH6" s="2658"/>
      <c r="AI6" s="2686"/>
      <c r="AJ6" s="2687"/>
      <c r="AK6" s="2688"/>
      <c r="AL6" s="2689"/>
      <c r="AM6" s="2690"/>
      <c r="AN6" s="2691"/>
      <c r="AO6" s="1193" t="e">
        <f ca="1">SUMIF(INDIRECT("'"&amp;AN6&amp;"'"&amp;"!A:A"),"总价",INDIRECT("'"&amp;AN6&amp;"'"&amp;"!B:B"))</f>
        <v>#REF!</v>
      </c>
      <c r="AP6" s="2705">
        <f>IF(C6="住宅",K6*L6,0)</f>
        <v>5080</v>
      </c>
      <c r="AQ6" s="1193">
        <f>ROUND($L$14*$N$14*S6/10000,0)</f>
        <v>0</v>
      </c>
      <c r="AR6" s="1193">
        <f>ROUND($L$14*(1-$N$14)*S6/10000,0)</f>
        <v>0</v>
      </c>
      <c r="AS6" s="2436"/>
      <c r="AT6" s="2436"/>
      <c r="AU6" s="2436"/>
      <c r="AV6" s="2436"/>
      <c r="AW6" s="2436"/>
      <c r="AX6" s="2436"/>
      <c r="AY6" s="2436"/>
      <c r="AZ6" s="2436"/>
      <c r="BA6" s="2436"/>
      <c r="BB6" s="2436"/>
      <c r="BC6" s="2436"/>
      <c r="BD6" s="2436"/>
      <c r="BE6" s="2436"/>
      <c r="BF6" s="2436"/>
      <c r="BG6" s="2436"/>
      <c r="BH6" s="2436"/>
      <c r="BI6" s="2436"/>
      <c r="BJ6" s="2436"/>
      <c r="BK6" s="2436"/>
      <c r="BL6" s="2436"/>
      <c r="BM6" s="2436"/>
      <c r="BN6" s="2436"/>
      <c r="BO6" s="2436"/>
    </row>
    <row r="7" spans="1:67" s="2506" customFormat="1" ht="14.25">
      <c r="A7" s="2531">
        <f>'数据-汇总表'!C20</f>
        <v>0</v>
      </c>
      <c r="B7" s="2532" t="str">
        <f t="shared" ref="B7:B13" si="1">IF(A7=0,"","经营性")</f>
        <v/>
      </c>
      <c r="C7" s="2533"/>
      <c r="D7" s="2534">
        <f>SUMIF(项目基本情况!D$12:I$12,C7,项目基本情况!D$14:I$14)</f>
        <v>0</v>
      </c>
      <c r="E7" s="2535" t="str">
        <f>IF(B7="","",SUMIF(项目基本情况!D$12:I$12,C7,项目基本情况!D$13:I$13))</f>
        <v/>
      </c>
      <c r="F7" s="2536">
        <f>SUMIF(项目基本情况!D$12:I$12,C7,项目基本情况!D$15:I$15)</f>
        <v>0</v>
      </c>
      <c r="G7" s="2537">
        <f t="shared" ref="G7:G13" si="2">IF(ISERROR(ROUND(POWER(1+H7,D7-F7)*(POWER(1+H7,F7)-1)/(POWER(1+H7,D7)-1),3)),0,ROUND(POWER(1+H7,D7-F7)*(POWER(1+H7,F7)-1)/(POWER(1+H7,D7)-1),3))</f>
        <v>0</v>
      </c>
      <c r="H7" s="2538"/>
      <c r="I7" s="2538"/>
      <c r="J7" s="2539"/>
      <c r="K7" s="2627">
        <f>SUMIF('数据-汇总表'!C$19:C$33,A7,'数据-汇总表'!E$19:E$33)</f>
        <v>0</v>
      </c>
      <c r="L7" s="2628"/>
      <c r="M7" s="2629">
        <f t="shared" si="0"/>
        <v>0</v>
      </c>
      <c r="N7" s="2630"/>
      <c r="O7" s="2629" t="str">
        <f t="shared" ref="O7:O14" si="3">IF($N$5="成新度","——",ROUND(M7*N7,0))</f>
        <v>——</v>
      </c>
      <c r="P7" s="2631" t="str">
        <f t="shared" ref="P7:P14" si="4">IF($N$5="成新度","——",M7-O7)</f>
        <v>——</v>
      </c>
      <c r="Q7" s="2654"/>
      <c r="R7" s="2648">
        <f ca="1">SUMIF('数据-汇总表'!C$19:C$33,A7,'数据-汇总表'!R$19:R$27)</f>
        <v>0</v>
      </c>
      <c r="S7" s="2649">
        <f>IF('数据-汇总表'!$I$17="按面积比例",SUMIF('数据-汇总表'!C$19:C$33,A7,'数据-汇总表'!K$19:K$33),SUMIF('数据-汇总表'!C$19:C$33,A7,'数据-汇总表'!N$19:N$33))</f>
        <v>0</v>
      </c>
      <c r="T7" s="2650">
        <f t="shared" ref="T7:T13" si="5">ROUND($L$14*S7/10000,0)</f>
        <v>0</v>
      </c>
      <c r="U7" s="2651"/>
      <c r="V7" s="2652"/>
      <c r="W7" s="2652"/>
      <c r="X7" s="2653"/>
      <c r="Y7" s="2673"/>
      <c r="Z7" s="2674"/>
      <c r="AA7" s="2539"/>
      <c r="AB7" s="2539"/>
      <c r="AC7" s="2653"/>
      <c r="AD7" s="2675"/>
      <c r="AE7" s="2676">
        <f t="shared" ref="AE7:AE13" ca="1" si="6">IF(AN7="",0,SUMIF(INDIRECT("'"&amp;AN7&amp;"'"&amp;"!E:E"),$AE$5,INDIRECT("'"&amp;AN7&amp;"'"&amp;"!F:F")))</f>
        <v>0</v>
      </c>
      <c r="AF7" s="2147"/>
      <c r="AG7" s="2094">
        <f t="shared" ref="AG7:AG13" si="7">IF(AF7="",0,AE7-AF7)</f>
        <v>0</v>
      </c>
      <c r="AH7" s="2658"/>
      <c r="AI7" s="2686"/>
      <c r="AJ7" s="2687"/>
      <c r="AK7" s="2688"/>
      <c r="AL7" s="2689"/>
      <c r="AM7" s="2690"/>
      <c r="AN7" s="2691"/>
      <c r="AO7" s="1193" t="e">
        <f t="shared" ref="AO7:AO13" ca="1" si="8">SUMIF(INDIRECT("'"&amp;AN7&amp;"'"&amp;"!A:A"),"总价",INDIRECT("'"&amp;AN7&amp;"'"&amp;"!B:B"))</f>
        <v>#REF!</v>
      </c>
      <c r="AP7" s="2705">
        <f t="shared" ref="AP7:AP13" si="9">IF(C7="住宅",K7*L7,0)</f>
        <v>0</v>
      </c>
      <c r="AQ7" s="1193">
        <f t="shared" ref="AQ7:AQ13" si="10">ROUND($L$14*$N$14*S7/10000,0)</f>
        <v>0</v>
      </c>
      <c r="AR7" s="1193">
        <f t="shared" ref="AR7:AR13" si="11">ROUND($L$14*(1-$N$14)*S7/10000,0)</f>
        <v>0</v>
      </c>
      <c r="AS7" s="2436"/>
      <c r="AT7" s="2436"/>
      <c r="AU7" s="2436"/>
      <c r="AV7" s="2436"/>
      <c r="AW7" s="2436"/>
      <c r="AX7" s="2436"/>
      <c r="AY7" s="2436"/>
      <c r="AZ7" s="2436"/>
      <c r="BA7" s="2436"/>
      <c r="BB7" s="2436"/>
      <c r="BC7" s="2436"/>
      <c r="BD7" s="2436"/>
      <c r="BE7" s="2436"/>
      <c r="BF7" s="2436"/>
      <c r="BG7" s="2436"/>
      <c r="BH7" s="2436"/>
      <c r="BI7" s="2436"/>
      <c r="BJ7" s="2436"/>
      <c r="BK7" s="2436"/>
      <c r="BL7" s="2436"/>
      <c r="BM7" s="2436"/>
      <c r="BN7" s="2436"/>
      <c r="BO7" s="2436"/>
    </row>
    <row r="8" spans="1:67" s="2506" customFormat="1" ht="14.25">
      <c r="A8" s="2531">
        <f>'数据-汇总表'!C21</f>
        <v>0</v>
      </c>
      <c r="B8" s="2532" t="str">
        <f t="shared" si="1"/>
        <v/>
      </c>
      <c r="C8" s="2533"/>
      <c r="D8" s="2534">
        <f>SUMIF(项目基本情况!D$12:I$12,C8,项目基本情况!D$14:I$14)</f>
        <v>0</v>
      </c>
      <c r="E8" s="2535" t="str">
        <f>IF(B8="","",SUMIF(项目基本情况!D$12:I$12,C8,项目基本情况!D$13:I$13))</f>
        <v/>
      </c>
      <c r="F8" s="2536">
        <f>SUMIF(项目基本情况!D$12:I$12,C8,项目基本情况!D$15:I$15)</f>
        <v>0</v>
      </c>
      <c r="G8" s="2537">
        <f t="shared" si="2"/>
        <v>0</v>
      </c>
      <c r="H8" s="2538"/>
      <c r="I8" s="2538"/>
      <c r="J8" s="2539"/>
      <c r="K8" s="2627">
        <f>SUMIF('数据-汇总表'!C$19:C$33,A8,'数据-汇总表'!E$19:E$33)</f>
        <v>0</v>
      </c>
      <c r="L8" s="2628"/>
      <c r="M8" s="2629">
        <f t="shared" si="0"/>
        <v>0</v>
      </c>
      <c r="N8" s="2630"/>
      <c r="O8" s="2629" t="str">
        <f t="shared" si="3"/>
        <v>——</v>
      </c>
      <c r="P8" s="2631" t="str">
        <f t="shared" si="4"/>
        <v>——</v>
      </c>
      <c r="Q8" s="2654"/>
      <c r="R8" s="2648">
        <f ca="1">SUMIF('数据-汇总表'!C$19:C$33,A8,'数据-汇总表'!R$19:R$27)</f>
        <v>0</v>
      </c>
      <c r="S8" s="2649">
        <f>IF('数据-汇总表'!$I$17="按面积比例",SUMIF('数据-汇总表'!C$19:C$33,A8,'数据-汇总表'!K$19:K$33),SUMIF('数据-汇总表'!C$19:C$33,A8,'数据-汇总表'!N$19:N$33))</f>
        <v>0</v>
      </c>
      <c r="T8" s="2650">
        <f t="shared" si="5"/>
        <v>0</v>
      </c>
      <c r="U8" s="2655"/>
      <c r="V8" s="2656"/>
      <c r="W8" s="2656"/>
      <c r="X8" s="2653"/>
      <c r="Y8" s="2677"/>
      <c r="Z8" s="2674"/>
      <c r="AA8" s="2539"/>
      <c r="AB8" s="2539"/>
      <c r="AC8" s="2653"/>
      <c r="AD8" s="2675"/>
      <c r="AE8" s="2676">
        <f t="shared" ca="1" si="6"/>
        <v>0</v>
      </c>
      <c r="AF8" s="2147"/>
      <c r="AG8" s="2094">
        <f t="shared" si="7"/>
        <v>0</v>
      </c>
      <c r="AH8" s="2692"/>
      <c r="AI8" s="2686"/>
      <c r="AJ8" s="2687"/>
      <c r="AK8" s="2693"/>
      <c r="AL8" s="2694"/>
      <c r="AM8" s="2695"/>
      <c r="AN8" s="2691"/>
      <c r="AO8" s="1193" t="e">
        <f t="shared" ca="1" si="8"/>
        <v>#REF!</v>
      </c>
      <c r="AP8" s="2705">
        <f t="shared" si="9"/>
        <v>0</v>
      </c>
      <c r="AQ8" s="1193">
        <f t="shared" si="10"/>
        <v>0</v>
      </c>
      <c r="AR8" s="1193">
        <f t="shared" si="11"/>
        <v>0</v>
      </c>
      <c r="AS8" s="2436"/>
      <c r="AT8" s="2436"/>
      <c r="AU8" s="2436"/>
      <c r="AV8" s="2436"/>
      <c r="AW8" s="2436"/>
      <c r="AX8" s="2436"/>
      <c r="AY8" s="2436"/>
      <c r="AZ8" s="2436"/>
      <c r="BA8" s="2436"/>
      <c r="BB8" s="2436"/>
      <c r="BC8" s="2436"/>
      <c r="BD8" s="2436"/>
      <c r="BE8" s="2436"/>
      <c r="BF8" s="2436"/>
      <c r="BG8" s="2436"/>
      <c r="BH8" s="2436"/>
      <c r="BI8" s="2436"/>
      <c r="BJ8" s="2436"/>
      <c r="BK8" s="2436"/>
      <c r="BL8" s="2436"/>
      <c r="BM8" s="2436"/>
      <c r="BN8" s="2436"/>
      <c r="BO8" s="2436"/>
    </row>
    <row r="9" spans="1:67" s="2506" customFormat="1" ht="14.25">
      <c r="A9" s="2531">
        <f>'数据-汇总表'!C22</f>
        <v>0</v>
      </c>
      <c r="B9" s="2532" t="str">
        <f t="shared" si="1"/>
        <v/>
      </c>
      <c r="C9" s="2533"/>
      <c r="D9" s="2534">
        <f>SUMIF(项目基本情况!D$12:I$12,C9,项目基本情况!D$14:I$14)</f>
        <v>0</v>
      </c>
      <c r="E9" s="2535" t="str">
        <f>IF(B9="","",SUMIF(项目基本情况!D$12:I$12,C9,项目基本情况!D$13:I$13))</f>
        <v/>
      </c>
      <c r="F9" s="2536">
        <f>SUMIF(项目基本情况!D$12:I$12,C9,项目基本情况!D$15:I$15)</f>
        <v>0</v>
      </c>
      <c r="G9" s="2537">
        <f t="shared" si="2"/>
        <v>0</v>
      </c>
      <c r="H9" s="2539"/>
      <c r="I9" s="2539"/>
      <c r="J9" s="2539"/>
      <c r="K9" s="2627">
        <f>SUMIF('数据-汇总表'!C$19:C$33,A9,'数据-汇总表'!E$19:E$33)</f>
        <v>0</v>
      </c>
      <c r="L9" s="2628"/>
      <c r="M9" s="2629">
        <f t="shared" si="0"/>
        <v>0</v>
      </c>
      <c r="N9" s="2630"/>
      <c r="O9" s="2629" t="str">
        <f t="shared" si="3"/>
        <v>——</v>
      </c>
      <c r="P9" s="2631" t="str">
        <f t="shared" si="4"/>
        <v>——</v>
      </c>
      <c r="Q9" s="2657"/>
      <c r="R9" s="2648">
        <f ca="1">SUMIF('数据-汇总表'!C$19:C$33,A9,'数据-汇总表'!R$19:R$27)</f>
        <v>0</v>
      </c>
      <c r="S9" s="2649">
        <f>IF('数据-汇总表'!$I$17="按面积比例",SUMIF('数据-汇总表'!C$19:C$33,A9,'数据-汇总表'!K$19:K$33),SUMIF('数据-汇总表'!C$19:C$33,A9,'数据-汇总表'!N$19:N$33))</f>
        <v>0</v>
      </c>
      <c r="T9" s="2650">
        <f t="shared" si="5"/>
        <v>0</v>
      </c>
      <c r="U9" s="2651"/>
      <c r="V9" s="2652"/>
      <c r="W9" s="2652"/>
      <c r="X9" s="2653"/>
      <c r="Y9" s="2673"/>
      <c r="Z9" s="2674"/>
      <c r="AA9" s="2539"/>
      <c r="AB9" s="2539"/>
      <c r="AC9" s="2653"/>
      <c r="AD9" s="2675"/>
      <c r="AE9" s="2676">
        <f t="shared" ca="1" si="6"/>
        <v>0</v>
      </c>
      <c r="AF9" s="2147"/>
      <c r="AG9" s="2094">
        <f t="shared" si="7"/>
        <v>0</v>
      </c>
      <c r="AH9" s="2658"/>
      <c r="AI9" s="2686"/>
      <c r="AJ9" s="2687"/>
      <c r="AK9" s="2688"/>
      <c r="AL9" s="2689"/>
      <c r="AM9" s="2690"/>
      <c r="AN9" s="2691"/>
      <c r="AO9" s="1193" t="e">
        <f t="shared" ca="1" si="8"/>
        <v>#REF!</v>
      </c>
      <c r="AP9" s="2705">
        <f t="shared" si="9"/>
        <v>0</v>
      </c>
      <c r="AQ9" s="1193">
        <f t="shared" si="10"/>
        <v>0</v>
      </c>
      <c r="AR9" s="1193">
        <f t="shared" si="11"/>
        <v>0</v>
      </c>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row>
    <row r="10" spans="1:67" s="2506" customFormat="1" ht="14.25">
      <c r="A10" s="2531">
        <f>'数据-汇总表'!C23</f>
        <v>0</v>
      </c>
      <c r="B10" s="2532" t="str">
        <f t="shared" si="1"/>
        <v/>
      </c>
      <c r="C10" s="2533"/>
      <c r="D10" s="2534">
        <f>SUMIF(项目基本情况!D$12:I$12,C10,项目基本情况!D$14:I$14)</f>
        <v>0</v>
      </c>
      <c r="E10" s="2535" t="str">
        <f>IF(B10="","",SUMIF(项目基本情况!D$12:I$12,C10,项目基本情况!D$13:I$13))</f>
        <v/>
      </c>
      <c r="F10" s="2536">
        <f>SUMIF(项目基本情况!D$12:I$12,C10,项目基本情况!D$15:I$15)</f>
        <v>0</v>
      </c>
      <c r="G10" s="2537">
        <f t="shared" si="2"/>
        <v>0</v>
      </c>
      <c r="H10" s="2539"/>
      <c r="I10" s="2539"/>
      <c r="J10" s="2539"/>
      <c r="K10" s="2627">
        <f>SUMIF('数据-汇总表'!C$19:C$33,A10,'数据-汇总表'!E$19:E$33)</f>
        <v>0</v>
      </c>
      <c r="L10" s="2628"/>
      <c r="M10" s="2629">
        <f t="shared" si="0"/>
        <v>0</v>
      </c>
      <c r="N10" s="2630"/>
      <c r="O10" s="2629" t="str">
        <f t="shared" si="3"/>
        <v>——</v>
      </c>
      <c r="P10" s="2631" t="str">
        <f t="shared" si="4"/>
        <v>——</v>
      </c>
      <c r="Q10" s="2657"/>
      <c r="R10" s="2648">
        <f ca="1">SUMIF('数据-汇总表'!C$19:C$33,A10,'数据-汇总表'!R$19:R$27)</f>
        <v>0</v>
      </c>
      <c r="S10" s="2649">
        <f>IF('数据-汇总表'!$I$17="按面积比例",SUMIF('数据-汇总表'!C$19:C$33,A10,'数据-汇总表'!K$19:K$33),SUMIF('数据-汇总表'!C$19:C$33,A10,'数据-汇总表'!N$19:N$33))</f>
        <v>0</v>
      </c>
      <c r="T10" s="2650">
        <f t="shared" si="5"/>
        <v>0</v>
      </c>
      <c r="U10" s="2651"/>
      <c r="V10" s="2652"/>
      <c r="W10" s="2652"/>
      <c r="X10" s="2653"/>
      <c r="Y10" s="2673"/>
      <c r="Z10" s="2674"/>
      <c r="AA10" s="2539"/>
      <c r="AB10" s="2539"/>
      <c r="AC10" s="2653"/>
      <c r="AD10" s="2675"/>
      <c r="AE10" s="2676">
        <f t="shared" ca="1" si="6"/>
        <v>0</v>
      </c>
      <c r="AF10" s="2147"/>
      <c r="AG10" s="2094">
        <f t="shared" si="7"/>
        <v>0</v>
      </c>
      <c r="AH10" s="2658"/>
      <c r="AI10" s="2686"/>
      <c r="AJ10" s="2687"/>
      <c r="AK10" s="2688"/>
      <c r="AL10" s="2689"/>
      <c r="AM10" s="2690"/>
      <c r="AN10" s="2691"/>
      <c r="AO10" s="1193" t="e">
        <f t="shared" ca="1" si="8"/>
        <v>#REF!</v>
      </c>
      <c r="AP10" s="2705">
        <f t="shared" si="9"/>
        <v>0</v>
      </c>
      <c r="AQ10" s="1193">
        <f t="shared" si="10"/>
        <v>0</v>
      </c>
      <c r="AR10" s="1193">
        <f t="shared" si="11"/>
        <v>0</v>
      </c>
      <c r="AS10" s="2436"/>
      <c r="AT10" s="2436"/>
      <c r="AU10" s="2436"/>
      <c r="AV10" s="2436"/>
      <c r="AW10" s="2436"/>
      <c r="AX10" s="2436"/>
      <c r="AY10" s="2436"/>
      <c r="AZ10" s="2436"/>
      <c r="BA10" s="2436"/>
      <c r="BB10" s="2436"/>
      <c r="BC10" s="2436"/>
      <c r="BD10" s="2436"/>
      <c r="BE10" s="2436"/>
      <c r="BF10" s="2436"/>
      <c r="BG10" s="2436"/>
      <c r="BH10" s="2436"/>
      <c r="BI10" s="2436"/>
      <c r="BJ10" s="2436"/>
      <c r="BK10" s="2436"/>
      <c r="BL10" s="2436"/>
      <c r="BM10" s="2436"/>
      <c r="BN10" s="2436"/>
      <c r="BO10" s="2436"/>
    </row>
    <row r="11" spans="1:67" s="2506" customFormat="1" ht="14.25">
      <c r="A11" s="2531">
        <f>'数据-汇总表'!C24</f>
        <v>0</v>
      </c>
      <c r="B11" s="2532" t="str">
        <f t="shared" si="1"/>
        <v/>
      </c>
      <c r="C11" s="2533"/>
      <c r="D11" s="2534">
        <f>SUMIF(项目基本情况!D$12:I$12,C11,项目基本情况!D$14:I$14)</f>
        <v>0</v>
      </c>
      <c r="E11" s="2535" t="str">
        <f>IF(B11="","",SUMIF(项目基本情况!D$12:I$12,C11,项目基本情况!D$13:I$13))</f>
        <v/>
      </c>
      <c r="F11" s="2536">
        <f>SUMIF(项目基本情况!D$12:I$12,C11,项目基本情况!D$15:I$15)</f>
        <v>0</v>
      </c>
      <c r="G11" s="2537">
        <f t="shared" si="2"/>
        <v>0</v>
      </c>
      <c r="H11" s="2539"/>
      <c r="I11" s="2539"/>
      <c r="J11" s="2539"/>
      <c r="K11" s="2627">
        <f>SUMIF('数据-汇总表'!C$19:C$33,A11,'数据-汇总表'!E$19:E$33)</f>
        <v>0</v>
      </c>
      <c r="L11" s="2632"/>
      <c r="M11" s="2629">
        <f t="shared" si="0"/>
        <v>0</v>
      </c>
      <c r="N11" s="2633"/>
      <c r="O11" s="2629" t="str">
        <f t="shared" si="3"/>
        <v>——</v>
      </c>
      <c r="P11" s="2631" t="str">
        <f t="shared" si="4"/>
        <v>——</v>
      </c>
      <c r="Q11" s="2657"/>
      <c r="R11" s="2648">
        <f ca="1">SUMIF('数据-汇总表'!C$19:C$33,A11,'数据-汇总表'!R$19:R$27)</f>
        <v>0</v>
      </c>
      <c r="S11" s="2649">
        <f>IF('数据-汇总表'!$I$17="按面积比例",SUMIF('数据-汇总表'!C$19:C$33,A11,'数据-汇总表'!K$19:K$33),SUMIF('数据-汇总表'!C$19:C$33,A11,'数据-汇总表'!N$19:N$33))</f>
        <v>0</v>
      </c>
      <c r="T11" s="2650">
        <f t="shared" si="5"/>
        <v>0</v>
      </c>
      <c r="U11" s="2658"/>
      <c r="V11" s="2539"/>
      <c r="W11" s="2539"/>
      <c r="X11" s="2653"/>
      <c r="Y11" s="2673"/>
      <c r="Z11" s="2678"/>
      <c r="AA11" s="2539"/>
      <c r="AB11" s="2539"/>
      <c r="AC11" s="2653"/>
      <c r="AD11" s="2675"/>
      <c r="AE11" s="2676">
        <f t="shared" ca="1" si="6"/>
        <v>0</v>
      </c>
      <c r="AF11" s="2147"/>
      <c r="AG11" s="2094">
        <f t="shared" si="7"/>
        <v>0</v>
      </c>
      <c r="AH11" s="2658"/>
      <c r="AI11" s="2686"/>
      <c r="AJ11" s="2687"/>
      <c r="AK11" s="2696"/>
      <c r="AL11" s="2697"/>
      <c r="AM11" s="2698"/>
      <c r="AN11" s="2691"/>
      <c r="AO11" s="1193" t="e">
        <f t="shared" ca="1" si="8"/>
        <v>#REF!</v>
      </c>
      <c r="AP11" s="2705">
        <f t="shared" si="9"/>
        <v>0</v>
      </c>
      <c r="AQ11" s="1193">
        <f t="shared" si="10"/>
        <v>0</v>
      </c>
      <c r="AR11" s="1193">
        <f t="shared" si="11"/>
        <v>0</v>
      </c>
      <c r="AS11" s="2436"/>
      <c r="AT11" s="2436"/>
      <c r="AU11" s="2436"/>
      <c r="AV11" s="2436"/>
      <c r="AW11" s="2436"/>
      <c r="AX11" s="2436"/>
      <c r="AY11" s="2436"/>
      <c r="AZ11" s="2436"/>
      <c r="BA11" s="2436"/>
      <c r="BB11" s="2436"/>
      <c r="BC11" s="2436"/>
      <c r="BD11" s="2436"/>
      <c r="BE11" s="2436"/>
      <c r="BF11" s="2436"/>
      <c r="BG11" s="2436"/>
      <c r="BH11" s="2436"/>
      <c r="BI11" s="2436"/>
      <c r="BJ11" s="2436"/>
      <c r="BK11" s="2436"/>
      <c r="BL11" s="2436"/>
      <c r="BM11" s="2436"/>
      <c r="BN11" s="2436"/>
      <c r="BO11" s="2436"/>
    </row>
    <row r="12" spans="1:67" s="2506" customFormat="1" ht="14.25">
      <c r="A12" s="2531">
        <f>'数据-汇总表'!C25</f>
        <v>0</v>
      </c>
      <c r="B12" s="2532" t="str">
        <f t="shared" si="1"/>
        <v/>
      </c>
      <c r="C12" s="2533"/>
      <c r="D12" s="2534">
        <f>SUMIF(项目基本情况!D$12:I$12,C12,项目基本情况!D$14:I$14)</f>
        <v>0</v>
      </c>
      <c r="E12" s="2535" t="str">
        <f>IF(B12="","",SUMIF(项目基本情况!D$12:I$12,C12,项目基本情况!D$13:I$13))</f>
        <v/>
      </c>
      <c r="F12" s="2536">
        <f>SUMIF(项目基本情况!D$12:I$12,C12,项目基本情况!D$15:I$15)</f>
        <v>0</v>
      </c>
      <c r="G12" s="2537">
        <f t="shared" si="2"/>
        <v>0</v>
      </c>
      <c r="H12" s="2539"/>
      <c r="I12" s="2539"/>
      <c r="J12" s="2539"/>
      <c r="K12" s="2627">
        <f>SUMIF('数据-汇总表'!C$19:C$33,A12,'数据-汇总表'!E$19:E$33)</f>
        <v>0</v>
      </c>
      <c r="L12" s="2632"/>
      <c r="M12" s="2629">
        <f t="shared" si="0"/>
        <v>0</v>
      </c>
      <c r="N12" s="2633"/>
      <c r="O12" s="2629" t="str">
        <f t="shared" si="3"/>
        <v>——</v>
      </c>
      <c r="P12" s="2631" t="str">
        <f t="shared" si="4"/>
        <v>——</v>
      </c>
      <c r="Q12" s="2657"/>
      <c r="R12" s="2648">
        <f ca="1">SUMIF('数据-汇总表'!C$19:C$33,A12,'数据-汇总表'!R$19:R$27)</f>
        <v>0</v>
      </c>
      <c r="S12" s="2649">
        <f>IF('数据-汇总表'!$I$17="按面积比例",SUMIF('数据-汇总表'!C$19:C$33,A12,'数据-汇总表'!K$19:K$33),SUMIF('数据-汇总表'!C$19:C$33,A12,'数据-汇总表'!N$19:N$33))</f>
        <v>0</v>
      </c>
      <c r="T12" s="2650">
        <f t="shared" si="5"/>
        <v>0</v>
      </c>
      <c r="U12" s="2658"/>
      <c r="V12" s="2539"/>
      <c r="W12" s="2539"/>
      <c r="X12" s="2653"/>
      <c r="Y12" s="2673"/>
      <c r="Z12" s="2678"/>
      <c r="AA12" s="2539"/>
      <c r="AB12" s="2539"/>
      <c r="AC12" s="2653"/>
      <c r="AD12" s="2675"/>
      <c r="AE12" s="2676">
        <f t="shared" ca="1" si="6"/>
        <v>0</v>
      </c>
      <c r="AF12" s="2147"/>
      <c r="AG12" s="2094">
        <f t="shared" si="7"/>
        <v>0</v>
      </c>
      <c r="AH12" s="2658"/>
      <c r="AI12" s="2686"/>
      <c r="AJ12" s="2687"/>
      <c r="AK12" s="2696"/>
      <c r="AL12" s="2697"/>
      <c r="AM12" s="2698"/>
      <c r="AN12" s="2691"/>
      <c r="AO12" s="1193" t="e">
        <f t="shared" ca="1" si="8"/>
        <v>#REF!</v>
      </c>
      <c r="AP12" s="2705">
        <f t="shared" si="9"/>
        <v>0</v>
      </c>
      <c r="AQ12" s="1193">
        <f t="shared" si="10"/>
        <v>0</v>
      </c>
      <c r="AR12" s="1193">
        <f t="shared" si="11"/>
        <v>0</v>
      </c>
      <c r="AS12" s="2436"/>
      <c r="AT12" s="2436"/>
      <c r="AU12" s="2436"/>
      <c r="AV12" s="2436"/>
      <c r="AW12" s="2436"/>
      <c r="AX12" s="2436"/>
      <c r="AY12" s="2436"/>
      <c r="AZ12" s="2436"/>
      <c r="BA12" s="2436"/>
      <c r="BB12" s="2436"/>
      <c r="BC12" s="2436"/>
      <c r="BD12" s="2436"/>
      <c r="BE12" s="2436"/>
      <c r="BF12" s="2436"/>
      <c r="BG12" s="2436"/>
      <c r="BH12" s="2436"/>
      <c r="BI12" s="2436"/>
      <c r="BJ12" s="2436"/>
      <c r="BK12" s="2436"/>
      <c r="BL12" s="2436"/>
      <c r="BM12" s="2436"/>
      <c r="BN12" s="2436"/>
      <c r="BO12" s="2436"/>
    </row>
    <row r="13" spans="1:67" s="2506" customFormat="1" ht="14.25">
      <c r="A13" s="2531">
        <f>'数据-汇总表'!C26</f>
        <v>0</v>
      </c>
      <c r="B13" s="2532" t="str">
        <f t="shared" si="1"/>
        <v/>
      </c>
      <c r="C13" s="2533"/>
      <c r="D13" s="2534">
        <f>SUMIF(项目基本情况!D$12:I$12,C13,项目基本情况!D$14:I$14)</f>
        <v>0</v>
      </c>
      <c r="E13" s="2535" t="str">
        <f>IF(B13="","",SUMIF(项目基本情况!D$12:I$12,C13,项目基本情况!D$13:I$13))</f>
        <v/>
      </c>
      <c r="F13" s="2536">
        <f>SUMIF(项目基本情况!D$12:I$12,C13,项目基本情况!D$15:I$15)</f>
        <v>0</v>
      </c>
      <c r="G13" s="2537">
        <f t="shared" si="2"/>
        <v>0</v>
      </c>
      <c r="H13" s="2539"/>
      <c r="I13" s="2539"/>
      <c r="J13" s="2539"/>
      <c r="K13" s="2627">
        <f>SUMIF('数据-汇总表'!C$19:C$33,A13,'数据-汇总表'!E$19:E$33)</f>
        <v>0</v>
      </c>
      <c r="L13" s="2632"/>
      <c r="M13" s="2629">
        <f t="shared" si="0"/>
        <v>0</v>
      </c>
      <c r="N13" s="2633"/>
      <c r="O13" s="2629" t="str">
        <f t="shared" si="3"/>
        <v>——</v>
      </c>
      <c r="P13" s="2631" t="str">
        <f t="shared" si="4"/>
        <v>——</v>
      </c>
      <c r="Q13" s="2657"/>
      <c r="R13" s="2648">
        <f ca="1">SUMIF('数据-汇总表'!C$19:C$33,A13,'数据-汇总表'!R$19:R$27)</f>
        <v>0</v>
      </c>
      <c r="S13" s="2649">
        <f>IF('数据-汇总表'!$I$17="按面积比例",SUMIF('数据-汇总表'!C$19:C$33,A13,'数据-汇总表'!K$19:K$33),SUMIF('数据-汇总表'!C$19:C$33,A13,'数据-汇总表'!N$19:N$33))</f>
        <v>0</v>
      </c>
      <c r="T13" s="2650">
        <f t="shared" si="5"/>
        <v>0</v>
      </c>
      <c r="U13" s="2651"/>
      <c r="V13" s="2652"/>
      <c r="W13" s="2652"/>
      <c r="X13" s="2653"/>
      <c r="Y13" s="2673"/>
      <c r="Z13" s="2674"/>
      <c r="AA13" s="2539"/>
      <c r="AB13" s="2539"/>
      <c r="AC13" s="2653"/>
      <c r="AD13" s="2675"/>
      <c r="AE13" s="2676">
        <f t="shared" ca="1" si="6"/>
        <v>0</v>
      </c>
      <c r="AF13" s="2147"/>
      <c r="AG13" s="2094">
        <f t="shared" si="7"/>
        <v>0</v>
      </c>
      <c r="AH13" s="2658"/>
      <c r="AI13" s="2686"/>
      <c r="AJ13" s="2687"/>
      <c r="AK13" s="2688"/>
      <c r="AL13" s="2689"/>
      <c r="AM13" s="2690"/>
      <c r="AN13" s="2691"/>
      <c r="AO13" s="1193" t="e">
        <f t="shared" ca="1" si="8"/>
        <v>#REF!</v>
      </c>
      <c r="AP13" s="2705">
        <f t="shared" si="9"/>
        <v>0</v>
      </c>
      <c r="AQ13" s="1193">
        <f t="shared" si="10"/>
        <v>0</v>
      </c>
      <c r="AR13" s="1193">
        <f t="shared" si="11"/>
        <v>0</v>
      </c>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row>
    <row r="14" spans="1:67" s="2506" customFormat="1" ht="14.25">
      <c r="A14" s="2540" t="s">
        <v>536</v>
      </c>
      <c r="B14" s="2532" t="s">
        <v>535</v>
      </c>
      <c r="C14" s="2541" t="s">
        <v>536</v>
      </c>
      <c r="D14" s="2534"/>
      <c r="E14" s="2535"/>
      <c r="F14" s="2536"/>
      <c r="G14" s="2537"/>
      <c r="H14" s="2542"/>
      <c r="I14" s="2542"/>
      <c r="J14" s="2542"/>
      <c r="K14" s="2627">
        <f>SUMIF('数据-汇总表'!C$19:C$33,A14,'数据-汇总表'!E$19:E$33)</f>
        <v>0</v>
      </c>
      <c r="L14" s="2632"/>
      <c r="M14" s="2629">
        <f t="shared" si="0"/>
        <v>0</v>
      </c>
      <c r="N14" s="2633"/>
      <c r="O14" s="2629" t="str">
        <f t="shared" si="3"/>
        <v>——</v>
      </c>
      <c r="P14" s="2631" t="str">
        <f t="shared" si="4"/>
        <v>——</v>
      </c>
      <c r="Q14" s="2659"/>
      <c r="R14" s="2648"/>
      <c r="S14" s="2649"/>
      <c r="T14" s="2650"/>
      <c r="U14" s="2660"/>
      <c r="V14" s="2661"/>
      <c r="W14" s="2661"/>
      <c r="X14" s="2662"/>
      <c r="Y14" s="2679"/>
      <c r="Z14" s="2680"/>
      <c r="AA14" s="2681"/>
      <c r="AB14" s="2681"/>
      <c r="AC14" s="2653"/>
      <c r="AD14" s="2662"/>
      <c r="AE14" s="2676"/>
      <c r="AF14" s="1193"/>
      <c r="AG14" s="2094"/>
      <c r="AH14" s="2676"/>
      <c r="AI14" s="1181"/>
      <c r="AJ14" s="1192"/>
      <c r="AK14" s="2699"/>
      <c r="AL14" s="2700"/>
      <c r="AM14" s="2701"/>
      <c r="AN14" s="1939"/>
      <c r="AO14" s="2552"/>
      <c r="AP14" s="2552"/>
      <c r="AQ14" s="2552"/>
      <c r="AR14" s="2552"/>
      <c r="AS14" s="2436"/>
      <c r="AT14" s="2436"/>
      <c r="AU14" s="2436"/>
      <c r="AV14" s="2436"/>
      <c r="AW14" s="2436"/>
      <c r="AX14" s="2436"/>
      <c r="AY14" s="2436"/>
      <c r="AZ14" s="2436"/>
      <c r="BA14" s="2436"/>
      <c r="BB14" s="2436"/>
      <c r="BC14" s="2436"/>
      <c r="BD14" s="2436"/>
      <c r="BE14" s="2436"/>
      <c r="BF14" s="2436"/>
      <c r="BG14" s="2436"/>
      <c r="BH14" s="2436"/>
      <c r="BI14" s="2436"/>
      <c r="BJ14" s="2436"/>
      <c r="BK14" s="2436"/>
      <c r="BL14" s="2436"/>
      <c r="BM14" s="2436"/>
      <c r="BN14" s="2436"/>
      <c r="BO14" s="2436"/>
    </row>
    <row r="15" spans="1:67" s="2506" customFormat="1" ht="27">
      <c r="A15" s="2540" t="s">
        <v>537</v>
      </c>
      <c r="B15" s="2532" t="s">
        <v>535</v>
      </c>
      <c r="C15" s="2541" t="s">
        <v>583</v>
      </c>
      <c r="D15" s="2534"/>
      <c r="E15" s="2535"/>
      <c r="F15" s="2536"/>
      <c r="G15" s="2537"/>
      <c r="H15" s="2542"/>
      <c r="I15" s="2542"/>
      <c r="J15" s="2542"/>
      <c r="K15" s="2627">
        <f>SUMIF('数据-汇总表'!C$19:C$33,A15,'数据-汇总表'!E$19:E$33)</f>
        <v>0</v>
      </c>
      <c r="L15" s="2634"/>
      <c r="M15" s="2629"/>
      <c r="N15" s="2635"/>
      <c r="O15" s="2629"/>
      <c r="P15" s="2631"/>
      <c r="Q15" s="2659"/>
      <c r="R15" s="2648"/>
      <c r="S15" s="2649"/>
      <c r="T15" s="2650"/>
      <c r="U15" s="2660"/>
      <c r="V15" s="2661"/>
      <c r="W15" s="2661"/>
      <c r="X15" s="2662"/>
      <c r="Y15" s="2679"/>
      <c r="Z15" s="2680"/>
      <c r="AA15" s="2681"/>
      <c r="AB15" s="2681"/>
      <c r="AC15" s="2653"/>
      <c r="AD15" s="2662"/>
      <c r="AE15" s="2676"/>
      <c r="AF15" s="1193"/>
      <c r="AG15" s="2094"/>
      <c r="AH15" s="2676"/>
      <c r="AI15" s="1181"/>
      <c r="AJ15" s="1192"/>
      <c r="AK15" s="2699"/>
      <c r="AL15" s="2700"/>
      <c r="AM15" s="2701"/>
      <c r="AN15" s="1939"/>
      <c r="AO15" s="2552"/>
      <c r="AP15" s="2552"/>
      <c r="AQ15" s="2552"/>
      <c r="AR15" s="2552"/>
      <c r="AS15" s="2436"/>
      <c r="AT15" s="2436"/>
      <c r="AU15" s="2436"/>
      <c r="AV15" s="2436"/>
      <c r="AW15" s="2436"/>
      <c r="AX15" s="2436"/>
      <c r="AY15" s="2436"/>
      <c r="AZ15" s="2436"/>
      <c r="BA15" s="2436"/>
      <c r="BB15" s="2436"/>
      <c r="BC15" s="2436"/>
      <c r="BD15" s="2436"/>
      <c r="BE15" s="2436"/>
      <c r="BF15" s="2436"/>
      <c r="BG15" s="2436"/>
      <c r="BH15" s="2436"/>
      <c r="BI15" s="2436"/>
      <c r="BJ15" s="2436"/>
      <c r="BK15" s="2436"/>
      <c r="BL15" s="2436"/>
      <c r="BM15" s="2436"/>
      <c r="BN15" s="2436"/>
      <c r="BO15" s="2436"/>
    </row>
    <row r="16" spans="1:67" s="2506" customFormat="1" ht="15">
      <c r="A16" s="2543" t="s">
        <v>538</v>
      </c>
      <c r="B16" s="2544"/>
      <c r="C16" s="1997"/>
      <c r="D16" s="2545"/>
      <c r="E16" s="2544"/>
      <c r="F16" s="2544"/>
      <c r="G16" s="2546">
        <f>ROUND(SUMPRODUCT(G6:G13,K6:K13)/SUMPRODUCT((G6:G13&gt;0)*(K6:K13)),3)</f>
        <v>1</v>
      </c>
      <c r="H16" s="2547">
        <f>ROUND(SUMPRODUCT(H6:H13,K6:K13)/SUMPRODUCT((H6:H13&gt;0)*(K6:K13)),3)</f>
        <v>0.04</v>
      </c>
      <c r="I16" s="2636"/>
      <c r="J16" s="2636"/>
      <c r="K16" s="2637">
        <f>SUM(K6:K15)</f>
        <v>1</v>
      </c>
      <c r="L16" s="2638">
        <f>ROUND(M16*10000/SUM(K6:K14),0)</f>
        <v>10000</v>
      </c>
      <c r="M16" s="2638">
        <f>SUM(M6:M14)</f>
        <v>1</v>
      </c>
      <c r="N16" s="2639">
        <f>ROUND(SUMPRODUCT(M6:M14,N6:N14)/M16,3)</f>
        <v>1</v>
      </c>
      <c r="O16" s="2638">
        <f>SUM(O6:O14)</f>
        <v>0</v>
      </c>
      <c r="P16" s="2638">
        <f>SUM(P6:P14)</f>
        <v>0</v>
      </c>
      <c r="Q16" s="2663">
        <f>ROUND(SUMPRODUCT(Q6:Q13,K6:K13)/SUMPRODUCT((Q6:Q13&gt;0)*(K6:K13)),2)</f>
        <v>0.03</v>
      </c>
      <c r="R16" s="2664">
        <f ca="1">SUM(R6:R13)</f>
        <v>0.39</v>
      </c>
      <c r="S16" s="2665">
        <f>SUM(S6:S13)</f>
        <v>0</v>
      </c>
      <c r="T16" s="2666">
        <f>IF(SUMIF(T6:T13,"&lt;9E307")=M14,SUMIF(T6:T13,"&lt;9E307"),"有误，请检查")</f>
        <v>0</v>
      </c>
      <c r="U16" s="2667"/>
      <c r="V16" s="2668"/>
      <c r="W16" s="2668"/>
      <c r="X16" s="2669"/>
      <c r="Y16" s="2682"/>
      <c r="Z16" s="2683"/>
      <c r="AA16" s="2668"/>
      <c r="AB16" s="2668"/>
      <c r="AC16" s="2669"/>
      <c r="AD16" s="2669"/>
      <c r="AE16" s="2667"/>
      <c r="AF16" s="2668"/>
      <c r="AG16" s="2682"/>
      <c r="AH16" s="2667"/>
      <c r="AI16" s="2683"/>
      <c r="AJ16" s="2683"/>
      <c r="AK16" s="2668"/>
      <c r="AL16" s="2668"/>
      <c r="AM16" s="2682"/>
      <c r="AN16" s="1939"/>
      <c r="AO16" s="2552"/>
      <c r="AP16" s="2552"/>
      <c r="AQ16" s="2552"/>
      <c r="AR16" s="2552"/>
      <c r="AS16" s="2436"/>
      <c r="AT16" s="2436"/>
      <c r="AU16" s="2436"/>
      <c r="AV16" s="2436"/>
      <c r="AW16" s="2436"/>
      <c r="AX16" s="2436"/>
      <c r="AY16" s="2436"/>
      <c r="AZ16" s="2436"/>
      <c r="BA16" s="2436"/>
      <c r="BB16" s="2436"/>
      <c r="BC16" s="2436"/>
      <c r="BD16" s="2436"/>
      <c r="BE16" s="2436"/>
      <c r="BF16" s="2436"/>
      <c r="BG16" s="2436"/>
      <c r="BH16" s="2436"/>
      <c r="BI16" s="2436"/>
      <c r="BJ16" s="2436"/>
      <c r="BK16" s="2436"/>
      <c r="BL16" s="2436"/>
      <c r="BM16" s="2436"/>
      <c r="BN16" s="2436"/>
      <c r="BO16" s="2436"/>
    </row>
    <row r="17" spans="1:67">
      <c r="A17" s="2548"/>
      <c r="B17" s="2549"/>
      <c r="C17" s="1939"/>
      <c r="D17" s="2550"/>
      <c r="E17" s="2550"/>
      <c r="F17" s="1939"/>
      <c r="G17" s="1939"/>
      <c r="H17" s="1939"/>
      <c r="I17" s="1939"/>
      <c r="J17" s="1939"/>
      <c r="K17" s="2640"/>
      <c r="L17" s="26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row>
    <row r="18" spans="1:67" ht="14.25">
      <c r="A18" s="1444" t="s">
        <v>584</v>
      </c>
      <c r="B18" s="2551"/>
      <c r="C18" s="2552"/>
      <c r="D18" s="2553"/>
      <c r="E18" s="2552"/>
      <c r="F18" s="2552"/>
      <c r="G18" s="2552"/>
      <c r="H18" s="2552"/>
      <c r="I18" s="2552"/>
      <c r="J18" s="2552"/>
      <c r="K18" s="2640"/>
      <c r="L18" s="26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1939"/>
      <c r="AP18" s="1939"/>
      <c r="AQ18" s="1939"/>
      <c r="AR18" s="1939"/>
    </row>
    <row r="19" spans="1:67" ht="14.25">
      <c r="A19" s="2554" t="s">
        <v>585</v>
      </c>
      <c r="B19" s="2555">
        <v>0</v>
      </c>
      <c r="C19" s="2556" t="s">
        <v>586</v>
      </c>
      <c r="D19" s="2553"/>
      <c r="E19" s="2552"/>
      <c r="F19" s="2552"/>
      <c r="G19" s="2552"/>
      <c r="H19" s="2552"/>
      <c r="I19" s="2552"/>
      <c r="J19" s="2552"/>
      <c r="K19" s="2640"/>
      <c r="L19" s="2640"/>
      <c r="M19" s="1939"/>
      <c r="N19" s="1939"/>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1939"/>
      <c r="AP19" s="1939"/>
      <c r="AQ19" s="1939"/>
      <c r="AR19" s="1939"/>
    </row>
    <row r="20" spans="1:67" ht="14.25">
      <c r="A20" s="2557" t="s">
        <v>587</v>
      </c>
      <c r="B20" s="2558">
        <v>3</v>
      </c>
      <c r="C20" s="2559" t="s">
        <v>588</v>
      </c>
      <c r="D20" s="2553"/>
      <c r="E20" s="2552"/>
      <c r="F20" s="2552"/>
      <c r="G20" s="2552"/>
      <c r="H20" s="2552"/>
      <c r="I20" s="2552"/>
      <c r="J20" s="2552"/>
      <c r="K20" s="2640"/>
      <c r="L20" s="2640"/>
      <c r="M20" s="1939"/>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1939"/>
      <c r="AP20" s="1939"/>
      <c r="AQ20" s="1939"/>
      <c r="AR20" s="1939"/>
    </row>
    <row r="21" spans="1:67" ht="14.25">
      <c r="A21" s="2560" t="s">
        <v>589</v>
      </c>
      <c r="B21" s="2558">
        <v>3</v>
      </c>
      <c r="C21" s="2552"/>
      <c r="D21" s="2553"/>
      <c r="E21" s="2552"/>
      <c r="F21" s="2552"/>
      <c r="G21" s="2552"/>
      <c r="H21" s="2552"/>
      <c r="I21" s="2552"/>
      <c r="J21" s="2552"/>
      <c r="K21" s="2640"/>
      <c r="L21" s="2640"/>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row>
    <row r="22" spans="1:67" ht="14.25">
      <c r="A22" s="2557" t="s">
        <v>590</v>
      </c>
      <c r="B22" s="2561">
        <f>B19+B20</f>
        <v>3</v>
      </c>
      <c r="C22" s="2552"/>
      <c r="D22" s="2553"/>
      <c r="E22" s="2552"/>
      <c r="F22" s="2552"/>
      <c r="G22" s="2552"/>
      <c r="H22" s="2552"/>
      <c r="I22" s="2552"/>
      <c r="J22" s="2552"/>
      <c r="K22" s="2640"/>
      <c r="L22" s="26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1939"/>
      <c r="AP22" s="1939"/>
      <c r="AQ22" s="1939"/>
      <c r="AR22" s="1939"/>
    </row>
    <row r="23" spans="1:67" ht="14.25">
      <c r="A23" s="2560" t="s">
        <v>591</v>
      </c>
      <c r="B23" s="2561">
        <f>B19+B21</f>
        <v>3</v>
      </c>
      <c r="C23" s="2552"/>
      <c r="D23" s="2553"/>
      <c r="E23" s="2552"/>
      <c r="F23" s="2552"/>
      <c r="G23" s="2552"/>
      <c r="H23" s="2552"/>
      <c r="I23" s="2552"/>
      <c r="J23" s="2552"/>
      <c r="K23" s="2640"/>
      <c r="L23" s="26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1939"/>
      <c r="AP23" s="1939"/>
      <c r="AQ23" s="1939"/>
      <c r="AR23" s="1939"/>
    </row>
    <row r="24" spans="1:67" ht="14.25">
      <c r="A24" s="2562" t="s">
        <v>592</v>
      </c>
      <c r="B24" s="2563">
        <f>B20-B21</f>
        <v>0</v>
      </c>
      <c r="C24" s="2552"/>
      <c r="D24" s="2553"/>
      <c r="E24" s="2552"/>
      <c r="F24" s="2552"/>
      <c r="G24" s="2552"/>
      <c r="H24" s="2552"/>
      <c r="I24" s="2552"/>
      <c r="J24" s="2552"/>
      <c r="K24" s="2640"/>
      <c r="L24" s="26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1939"/>
      <c r="AP24" s="1939"/>
      <c r="AQ24" s="1939"/>
      <c r="AR24" s="1939"/>
    </row>
    <row r="25" spans="1:67" ht="14.25">
      <c r="A25" s="2521"/>
      <c r="B25" s="2522"/>
      <c r="C25" s="2552"/>
      <c r="D25" s="2553"/>
      <c r="E25" s="2552"/>
      <c r="F25" s="2552"/>
      <c r="G25" s="2552"/>
      <c r="H25" s="2552"/>
      <c r="I25" s="2552"/>
      <c r="J25" s="2552"/>
      <c r="K25" s="2640"/>
      <c r="L25" s="26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1939"/>
      <c r="AP25" s="1939"/>
      <c r="AQ25" s="1939"/>
      <c r="AR25" s="1939"/>
    </row>
    <row r="26" spans="1:67" ht="14.25">
      <c r="A26" s="2517" t="s">
        <v>593</v>
      </c>
      <c r="B26" s="2564" t="s">
        <v>594</v>
      </c>
      <c r="C26" s="2565" t="s">
        <v>595</v>
      </c>
      <c r="D26" s="2553"/>
      <c r="E26" s="2552"/>
      <c r="F26" s="2552"/>
      <c r="G26" s="2552"/>
      <c r="H26" s="2552"/>
      <c r="I26" s="2552"/>
      <c r="J26" s="2552"/>
      <c r="K26" s="2640"/>
      <c r="L26" s="26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1939"/>
      <c r="AP26" s="1939"/>
      <c r="AQ26" s="1939"/>
      <c r="AR26" s="1939"/>
    </row>
    <row r="27" spans="1:67" s="2508" customFormat="1" ht="27.75">
      <c r="A27" s="2566" t="s">
        <v>596</v>
      </c>
      <c r="B27" s="2567">
        <v>160</v>
      </c>
      <c r="C27" s="2568" t="s">
        <v>597</v>
      </c>
      <c r="D27" s="2569"/>
      <c r="E27" s="1308"/>
      <c r="F27" s="1308"/>
      <c r="G27" s="2552"/>
      <c r="H27" s="2552"/>
      <c r="I27" s="2552"/>
      <c r="J27" s="2552"/>
      <c r="K27" s="2640"/>
      <c r="L27" s="26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1939"/>
      <c r="AP27" s="1939"/>
      <c r="AQ27" s="1939"/>
      <c r="AR27" s="1939"/>
      <c r="AS27" s="1927"/>
      <c r="AT27" s="1927"/>
      <c r="AU27" s="1927"/>
      <c r="AV27" s="1927"/>
      <c r="AW27" s="1927"/>
      <c r="AX27" s="1927"/>
      <c r="AY27" s="1927"/>
      <c r="AZ27" s="1927"/>
      <c r="BA27" s="1927"/>
      <c r="BB27" s="1927"/>
      <c r="BC27" s="1927"/>
      <c r="BD27" s="1927"/>
      <c r="BE27" s="1927"/>
      <c r="BF27" s="1927"/>
      <c r="BG27" s="1927"/>
      <c r="BH27" s="1927"/>
      <c r="BI27" s="1927"/>
      <c r="BJ27" s="1927"/>
      <c r="BK27" s="1927"/>
      <c r="BL27" s="1927"/>
      <c r="BM27" s="1927"/>
      <c r="BN27" s="1927"/>
      <c r="BO27" s="1927"/>
    </row>
    <row r="28" spans="1:67" s="2508" customFormat="1" ht="27.75">
      <c r="A28" s="2570" t="s">
        <v>598</v>
      </c>
      <c r="B28" s="2571"/>
      <c r="C28" s="2572"/>
      <c r="D28" s="2569"/>
      <c r="E28" s="1308"/>
      <c r="F28" s="1308"/>
      <c r="G28" s="2552"/>
      <c r="H28" s="2552"/>
      <c r="I28" s="2552"/>
      <c r="J28" s="2552"/>
      <c r="K28" s="2640"/>
      <c r="L28" s="26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1939"/>
      <c r="AP28" s="1939"/>
      <c r="AQ28" s="1939"/>
      <c r="AR28" s="1939"/>
      <c r="AS28" s="1927"/>
      <c r="AT28" s="1927"/>
      <c r="AU28" s="1927"/>
      <c r="AV28" s="1927"/>
      <c r="AW28" s="1927"/>
      <c r="AX28" s="1927"/>
      <c r="AY28" s="1927"/>
      <c r="AZ28" s="1927"/>
      <c r="BA28" s="1927"/>
      <c r="BB28" s="1927"/>
      <c r="BC28" s="1927"/>
      <c r="BD28" s="1927"/>
      <c r="BE28" s="1927"/>
      <c r="BF28" s="1927"/>
      <c r="BG28" s="1927"/>
      <c r="BH28" s="1927"/>
      <c r="BI28" s="1927"/>
      <c r="BJ28" s="1927"/>
      <c r="BK28" s="1927"/>
      <c r="BL28" s="1927"/>
      <c r="BM28" s="1927"/>
      <c r="BN28" s="1927"/>
      <c r="BO28" s="1927"/>
    </row>
    <row r="29" spans="1:67" s="2508" customFormat="1" ht="27.75">
      <c r="A29" s="2573" t="s">
        <v>599</v>
      </c>
      <c r="B29" s="2574"/>
      <c r="C29" s="2575" t="s">
        <v>600</v>
      </c>
      <c r="D29" s="2569"/>
      <c r="E29" s="1308"/>
      <c r="F29" s="1308"/>
      <c r="G29" s="2552"/>
      <c r="H29" s="2552"/>
      <c r="I29" s="2552"/>
      <c r="J29" s="2552"/>
      <c r="K29" s="2640"/>
      <c r="L29" s="26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1939"/>
      <c r="AP29" s="1939"/>
      <c r="AQ29" s="1939"/>
      <c r="AR29" s="1939"/>
      <c r="AS29" s="1927"/>
      <c r="AT29" s="1927"/>
      <c r="AU29" s="1927"/>
      <c r="AV29" s="1927"/>
      <c r="AW29" s="1927"/>
      <c r="AX29" s="1927"/>
      <c r="AY29" s="1927"/>
      <c r="AZ29" s="1927"/>
      <c r="BA29" s="1927"/>
      <c r="BB29" s="1927"/>
      <c r="BC29" s="1927"/>
      <c r="BD29" s="1927"/>
      <c r="BE29" s="1927"/>
      <c r="BF29" s="1927"/>
      <c r="BG29" s="1927"/>
      <c r="BH29" s="1927"/>
      <c r="BI29" s="1927"/>
      <c r="BJ29" s="1927"/>
      <c r="BK29" s="1927"/>
      <c r="BL29" s="1927"/>
      <c r="BM29" s="1927"/>
      <c r="BN29" s="1927"/>
      <c r="BO29" s="1927"/>
    </row>
    <row r="30" spans="1:67" s="2508" customFormat="1" ht="27">
      <c r="A30" s="2576" t="s">
        <v>601</v>
      </c>
      <c r="B30" s="2577"/>
      <c r="C30" s="2572"/>
      <c r="D30" s="2569"/>
      <c r="E30" s="1308"/>
      <c r="F30" s="1308"/>
      <c r="G30" s="2552"/>
      <c r="H30" s="2552"/>
      <c r="I30" s="2552"/>
      <c r="J30" s="2552"/>
      <c r="K30" s="2640"/>
      <c r="L30" s="26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1939"/>
      <c r="AP30" s="1939"/>
      <c r="AQ30" s="1939"/>
      <c r="AR30" s="1939"/>
      <c r="AS30" s="1927"/>
      <c r="AT30" s="1927"/>
      <c r="AU30" s="1927"/>
      <c r="AV30" s="1927"/>
      <c r="AW30" s="1927"/>
      <c r="AX30" s="1927"/>
      <c r="AY30" s="1927"/>
      <c r="AZ30" s="1927"/>
      <c r="BA30" s="1927"/>
      <c r="BB30" s="1927"/>
      <c r="BC30" s="1927"/>
      <c r="BD30" s="1927"/>
      <c r="BE30" s="1927"/>
      <c r="BF30" s="1927"/>
      <c r="BG30" s="1927"/>
      <c r="BH30" s="1927"/>
      <c r="BI30" s="1927"/>
      <c r="BJ30" s="1927"/>
      <c r="BK30" s="1927"/>
      <c r="BL30" s="1927"/>
      <c r="BM30" s="1927"/>
      <c r="BN30" s="1927"/>
      <c r="BO30" s="1927"/>
    </row>
    <row r="31" spans="1:67" s="2508" customFormat="1" ht="27">
      <c r="A31" s="2570" t="s">
        <v>602</v>
      </c>
      <c r="B31" s="2578">
        <f>B30-B32</f>
        <v>0</v>
      </c>
      <c r="C31" s="2579"/>
      <c r="D31" s="2569"/>
      <c r="E31" s="1308"/>
      <c r="F31" s="1308"/>
      <c r="G31" s="2552"/>
      <c r="H31" s="2552"/>
      <c r="I31" s="2552"/>
      <c r="J31" s="2552"/>
      <c r="K31" s="2640"/>
      <c r="L31" s="26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1939"/>
      <c r="AP31" s="1939"/>
      <c r="AQ31" s="1939"/>
      <c r="AR31" s="1939"/>
      <c r="AS31" s="1927"/>
      <c r="AT31" s="1927"/>
      <c r="AU31" s="1927"/>
      <c r="AV31" s="1927"/>
      <c r="AW31" s="1927"/>
      <c r="AX31" s="1927"/>
      <c r="AY31" s="1927"/>
      <c r="AZ31" s="1927"/>
      <c r="BA31" s="1927"/>
      <c r="BB31" s="1927"/>
      <c r="BC31" s="1927"/>
      <c r="BD31" s="1927"/>
      <c r="BE31" s="1927"/>
      <c r="BF31" s="1927"/>
      <c r="BG31" s="1927"/>
      <c r="BH31" s="1927"/>
      <c r="BI31" s="1927"/>
      <c r="BJ31" s="1927"/>
      <c r="BK31" s="1927"/>
      <c r="BL31" s="1927"/>
      <c r="BM31" s="1927"/>
      <c r="BN31" s="1927"/>
      <c r="BO31" s="1927"/>
    </row>
    <row r="32" spans="1:67" s="2508" customFormat="1" ht="27">
      <c r="A32" s="2580" t="s">
        <v>603</v>
      </c>
      <c r="B32" s="2581"/>
      <c r="C32" s="2572"/>
      <c r="D32" s="2553"/>
      <c r="E32" s="2552"/>
      <c r="F32" s="2552"/>
      <c r="G32" s="2552"/>
      <c r="H32" s="2552"/>
      <c r="I32" s="2552"/>
      <c r="J32" s="2552"/>
      <c r="K32" s="2640"/>
      <c r="L32" s="26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1939"/>
      <c r="AP32" s="1939"/>
      <c r="AQ32" s="1939"/>
      <c r="AR32" s="1939"/>
      <c r="AS32" s="1927"/>
      <c r="AT32" s="1927"/>
      <c r="AU32" s="1927"/>
      <c r="AV32" s="1927"/>
      <c r="AW32" s="1927"/>
      <c r="AX32" s="1927"/>
      <c r="AY32" s="1927"/>
      <c r="AZ32" s="1927"/>
      <c r="BA32" s="1927"/>
      <c r="BB32" s="1927"/>
      <c r="BC32" s="1927"/>
      <c r="BD32" s="1927"/>
      <c r="BE32" s="1927"/>
      <c r="BF32" s="1927"/>
      <c r="BG32" s="1927"/>
      <c r="BH32" s="1927"/>
      <c r="BI32" s="1927"/>
      <c r="BJ32" s="1927"/>
      <c r="BK32" s="1927"/>
      <c r="BL32" s="1927"/>
      <c r="BM32" s="1927"/>
      <c r="BN32" s="1927"/>
      <c r="BO32" s="1927"/>
    </row>
    <row r="33" spans="1:67" s="2508" customFormat="1" ht="14.25">
      <c r="A33" s="2566" t="s">
        <v>604</v>
      </c>
      <c r="B33" s="2582">
        <v>0.03</v>
      </c>
      <c r="C33" s="2583" t="s">
        <v>605</v>
      </c>
      <c r="D33" s="2553"/>
      <c r="E33" s="2552"/>
      <c r="F33" s="2552"/>
      <c r="G33" s="2552"/>
      <c r="H33" s="2552"/>
      <c r="I33" s="2552"/>
      <c r="J33" s="2552"/>
      <c r="K33" s="2640"/>
      <c r="L33" s="2640"/>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1939"/>
      <c r="AP33" s="1939"/>
      <c r="AQ33" s="1939"/>
      <c r="AR33" s="1939"/>
      <c r="AS33" s="1927"/>
      <c r="AT33" s="1927"/>
      <c r="AU33" s="1927"/>
      <c r="AV33" s="1927"/>
      <c r="AW33" s="1927"/>
      <c r="AX33" s="1927"/>
      <c r="AY33" s="1927"/>
      <c r="AZ33" s="1927"/>
      <c r="BA33" s="1927"/>
      <c r="BB33" s="1927"/>
      <c r="BC33" s="1927"/>
      <c r="BD33" s="1927"/>
      <c r="BE33" s="1927"/>
      <c r="BF33" s="1927"/>
      <c r="BG33" s="1927"/>
      <c r="BH33" s="1927"/>
      <c r="BI33" s="1927"/>
      <c r="BJ33" s="1927"/>
      <c r="BK33" s="1927"/>
      <c r="BL33" s="1927"/>
      <c r="BM33" s="1927"/>
      <c r="BN33" s="1927"/>
      <c r="BO33" s="1927"/>
    </row>
    <row r="34" spans="1:67" s="2508" customFormat="1" ht="14.25">
      <c r="A34" s="2570" t="s">
        <v>606</v>
      </c>
      <c r="B34" s="2584">
        <v>0.05</v>
      </c>
      <c r="C34" s="2583" t="s">
        <v>607</v>
      </c>
      <c r="D34" s="2585" t="s">
        <v>608</v>
      </c>
      <c r="E34" s="2549"/>
      <c r="F34" s="2552"/>
      <c r="G34" s="2552"/>
      <c r="H34" s="2552"/>
      <c r="I34" s="2552"/>
      <c r="J34" s="2552"/>
      <c r="K34" s="2640"/>
      <c r="L34" s="26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1939"/>
      <c r="AP34" s="1939"/>
      <c r="AQ34" s="1939"/>
      <c r="AR34" s="1939"/>
      <c r="AS34" s="1927"/>
      <c r="AT34" s="1927"/>
      <c r="AU34" s="1927"/>
      <c r="AV34" s="1927"/>
      <c r="AW34" s="1927"/>
      <c r="AX34" s="1927"/>
      <c r="AY34" s="1927"/>
      <c r="AZ34" s="1927"/>
      <c r="BA34" s="1927"/>
      <c r="BB34" s="1927"/>
      <c r="BC34" s="1927"/>
      <c r="BD34" s="1927"/>
      <c r="BE34" s="1927"/>
      <c r="BF34" s="1927"/>
      <c r="BG34" s="1927"/>
      <c r="BH34" s="1927"/>
      <c r="BI34" s="1927"/>
      <c r="BJ34" s="1927"/>
      <c r="BK34" s="1927"/>
      <c r="BL34" s="1927"/>
      <c r="BM34" s="1927"/>
      <c r="BN34" s="1927"/>
      <c r="BO34" s="1927"/>
    </row>
    <row r="35" spans="1:67" s="2508" customFormat="1" ht="14.25">
      <c r="A35" s="2570" t="s">
        <v>609</v>
      </c>
      <c r="B35" s="2571">
        <v>200</v>
      </c>
      <c r="C35" s="2583" t="s">
        <v>610</v>
      </c>
      <c r="D35" s="2569"/>
      <c r="E35" s="1308"/>
      <c r="F35" s="1308"/>
      <c r="G35" s="2552"/>
      <c r="H35" s="2552"/>
      <c r="I35" s="2552"/>
      <c r="J35" s="2552"/>
      <c r="K35" s="2640"/>
      <c r="L35" s="26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1939"/>
      <c r="AP35" s="1939"/>
      <c r="AQ35" s="1939"/>
      <c r="AR35" s="1939"/>
      <c r="AS35" s="1927"/>
      <c r="AT35" s="1927"/>
      <c r="AU35" s="1927"/>
      <c r="AV35" s="1927"/>
      <c r="AW35" s="1927"/>
      <c r="AX35" s="1927"/>
      <c r="AY35" s="1927"/>
      <c r="AZ35" s="1927"/>
      <c r="BA35" s="1927"/>
      <c r="BB35" s="1927"/>
      <c r="BC35" s="1927"/>
      <c r="BD35" s="1927"/>
      <c r="BE35" s="1927"/>
      <c r="BF35" s="1927"/>
      <c r="BG35" s="1927"/>
      <c r="BH35" s="1927"/>
      <c r="BI35" s="1927"/>
      <c r="BJ35" s="1927"/>
      <c r="BK35" s="1927"/>
      <c r="BL35" s="1927"/>
      <c r="BM35" s="1927"/>
      <c r="BN35" s="1927"/>
      <c r="BO35" s="1927"/>
    </row>
    <row r="36" spans="1:67" ht="14.25">
      <c r="A36" s="2573" t="s">
        <v>611</v>
      </c>
      <c r="B36" s="2586">
        <v>1.4999999999999999E-2</v>
      </c>
      <c r="C36" s="2583" t="s">
        <v>612</v>
      </c>
      <c r="D36" s="2553"/>
      <c r="E36" s="2552"/>
      <c r="F36" s="2552"/>
      <c r="G36" s="2552"/>
      <c r="H36" s="2552"/>
      <c r="I36" s="2552"/>
      <c r="J36" s="2552"/>
      <c r="K36" s="2640"/>
      <c r="L36" s="26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1939"/>
      <c r="AP36" s="1939"/>
      <c r="AQ36" s="1939"/>
      <c r="AR36" s="1939"/>
    </row>
    <row r="37" spans="1:67" ht="14.25">
      <c r="A37" s="2576" t="s">
        <v>613</v>
      </c>
      <c r="B37" s="2587">
        <v>0.02</v>
      </c>
      <c r="C37" s="2583" t="s">
        <v>614</v>
      </c>
      <c r="D37" s="2553"/>
      <c r="E37" s="2552"/>
      <c r="F37" s="2552"/>
      <c r="G37" s="2552"/>
      <c r="H37" s="2552"/>
      <c r="I37" s="2552"/>
      <c r="J37" s="2552"/>
      <c r="K37" s="2640"/>
      <c r="L37" s="26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1939"/>
      <c r="AP37" s="1939"/>
      <c r="AQ37" s="1939"/>
      <c r="AR37" s="1939"/>
    </row>
    <row r="38" spans="1:67" ht="14.25">
      <c r="A38" s="2570" t="s">
        <v>615</v>
      </c>
      <c r="B38" s="2588">
        <v>0.01</v>
      </c>
      <c r="C38" s="2583" t="s">
        <v>614</v>
      </c>
      <c r="D38" s="2553"/>
      <c r="E38" s="2552"/>
      <c r="F38" s="2552"/>
      <c r="G38" s="2552"/>
      <c r="H38" s="2552"/>
      <c r="I38" s="2552"/>
      <c r="J38" s="2552"/>
      <c r="K38" s="2640"/>
      <c r="L38" s="26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1939"/>
      <c r="AP38" s="1939"/>
      <c r="AQ38" s="1939"/>
      <c r="AR38" s="1939"/>
    </row>
    <row r="39" spans="1:67" ht="14.25">
      <c r="A39" s="2580" t="s">
        <v>616</v>
      </c>
      <c r="B39" s="2589">
        <f ca="1">存贷款利率!I1</f>
        <v>1.4999999999999999E-2</v>
      </c>
      <c r="C39" s="2590"/>
      <c r="D39" s="2553"/>
      <c r="E39" s="2552"/>
      <c r="F39" s="2552"/>
      <c r="G39" s="2552"/>
      <c r="H39" s="2552"/>
      <c r="I39" s="2552"/>
      <c r="J39" s="2552"/>
      <c r="K39" s="2640"/>
      <c r="L39" s="26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1939"/>
      <c r="AP39" s="1939"/>
      <c r="AQ39" s="1939"/>
      <c r="AR39" s="1939"/>
    </row>
    <row r="40" spans="1:67" ht="28.5">
      <c r="A40" s="2591" t="s">
        <v>617</v>
      </c>
      <c r="B40" s="2592">
        <f ca="1">IF(A40="利息：取LPR",存贷款利率!G1,存贷款利率!G1+C40)</f>
        <v>4.3499999999999997E-2</v>
      </c>
      <c r="C40" s="2593">
        <v>5.0000000000000001E-3</v>
      </c>
      <c r="D40" s="1939"/>
      <c r="E40" s="2553"/>
      <c r="F40" s="2552"/>
      <c r="G40" s="2552"/>
      <c r="H40" s="2552"/>
      <c r="I40" s="2552"/>
      <c r="J40" s="2552"/>
      <c r="K40" s="2640"/>
      <c r="L40" s="26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1939"/>
      <c r="AP40" s="1939"/>
      <c r="AQ40" s="1939"/>
      <c r="AR40" s="1939"/>
    </row>
    <row r="41" spans="1:67" ht="14.25">
      <c r="A41" s="2566" t="s">
        <v>618</v>
      </c>
      <c r="B41" s="2594">
        <f>B42+B43</f>
        <v>5.6000000000000001E-2</v>
      </c>
      <c r="C41" s="2579"/>
      <c r="D41" s="1939"/>
      <c r="E41" s="2553"/>
      <c r="F41" s="2552"/>
      <c r="G41" s="2552"/>
      <c r="H41" s="2552"/>
      <c r="I41" s="2552"/>
      <c r="J41" s="2552"/>
      <c r="K41" s="2640"/>
      <c r="L41" s="26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1939"/>
      <c r="AP41" s="1939"/>
      <c r="AQ41" s="1939"/>
      <c r="AR41" s="1939"/>
    </row>
    <row r="42" spans="1:67" ht="14.25">
      <c r="A42" s="2595" t="s">
        <v>619</v>
      </c>
      <c r="B42" s="2596">
        <v>0.05</v>
      </c>
      <c r="C42" s="2597">
        <f>IF(B2&lt;DATE(2016,5,1),0,B42)</f>
        <v>0.05</v>
      </c>
      <c r="D42" s="2553"/>
      <c r="E42" s="2552"/>
      <c r="F42" s="2552"/>
      <c r="G42" s="2552"/>
      <c r="H42" s="2552"/>
      <c r="I42" s="2552"/>
      <c r="J42" s="2552"/>
      <c r="K42" s="2640"/>
      <c r="L42" s="26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1939"/>
      <c r="AP42" s="1939"/>
      <c r="AQ42" s="1939"/>
      <c r="AR42" s="1939"/>
    </row>
    <row r="43" spans="1:67" ht="14.25">
      <c r="A43" s="2595" t="s">
        <v>620</v>
      </c>
      <c r="B43" s="2598">
        <f>B42*(B44+B45+B46)+B47</f>
        <v>6.0000000000000001E-3</v>
      </c>
      <c r="C43" s="2579"/>
      <c r="D43" s="2553"/>
      <c r="E43" s="2552"/>
      <c r="F43" s="2552"/>
      <c r="G43" s="2552"/>
      <c r="H43" s="2552"/>
      <c r="I43" s="2552"/>
      <c r="J43" s="2552"/>
      <c r="K43" s="2640"/>
      <c r="L43" s="26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1939"/>
      <c r="AP43" s="1939"/>
      <c r="AQ43" s="1939"/>
      <c r="AR43" s="1939"/>
    </row>
    <row r="44" spans="1:67" ht="14.25">
      <c r="A44" s="2599" t="s">
        <v>621</v>
      </c>
      <c r="B44" s="2600">
        <v>7.0000000000000007E-2</v>
      </c>
      <c r="C44" s="2583" t="s">
        <v>622</v>
      </c>
      <c r="D44" s="2553"/>
      <c r="E44" s="2552"/>
      <c r="F44" s="2552"/>
      <c r="G44" s="2552"/>
      <c r="H44" s="2552"/>
      <c r="I44" s="2552"/>
      <c r="J44" s="2552"/>
      <c r="K44" s="2640"/>
      <c r="L44" s="26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1939"/>
      <c r="AP44" s="1939"/>
      <c r="AQ44" s="1939"/>
      <c r="AR44" s="1939"/>
    </row>
    <row r="45" spans="1:67" ht="14.25">
      <c r="A45" s="2599" t="s">
        <v>623</v>
      </c>
      <c r="B45" s="2596">
        <v>0.03</v>
      </c>
      <c r="C45" s="2575" t="s">
        <v>624</v>
      </c>
      <c r="D45" s="2553"/>
      <c r="E45" s="2552"/>
      <c r="F45" s="2552"/>
      <c r="G45" s="2552"/>
      <c r="H45" s="2552"/>
      <c r="I45" s="2552"/>
      <c r="J45" s="2552"/>
      <c r="K45" s="2640"/>
      <c r="L45" s="26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1939"/>
      <c r="AP45" s="1939"/>
      <c r="AQ45" s="1939"/>
      <c r="AR45" s="1939"/>
    </row>
    <row r="46" spans="1:67" ht="14.25">
      <c r="A46" s="2599" t="s">
        <v>625</v>
      </c>
      <c r="B46" s="2596">
        <v>0.02</v>
      </c>
      <c r="C46" s="2575" t="s">
        <v>626</v>
      </c>
      <c r="D46" s="2553"/>
      <c r="E46" s="2552"/>
      <c r="F46" s="2552"/>
      <c r="G46" s="2552"/>
      <c r="H46" s="2552"/>
      <c r="I46" s="2552"/>
      <c r="J46" s="2552"/>
      <c r="K46" s="2640"/>
      <c r="L46" s="26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1939"/>
      <c r="AP46" s="1939"/>
      <c r="AQ46" s="1939"/>
      <c r="AR46" s="1939"/>
    </row>
    <row r="47" spans="1:67" ht="14.25">
      <c r="A47" s="2601" t="s">
        <v>627</v>
      </c>
      <c r="B47" s="2602"/>
      <c r="C47" s="2603" t="s">
        <v>628</v>
      </c>
      <c r="D47" s="2553"/>
      <c r="E47" s="2552"/>
      <c r="F47" s="2552"/>
      <c r="G47" s="2552"/>
      <c r="H47" s="2552"/>
      <c r="I47" s="2552"/>
      <c r="J47" s="2552"/>
      <c r="K47" s="2640"/>
      <c r="L47" s="26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1939"/>
      <c r="AP47" s="1939"/>
      <c r="AQ47" s="1939"/>
      <c r="AR47" s="1939"/>
    </row>
    <row r="48" spans="1:67" ht="14.25">
      <c r="A48" s="2604" t="s">
        <v>629</v>
      </c>
      <c r="B48" s="2605">
        <v>0</v>
      </c>
      <c r="C48" s="2575" t="s">
        <v>624</v>
      </c>
      <c r="D48" s="2553"/>
      <c r="E48" s="2552"/>
      <c r="F48" s="2552"/>
      <c r="G48" s="2552"/>
      <c r="H48" s="2552"/>
      <c r="I48" s="2552"/>
      <c r="J48" s="2552"/>
      <c r="K48" s="2640"/>
      <c r="L48" s="26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1939"/>
      <c r="AP48" s="1939"/>
      <c r="AQ48" s="1939"/>
      <c r="AR48" s="1939"/>
    </row>
    <row r="49" spans="1:44" ht="14.25">
      <c r="A49" s="2580" t="s">
        <v>630</v>
      </c>
      <c r="B49" s="2596">
        <v>0</v>
      </c>
      <c r="C49" s="2575" t="s">
        <v>631</v>
      </c>
      <c r="D49" s="2553"/>
      <c r="E49" s="2552"/>
      <c r="F49" s="2552"/>
      <c r="G49" s="2552"/>
      <c r="H49" s="2552"/>
      <c r="I49" s="2552"/>
      <c r="J49" s="2552"/>
      <c r="K49" s="2640"/>
      <c r="L49" s="26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1939"/>
      <c r="AP49" s="1939"/>
      <c r="AQ49" s="1939"/>
      <c r="AR49" s="1939"/>
    </row>
    <row r="50" spans="1:44" ht="14.25">
      <c r="A50" s="2606" t="s">
        <v>632</v>
      </c>
      <c r="B50" s="2607">
        <v>1.2E-2</v>
      </c>
      <c r="C50" s="1308"/>
      <c r="D50" s="2553"/>
      <c r="E50" s="2552"/>
      <c r="F50" s="2552"/>
      <c r="G50" s="2552"/>
      <c r="H50" s="2552"/>
      <c r="I50" s="2552"/>
      <c r="J50" s="2552"/>
      <c r="K50" s="2640"/>
      <c r="L50" s="26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39"/>
      <c r="AP50" s="1939"/>
      <c r="AQ50" s="1939"/>
      <c r="AR50" s="1939"/>
    </row>
    <row r="51" spans="1:44" ht="14.25">
      <c r="A51" s="2573" t="s">
        <v>633</v>
      </c>
      <c r="B51" s="2608">
        <v>0.12</v>
      </c>
      <c r="C51" s="1308"/>
      <c r="D51" s="2553"/>
      <c r="E51" s="2552"/>
      <c r="F51" s="2552"/>
      <c r="G51" s="2552"/>
      <c r="H51" s="2552"/>
      <c r="I51" s="2552"/>
      <c r="J51" s="2552"/>
      <c r="K51" s="2640"/>
      <c r="L51" s="26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1939"/>
      <c r="AP51" s="1939"/>
      <c r="AQ51" s="1939"/>
      <c r="AR51" s="1939"/>
    </row>
    <row r="52" spans="1:44" ht="14.25">
      <c r="A52" s="2606" t="s">
        <v>634</v>
      </c>
      <c r="B52" s="2609">
        <f>SUMIF(A54:A63,B53,B54:B63)</f>
        <v>1.5</v>
      </c>
      <c r="C52" s="1308"/>
      <c r="D52" s="2553"/>
      <c r="E52" s="2552"/>
      <c r="F52" s="2552"/>
      <c r="G52" s="2552"/>
      <c r="H52" s="2552"/>
      <c r="I52" s="2552"/>
      <c r="J52" s="2552"/>
      <c r="K52" s="2640"/>
      <c r="L52" s="26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1939"/>
      <c r="AP52" s="1939"/>
      <c r="AQ52" s="1939"/>
      <c r="AR52" s="1939"/>
    </row>
    <row r="53" spans="1:44" ht="27">
      <c r="A53" s="2570" t="s">
        <v>635</v>
      </c>
      <c r="B53" s="2610" t="s">
        <v>275</v>
      </c>
      <c r="C53" s="1308" t="s">
        <v>636</v>
      </c>
      <c r="D53" s="2611" t="s">
        <v>637</v>
      </c>
      <c r="E53" s="2552"/>
      <c r="F53" s="2552"/>
      <c r="G53" s="2552"/>
      <c r="H53" s="2552"/>
      <c r="I53" s="2552"/>
      <c r="J53" s="2552"/>
      <c r="K53" s="2640"/>
      <c r="L53" s="26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1939"/>
      <c r="AP53" s="1939"/>
      <c r="AQ53" s="1939"/>
      <c r="AR53" s="1939"/>
    </row>
    <row r="54" spans="1:44" ht="14.25">
      <c r="A54" s="2612" t="s">
        <v>638</v>
      </c>
      <c r="B54" s="2613"/>
      <c r="C54" s="1308">
        <v>30</v>
      </c>
      <c r="D54" s="2553"/>
      <c r="E54" s="2552"/>
      <c r="F54" s="2552"/>
      <c r="G54" s="2552"/>
      <c r="H54" s="2552"/>
      <c r="I54" s="2552"/>
      <c r="J54" s="2552"/>
      <c r="K54" s="2640"/>
      <c r="L54" s="26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1939"/>
      <c r="AP54" s="1939"/>
      <c r="AQ54" s="1939"/>
      <c r="AR54" s="1939"/>
    </row>
    <row r="55" spans="1:44" ht="14.25">
      <c r="A55" s="2612" t="s">
        <v>639</v>
      </c>
      <c r="B55" s="2613"/>
      <c r="C55" s="1308">
        <v>24</v>
      </c>
      <c r="D55" s="2553"/>
      <c r="E55" s="2552"/>
      <c r="F55" s="2552"/>
      <c r="G55" s="2552"/>
      <c r="H55" s="2552"/>
      <c r="I55" s="2641"/>
      <c r="J55" s="2552"/>
      <c r="K55" s="2640"/>
      <c r="L55" s="26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1939"/>
      <c r="AP55" s="1939"/>
      <c r="AQ55" s="1939"/>
      <c r="AR55" s="1939"/>
    </row>
    <row r="56" spans="1:44" ht="14.25">
      <c r="A56" s="2612" t="s">
        <v>640</v>
      </c>
      <c r="B56" s="2613"/>
      <c r="C56" s="1308">
        <v>18</v>
      </c>
      <c r="D56" s="2553"/>
      <c r="E56" s="2552"/>
      <c r="F56" s="2552"/>
      <c r="G56" s="2552"/>
      <c r="H56" s="2552"/>
      <c r="I56" s="2552"/>
      <c r="J56" s="2552"/>
      <c r="K56" s="2640"/>
      <c r="L56" s="26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1939"/>
      <c r="AP56" s="1939"/>
      <c r="AQ56" s="1939"/>
      <c r="AR56" s="1939"/>
    </row>
    <row r="57" spans="1:44" ht="14.25">
      <c r="A57" s="2612" t="s">
        <v>641</v>
      </c>
      <c r="B57" s="2613"/>
      <c r="C57" s="1308">
        <v>12</v>
      </c>
      <c r="D57" s="2553"/>
      <c r="E57" s="2552"/>
      <c r="F57" s="2552"/>
      <c r="G57" s="2552"/>
      <c r="H57" s="2552"/>
      <c r="I57" s="2552"/>
      <c r="J57" s="2552"/>
      <c r="K57" s="2640"/>
      <c r="L57" s="26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row>
    <row r="58" spans="1:44" ht="14.25">
      <c r="A58" s="2612" t="s">
        <v>642</v>
      </c>
      <c r="B58" s="2613"/>
      <c r="C58" s="1308">
        <v>3</v>
      </c>
      <c r="D58" s="2553"/>
      <c r="E58" s="2552"/>
      <c r="F58" s="2552"/>
      <c r="G58" s="2552"/>
      <c r="H58" s="2552"/>
      <c r="I58" s="2552"/>
      <c r="J58" s="2552"/>
      <c r="K58" s="2640"/>
      <c r="L58" s="26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1939"/>
      <c r="AP58" s="1939"/>
      <c r="AQ58" s="1939"/>
      <c r="AR58" s="1939"/>
    </row>
    <row r="59" spans="1:44" ht="14.25">
      <c r="A59" s="2612" t="s">
        <v>643</v>
      </c>
      <c r="B59" s="2613">
        <v>1.5</v>
      </c>
      <c r="C59" s="1308">
        <v>1.5</v>
      </c>
      <c r="D59" s="2553"/>
      <c r="E59" s="2552"/>
      <c r="F59" s="2552"/>
      <c r="G59" s="2552"/>
      <c r="H59" s="2552"/>
      <c r="I59" s="2552"/>
      <c r="J59" s="2552"/>
      <c r="K59" s="2640"/>
      <c r="L59" s="26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row>
    <row r="60" spans="1:44" ht="14.25">
      <c r="A60" s="2612" t="s">
        <v>644</v>
      </c>
      <c r="B60" s="2613"/>
      <c r="C60" s="2552"/>
      <c r="D60" s="2553"/>
      <c r="E60" s="2552"/>
      <c r="F60" s="2552"/>
      <c r="G60" s="2552"/>
      <c r="H60" s="2552"/>
      <c r="I60" s="2552"/>
      <c r="J60" s="2552"/>
      <c r="K60" s="2640"/>
      <c r="L60" s="26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1939"/>
      <c r="AP60" s="1939"/>
      <c r="AQ60" s="1939"/>
      <c r="AR60" s="1939"/>
    </row>
    <row r="61" spans="1:44" ht="14.25">
      <c r="A61" s="2612" t="s">
        <v>645</v>
      </c>
      <c r="B61" s="2613"/>
      <c r="C61" s="2552"/>
      <c r="D61" s="2553"/>
      <c r="E61" s="2552"/>
      <c r="F61" s="2552"/>
      <c r="G61" s="2552"/>
      <c r="H61" s="2552"/>
      <c r="I61" s="2552"/>
      <c r="J61" s="2552"/>
      <c r="K61" s="2640"/>
      <c r="L61" s="26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1939"/>
      <c r="AP61" s="1939"/>
      <c r="AQ61" s="1939"/>
      <c r="AR61" s="1939"/>
    </row>
    <row r="62" spans="1:44" ht="14.25">
      <c r="A62" s="2612" t="s">
        <v>646</v>
      </c>
      <c r="B62" s="2613"/>
      <c r="C62" s="2552"/>
      <c r="D62" s="2553"/>
      <c r="E62" s="2552"/>
      <c r="F62" s="2552"/>
      <c r="G62" s="2552"/>
      <c r="H62" s="2552"/>
      <c r="I62" s="2552"/>
      <c r="J62" s="2552"/>
      <c r="K62" s="2640"/>
      <c r="L62" s="26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1939"/>
      <c r="AP62" s="1939"/>
      <c r="AQ62" s="1939"/>
      <c r="AR62" s="1939"/>
    </row>
    <row r="63" spans="1:44" ht="14.25">
      <c r="A63" s="2614" t="s">
        <v>647</v>
      </c>
      <c r="B63" s="2615"/>
      <c r="C63" s="2552"/>
      <c r="D63" s="2553"/>
      <c r="E63" s="2552"/>
      <c r="F63" s="2552"/>
      <c r="G63" s="2552"/>
      <c r="H63" s="2552"/>
      <c r="I63" s="2552"/>
      <c r="J63" s="2552"/>
      <c r="K63" s="2640"/>
      <c r="L63" s="26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1939"/>
      <c r="AP63" s="1939"/>
      <c r="AQ63" s="1939"/>
      <c r="AR63" s="1939"/>
    </row>
    <row r="64" spans="1:44" s="2012" customFormat="1">
      <c r="A64" s="2616"/>
      <c r="B64" s="1939"/>
      <c r="C64" s="1939"/>
      <c r="D64" s="2550"/>
      <c r="E64" s="1939"/>
      <c r="F64" s="1939"/>
      <c r="G64" s="1939"/>
      <c r="H64" s="1939"/>
      <c r="I64" s="1939"/>
      <c r="J64" s="1939"/>
      <c r="K64" s="2640"/>
      <c r="L64" s="26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1939"/>
      <c r="AP64" s="1939"/>
      <c r="AQ64" s="1939"/>
      <c r="AR64" s="1939"/>
    </row>
    <row r="65" spans="1:44" s="2012" customFormat="1">
      <c r="A65" s="2616"/>
      <c r="B65" s="1939"/>
      <c r="C65" s="1939"/>
      <c r="D65" s="2550"/>
      <c r="E65" s="1939"/>
      <c r="F65" s="1939"/>
      <c r="G65" s="1939"/>
      <c r="H65" s="1939"/>
      <c r="I65" s="1939"/>
      <c r="J65" s="1939"/>
      <c r="K65" s="2640"/>
      <c r="L65" s="26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1939"/>
      <c r="AP65" s="1939"/>
      <c r="AQ65" s="1939"/>
      <c r="AR65" s="1939"/>
    </row>
    <row r="66" spans="1:44" s="2012" customFormat="1">
      <c r="A66" s="2616"/>
      <c r="B66" s="1939"/>
      <c r="C66" s="1939"/>
      <c r="D66" s="2550"/>
      <c r="E66" s="1939"/>
      <c r="F66" s="1939"/>
      <c r="G66" s="1939"/>
      <c r="H66" s="1939"/>
      <c r="I66" s="1939"/>
      <c r="J66" s="1939"/>
      <c r="K66" s="2640"/>
      <c r="L66" s="26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1939"/>
      <c r="AP66" s="1939"/>
      <c r="AQ66" s="1939"/>
      <c r="AR66" s="1939"/>
    </row>
    <row r="67" spans="1:44" s="2012" customFormat="1">
      <c r="A67" s="2616"/>
      <c r="B67" s="1939"/>
      <c r="C67" s="1939"/>
      <c r="D67" s="2550"/>
      <c r="E67" s="1939"/>
      <c r="F67" s="1939"/>
      <c r="G67" s="1939"/>
      <c r="H67" s="1939"/>
      <c r="I67" s="1939"/>
      <c r="J67" s="1939"/>
      <c r="K67" s="2640"/>
      <c r="L67" s="26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1939"/>
      <c r="AP67" s="1939"/>
      <c r="AQ67" s="1939"/>
      <c r="AR67" s="1939"/>
    </row>
    <row r="68" spans="1:44" s="2012" customFormat="1">
      <c r="A68" s="2616"/>
      <c r="B68" s="1939"/>
      <c r="C68" s="1939"/>
      <c r="D68" s="2550"/>
      <c r="E68" s="1939"/>
      <c r="F68" s="1939"/>
      <c r="G68" s="1939"/>
      <c r="H68" s="1939"/>
      <c r="I68" s="1939"/>
      <c r="J68" s="1939"/>
      <c r="K68" s="2640"/>
      <c r="L68" s="26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1939"/>
      <c r="AP68" s="1939"/>
      <c r="AQ68" s="1939"/>
      <c r="AR68" s="1939"/>
    </row>
    <row r="69" spans="1:44" s="2012" customFormat="1">
      <c r="A69" s="2416"/>
      <c r="D69" s="2706"/>
      <c r="K69" s="423"/>
      <c r="L69" s="423"/>
    </row>
    <row r="70" spans="1:44" s="2012" customFormat="1">
      <c r="A70" s="2416"/>
      <c r="D70" s="2706"/>
      <c r="K70" s="423"/>
      <c r="L70" s="423"/>
    </row>
    <row r="71" spans="1:44" s="2012" customFormat="1">
      <c r="A71" s="2416"/>
      <c r="D71" s="2706"/>
      <c r="K71" s="423"/>
      <c r="L71" s="423"/>
    </row>
    <row r="72" spans="1:44" s="2012" customFormat="1">
      <c r="A72" s="2416"/>
      <c r="D72" s="2706"/>
      <c r="K72" s="423"/>
      <c r="L72" s="423"/>
    </row>
    <row r="73" spans="1:44" s="2012" customFormat="1">
      <c r="A73" s="2416"/>
      <c r="D73" s="2706"/>
      <c r="K73" s="423"/>
      <c r="L73" s="423"/>
    </row>
    <row r="74" spans="1:44" s="2012" customFormat="1">
      <c r="A74" s="2416"/>
      <c r="D74" s="2706"/>
      <c r="K74" s="423"/>
      <c r="L74" s="423"/>
    </row>
    <row r="75" spans="1:44" s="2012" customFormat="1">
      <c r="A75" s="2416"/>
      <c r="D75" s="2706"/>
      <c r="K75" s="423"/>
      <c r="L75" s="423"/>
    </row>
    <row r="76" spans="1:44" s="2012" customFormat="1">
      <c r="A76" s="2416"/>
      <c r="D76" s="2706"/>
      <c r="K76" s="423"/>
      <c r="L76" s="423"/>
    </row>
    <row r="77" spans="1:44" s="2012" customFormat="1">
      <c r="A77" s="2416"/>
      <c r="D77" s="2706"/>
      <c r="K77" s="423"/>
      <c r="L77" s="423"/>
    </row>
    <row r="78" spans="1:44" s="2012" customFormat="1">
      <c r="A78" s="2416"/>
      <c r="D78" s="2706"/>
      <c r="K78" s="423"/>
      <c r="L78" s="423"/>
    </row>
    <row r="79" spans="1:44" s="2012" customFormat="1">
      <c r="A79" s="2416"/>
      <c r="D79" s="2706"/>
      <c r="K79" s="423"/>
      <c r="L79" s="423"/>
    </row>
    <row r="80" spans="1:44" s="2012" customFormat="1">
      <c r="A80" s="2416"/>
      <c r="D80" s="2706"/>
      <c r="K80" s="423"/>
      <c r="L80" s="423"/>
    </row>
    <row r="81" spans="1:12" s="2012" customFormat="1">
      <c r="A81" s="2416"/>
      <c r="D81" s="2706"/>
      <c r="K81" s="423"/>
      <c r="L81" s="423"/>
    </row>
    <row r="82" spans="1:12" s="2012" customFormat="1">
      <c r="A82" s="2416"/>
      <c r="D82" s="2706"/>
      <c r="K82" s="423"/>
      <c r="L82" s="423"/>
    </row>
    <row r="83" spans="1:12" s="2012" customFormat="1">
      <c r="A83" s="2416"/>
      <c r="D83" s="2706"/>
      <c r="K83" s="423"/>
      <c r="L83" s="423"/>
    </row>
    <row r="84" spans="1:12" s="2012" customFormat="1">
      <c r="A84" s="2416"/>
      <c r="D84" s="2706"/>
      <c r="K84" s="423"/>
      <c r="L84" s="423"/>
    </row>
    <row r="85" spans="1:12" s="2012" customFormat="1">
      <c r="A85" s="2416"/>
      <c r="D85" s="2706"/>
      <c r="K85" s="423"/>
      <c r="L85" s="423"/>
    </row>
    <row r="86" spans="1:12" s="2012" customFormat="1">
      <c r="A86" s="2416"/>
      <c r="D86" s="2706"/>
      <c r="K86" s="423"/>
      <c r="L86" s="423"/>
    </row>
    <row r="87" spans="1:12" s="2012" customFormat="1">
      <c r="A87" s="2416"/>
      <c r="D87" s="2706"/>
      <c r="K87" s="423"/>
      <c r="L87" s="423"/>
    </row>
    <row r="88" spans="1:12" s="2012" customFormat="1">
      <c r="A88" s="2416"/>
      <c r="D88" s="2706"/>
      <c r="K88" s="423"/>
      <c r="L88" s="423"/>
    </row>
    <row r="89" spans="1:12" s="2012" customFormat="1">
      <c r="A89" s="2416"/>
      <c r="D89" s="2706"/>
      <c r="K89" s="423"/>
      <c r="L89" s="423"/>
    </row>
    <row r="90" spans="1:12" s="2012" customFormat="1">
      <c r="A90" s="2416"/>
      <c r="D90" s="2706"/>
      <c r="K90" s="423"/>
      <c r="L90" s="423"/>
    </row>
    <row r="91" spans="1:12" s="2012" customFormat="1">
      <c r="A91" s="2416"/>
      <c r="D91" s="2706"/>
      <c r="K91" s="423"/>
      <c r="L91" s="423"/>
    </row>
    <row r="92" spans="1:12" s="2012" customFormat="1">
      <c r="A92" s="2416"/>
      <c r="D92" s="2706"/>
      <c r="K92" s="423"/>
      <c r="L92" s="423"/>
    </row>
    <row r="93" spans="1:12" s="2012" customFormat="1">
      <c r="A93" s="2416"/>
      <c r="D93" s="2706"/>
      <c r="K93" s="423"/>
      <c r="L93" s="423"/>
    </row>
    <row r="94" spans="1:12" s="2012" customFormat="1">
      <c r="A94" s="2416"/>
      <c r="D94" s="2706"/>
      <c r="K94" s="423"/>
      <c r="L94" s="423"/>
    </row>
    <row r="95" spans="1:12" s="2012" customFormat="1">
      <c r="A95" s="2416"/>
      <c r="D95" s="2706"/>
      <c r="K95" s="423"/>
      <c r="L95" s="423"/>
    </row>
    <row r="96" spans="1:12" s="2012" customFormat="1">
      <c r="A96" s="2416"/>
      <c r="D96" s="2706"/>
      <c r="K96" s="423"/>
      <c r="L96" s="423"/>
    </row>
    <row r="97" spans="1:12" s="2012" customFormat="1">
      <c r="A97" s="2416"/>
      <c r="D97" s="2706"/>
      <c r="K97" s="423"/>
      <c r="L97" s="423"/>
    </row>
    <row r="98" spans="1:12" s="2012" customFormat="1">
      <c r="A98" s="2416"/>
      <c r="D98" s="2706"/>
      <c r="K98" s="423"/>
      <c r="L98" s="423"/>
    </row>
    <row r="99" spans="1:12" s="2012" customFormat="1">
      <c r="A99" s="2416"/>
      <c r="D99" s="2706"/>
      <c r="K99" s="423"/>
      <c r="L99" s="423"/>
    </row>
    <row r="100" spans="1:12" s="2012" customFormat="1">
      <c r="A100" s="2416"/>
      <c r="D100" s="2706"/>
      <c r="K100" s="423"/>
      <c r="L100" s="423"/>
    </row>
    <row r="101" spans="1:12" s="2012" customFormat="1">
      <c r="A101" s="2416"/>
      <c r="D101" s="2706"/>
      <c r="K101" s="423"/>
      <c r="L101" s="423"/>
    </row>
    <row r="102" spans="1:12" s="2012" customFormat="1">
      <c r="A102" s="2416"/>
      <c r="D102" s="2706"/>
      <c r="K102" s="423"/>
      <c r="L102" s="423"/>
    </row>
    <row r="103" spans="1:12" s="2012" customFormat="1">
      <c r="A103" s="2416"/>
      <c r="D103" s="2706"/>
      <c r="K103" s="423"/>
      <c r="L103" s="423"/>
    </row>
    <row r="104" spans="1:12" s="2012" customFormat="1">
      <c r="A104" s="2416"/>
      <c r="D104" s="2706"/>
      <c r="K104" s="423"/>
      <c r="L104" s="423"/>
    </row>
    <row r="105" spans="1:12" s="2012" customFormat="1">
      <c r="A105" s="2416"/>
      <c r="D105" s="2706"/>
      <c r="K105" s="423"/>
      <c r="L105" s="423"/>
    </row>
    <row r="106" spans="1:12" s="2012" customFormat="1">
      <c r="A106" s="2416"/>
      <c r="D106" s="2706"/>
      <c r="K106" s="423"/>
      <c r="L106" s="423"/>
    </row>
    <row r="107" spans="1:12" s="2012" customFormat="1">
      <c r="A107" s="2416"/>
      <c r="D107" s="2706"/>
      <c r="K107" s="423"/>
      <c r="L107" s="423"/>
    </row>
    <row r="108" spans="1:12" s="2012" customFormat="1">
      <c r="A108" s="2416"/>
      <c r="D108" s="2706"/>
      <c r="K108" s="423"/>
      <c r="L108" s="423"/>
    </row>
    <row r="109" spans="1:12" s="2012" customFormat="1">
      <c r="A109" s="2416"/>
      <c r="D109" s="2706"/>
      <c r="K109" s="423"/>
      <c r="L109" s="423"/>
    </row>
    <row r="110" spans="1:12" s="2012" customFormat="1">
      <c r="A110" s="2416"/>
      <c r="D110" s="2706"/>
      <c r="K110" s="423"/>
      <c r="L110" s="423"/>
    </row>
    <row r="111" spans="1:12" s="2012" customFormat="1">
      <c r="A111" s="2416"/>
      <c r="D111" s="2706"/>
      <c r="K111" s="423"/>
      <c r="L111" s="423"/>
    </row>
    <row r="112" spans="1:12" s="2012" customFormat="1">
      <c r="A112" s="2416"/>
      <c r="D112" s="2706"/>
      <c r="K112" s="423"/>
      <c r="L112" s="423"/>
    </row>
    <row r="113" spans="1:12" s="2012" customFormat="1">
      <c r="A113" s="2416"/>
      <c r="D113" s="2706"/>
      <c r="K113" s="423"/>
      <c r="L113" s="423"/>
    </row>
    <row r="114" spans="1:12" s="2012" customFormat="1">
      <c r="A114" s="2416"/>
      <c r="D114" s="2706"/>
      <c r="K114" s="423"/>
      <c r="L114" s="423"/>
    </row>
    <row r="115" spans="1:12" s="2012" customFormat="1">
      <c r="A115" s="2416"/>
      <c r="D115" s="2706"/>
      <c r="K115" s="423"/>
      <c r="L115" s="423"/>
    </row>
    <row r="116" spans="1:12" s="2012" customFormat="1">
      <c r="A116" s="2416"/>
      <c r="D116" s="2706"/>
      <c r="K116" s="423"/>
      <c r="L116" s="423"/>
    </row>
    <row r="117" spans="1:12" s="2012" customFormat="1">
      <c r="A117" s="2416"/>
      <c r="D117" s="2706"/>
      <c r="K117" s="423"/>
      <c r="L117" s="423"/>
    </row>
    <row r="118" spans="1:12" s="2012" customFormat="1">
      <c r="A118" s="2416"/>
      <c r="D118" s="2706"/>
      <c r="K118" s="423"/>
      <c r="L118" s="423"/>
    </row>
    <row r="119" spans="1:12" s="2012" customFormat="1">
      <c r="A119" s="2416"/>
      <c r="D119" s="2706"/>
      <c r="K119" s="423"/>
      <c r="L119" s="423"/>
    </row>
    <row r="120" spans="1:12" s="2012" customFormat="1">
      <c r="A120" s="2416"/>
      <c r="D120" s="2706"/>
      <c r="K120" s="423"/>
      <c r="L120" s="423"/>
    </row>
    <row r="121" spans="1:12" s="2012" customFormat="1">
      <c r="A121" s="2416"/>
      <c r="D121" s="2706"/>
      <c r="K121" s="423"/>
      <c r="L121" s="423"/>
    </row>
    <row r="122" spans="1:12" s="2012" customFormat="1">
      <c r="A122" s="2416"/>
      <c r="D122" s="2706"/>
      <c r="K122" s="423"/>
      <c r="L122" s="423"/>
    </row>
    <row r="123" spans="1:12" s="2012" customFormat="1">
      <c r="A123" s="2416"/>
      <c r="D123" s="2706"/>
      <c r="K123" s="423"/>
      <c r="L123" s="423"/>
    </row>
    <row r="124" spans="1:12" s="2012" customFormat="1">
      <c r="A124" s="2416"/>
      <c r="D124" s="2706"/>
      <c r="K124" s="423"/>
      <c r="L124" s="423"/>
    </row>
    <row r="125" spans="1:12" s="2012" customFormat="1">
      <c r="A125" s="2416"/>
      <c r="D125" s="2706"/>
      <c r="K125" s="423"/>
      <c r="L125" s="423"/>
    </row>
    <row r="126" spans="1:12" s="2012" customFormat="1">
      <c r="A126" s="2416"/>
      <c r="D126" s="2706"/>
      <c r="K126" s="423"/>
      <c r="L126" s="423"/>
    </row>
    <row r="127" spans="1:12" s="2012" customFormat="1">
      <c r="A127" s="2416"/>
      <c r="D127" s="2706"/>
      <c r="K127" s="423"/>
      <c r="L127" s="423"/>
    </row>
    <row r="128" spans="1:12" s="2012" customFormat="1">
      <c r="A128" s="2416"/>
      <c r="D128" s="2706"/>
      <c r="K128" s="423"/>
      <c r="L128" s="423"/>
    </row>
    <row r="129" spans="1:12" s="2012" customFormat="1">
      <c r="A129" s="2416"/>
      <c r="D129" s="2706"/>
      <c r="K129" s="423"/>
      <c r="L129" s="423"/>
    </row>
    <row r="130" spans="1:12" s="2012" customFormat="1">
      <c r="A130" s="2416"/>
      <c r="D130" s="2706"/>
      <c r="K130" s="423"/>
      <c r="L130" s="423"/>
    </row>
    <row r="131" spans="1:12" s="2012" customFormat="1">
      <c r="A131" s="2416"/>
      <c r="D131" s="2706"/>
      <c r="K131" s="423"/>
      <c r="L131" s="423"/>
    </row>
    <row r="132" spans="1:12" s="2012" customFormat="1">
      <c r="A132" s="2416"/>
      <c r="D132" s="2706"/>
      <c r="K132" s="423"/>
      <c r="L132" s="423"/>
    </row>
    <row r="133" spans="1:12" s="2012" customFormat="1">
      <c r="A133" s="2416"/>
      <c r="D133" s="2706"/>
      <c r="K133" s="423"/>
      <c r="L133" s="423"/>
    </row>
    <row r="134" spans="1:12" s="2509" customFormat="1">
      <c r="A134" s="2707"/>
      <c r="D134" s="2708"/>
      <c r="K134" s="325"/>
      <c r="L134" s="325"/>
    </row>
    <row r="135" spans="1:12" s="2509" customFormat="1">
      <c r="A135" s="2707"/>
      <c r="D135" s="2708"/>
      <c r="K135" s="325"/>
      <c r="L135" s="325"/>
    </row>
    <row r="136" spans="1:12" s="2509" customFormat="1">
      <c r="A136" s="2707"/>
      <c r="D136" s="2708"/>
      <c r="K136" s="325"/>
      <c r="L136" s="325"/>
    </row>
    <row r="137" spans="1:12" s="2509" customFormat="1">
      <c r="A137" s="2707"/>
      <c r="D137" s="2708"/>
      <c r="K137" s="325"/>
      <c r="L137" s="325"/>
    </row>
    <row r="138" spans="1:12" s="2509" customFormat="1">
      <c r="A138" s="2707"/>
      <c r="D138" s="2708"/>
      <c r="K138" s="325"/>
      <c r="L138" s="325"/>
    </row>
    <row r="139" spans="1:12" s="2509" customFormat="1">
      <c r="A139" s="2707"/>
      <c r="D139" s="2708"/>
      <c r="K139" s="325"/>
      <c r="L139" s="325"/>
    </row>
    <row r="140" spans="1:12" s="2509" customFormat="1">
      <c r="A140" s="2707"/>
      <c r="D140" s="2708"/>
      <c r="K140" s="325"/>
      <c r="L140" s="325"/>
    </row>
    <row r="141" spans="1:12" s="2509" customFormat="1">
      <c r="A141" s="2707"/>
      <c r="D141" s="2708"/>
      <c r="K141" s="325"/>
      <c r="L141" s="325"/>
    </row>
    <row r="142" spans="1:12" s="2509" customFormat="1">
      <c r="A142" s="2707"/>
      <c r="D142" s="2708"/>
      <c r="K142" s="325"/>
      <c r="L142" s="325"/>
    </row>
    <row r="143" spans="1:12" s="2509" customFormat="1">
      <c r="A143" s="2707"/>
      <c r="D143" s="2708"/>
      <c r="K143" s="325"/>
      <c r="L143" s="325"/>
    </row>
    <row r="144" spans="1:12" s="2509" customFormat="1">
      <c r="A144" s="2707"/>
      <c r="D144" s="2708"/>
      <c r="K144" s="325"/>
      <c r="L144" s="325"/>
    </row>
    <row r="145" spans="1:12" s="2509" customFormat="1">
      <c r="A145" s="2707"/>
      <c r="D145" s="2708"/>
      <c r="K145" s="325"/>
      <c r="L145" s="325"/>
    </row>
    <row r="146" spans="1:12" s="2509" customFormat="1">
      <c r="A146" s="2707"/>
      <c r="D146" s="2708"/>
      <c r="K146" s="325"/>
      <c r="L146" s="325"/>
    </row>
    <row r="147" spans="1:12" s="2509" customFormat="1">
      <c r="A147" s="2707"/>
      <c r="D147" s="2708"/>
      <c r="K147" s="325"/>
      <c r="L147" s="325"/>
    </row>
    <row r="148" spans="1:12" s="2509" customFormat="1">
      <c r="A148" s="2707"/>
      <c r="D148" s="2708"/>
      <c r="K148" s="325"/>
      <c r="L148" s="325"/>
    </row>
    <row r="149" spans="1:12" s="2509" customFormat="1">
      <c r="A149" s="2707"/>
      <c r="D149" s="2708"/>
      <c r="K149" s="325"/>
      <c r="L149" s="325"/>
    </row>
    <row r="150" spans="1:12" s="2509" customFormat="1">
      <c r="A150" s="2707"/>
      <c r="D150" s="2708"/>
      <c r="K150" s="325"/>
      <c r="L150" s="325"/>
    </row>
    <row r="151" spans="1:12" s="2509" customFormat="1">
      <c r="A151" s="2707"/>
      <c r="D151" s="2708"/>
      <c r="K151" s="325"/>
      <c r="L151" s="325"/>
    </row>
    <row r="152" spans="1:12" s="2509" customFormat="1">
      <c r="A152" s="2707"/>
      <c r="D152" s="2708"/>
      <c r="K152" s="325"/>
      <c r="L152" s="325"/>
    </row>
    <row r="153" spans="1:12" s="2509" customFormat="1">
      <c r="A153" s="2707"/>
      <c r="D153" s="2708"/>
      <c r="K153" s="325"/>
      <c r="L153" s="325"/>
    </row>
    <row r="154" spans="1:12" s="2509" customFormat="1">
      <c r="A154" s="2707"/>
      <c r="D154" s="2708"/>
      <c r="K154" s="325"/>
      <c r="L154" s="325"/>
    </row>
    <row r="155" spans="1:12" s="2509" customFormat="1">
      <c r="A155" s="2707"/>
      <c r="D155" s="2708"/>
      <c r="K155" s="325"/>
      <c r="L155" s="325"/>
    </row>
    <row r="156" spans="1:12" s="2509" customFormat="1">
      <c r="A156" s="2707"/>
      <c r="D156" s="2708"/>
      <c r="K156" s="325"/>
      <c r="L156" s="325"/>
    </row>
    <row r="157" spans="1:12" s="2509" customFormat="1">
      <c r="A157" s="2707"/>
      <c r="D157" s="2708"/>
      <c r="K157" s="325"/>
      <c r="L157" s="325"/>
    </row>
    <row r="158" spans="1:12" s="2509" customFormat="1">
      <c r="A158" s="2707"/>
      <c r="D158" s="2708"/>
      <c r="K158" s="325"/>
      <c r="L158" s="325"/>
    </row>
    <row r="159" spans="1:12" s="2509" customFormat="1">
      <c r="A159" s="2707"/>
      <c r="D159" s="2708"/>
      <c r="K159" s="325"/>
      <c r="L159" s="325"/>
    </row>
    <row r="160" spans="1:12" s="2509" customFormat="1">
      <c r="A160" s="2707"/>
      <c r="D160" s="2708"/>
      <c r="K160" s="325"/>
      <c r="L160" s="325"/>
    </row>
    <row r="161" spans="1:12" s="2509" customFormat="1">
      <c r="A161" s="2707"/>
      <c r="D161" s="2708"/>
      <c r="K161" s="325"/>
      <c r="L161" s="325"/>
    </row>
    <row r="162" spans="1:12" s="2509" customFormat="1">
      <c r="A162" s="2707"/>
      <c r="D162" s="2708"/>
      <c r="K162" s="325"/>
      <c r="L162" s="325"/>
    </row>
    <row r="163" spans="1:12" s="2509" customFormat="1">
      <c r="A163" s="2707"/>
      <c r="D163" s="2708"/>
      <c r="K163" s="325"/>
      <c r="L163" s="325"/>
    </row>
    <row r="164" spans="1:12" s="2509" customFormat="1">
      <c r="A164" s="2707"/>
      <c r="D164" s="2708"/>
      <c r="K164" s="325"/>
      <c r="L164" s="325"/>
    </row>
    <row r="165" spans="1:12" s="2509" customFormat="1">
      <c r="A165" s="2707"/>
      <c r="D165" s="2708"/>
      <c r="K165" s="325"/>
      <c r="L165" s="325"/>
    </row>
    <row r="166" spans="1:12" s="2509" customFormat="1">
      <c r="A166" s="2707"/>
      <c r="D166" s="2708"/>
      <c r="K166" s="325"/>
      <c r="L166" s="325"/>
    </row>
    <row r="167" spans="1:12" s="2509" customFormat="1">
      <c r="A167" s="2707"/>
      <c r="D167" s="2708"/>
      <c r="K167" s="325"/>
      <c r="L167" s="325"/>
    </row>
    <row r="168" spans="1:12" s="2509" customFormat="1">
      <c r="A168" s="2707"/>
      <c r="D168" s="2708"/>
      <c r="K168" s="325"/>
      <c r="L168" s="325"/>
    </row>
    <row r="169" spans="1:12" s="2509" customFormat="1">
      <c r="A169" s="2707"/>
      <c r="D169" s="2708"/>
      <c r="K169" s="325"/>
      <c r="L169" s="325"/>
    </row>
    <row r="170" spans="1:12" s="2509" customFormat="1">
      <c r="A170" s="2707"/>
      <c r="D170" s="2708"/>
      <c r="K170" s="325"/>
      <c r="L170" s="325"/>
    </row>
    <row r="171" spans="1:12" s="2509" customFormat="1">
      <c r="A171" s="2707"/>
      <c r="D171" s="2708"/>
      <c r="K171" s="325"/>
      <c r="L171" s="325"/>
    </row>
    <row r="172" spans="1:12" s="2509" customFormat="1">
      <c r="A172" s="2707"/>
      <c r="D172" s="2708"/>
      <c r="K172" s="325"/>
      <c r="L172" s="325"/>
    </row>
    <row r="173" spans="1:12" s="2509" customFormat="1">
      <c r="A173" s="2707"/>
      <c r="D173" s="2708"/>
      <c r="K173" s="325"/>
      <c r="L173" s="325"/>
    </row>
    <row r="174" spans="1:12" s="2509" customFormat="1">
      <c r="A174" s="2707"/>
      <c r="D174" s="2708"/>
      <c r="K174" s="325"/>
      <c r="L174" s="325"/>
    </row>
  </sheetData>
  <sheetProtection password="CEE9" sheet="1" objects="1" scenarios="1" formatCells="0" formatColumns="0" formatRows="0"/>
  <phoneticPr fontId="225"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36" customWidth="1"/>
    <col min="2" max="2" width="24.5" style="2437" customWidth="1"/>
    <col min="3" max="3" width="24.5" style="2438" customWidth="1"/>
    <col min="4" max="4" width="2.625" style="2438" customWidth="1"/>
    <col min="5" max="5" width="5.875" style="2438" customWidth="1"/>
    <col min="6" max="6" width="27" style="2437" customWidth="1"/>
    <col min="7" max="7" width="27" style="2439" customWidth="1"/>
    <col min="8" max="8" width="11.875" style="2440" customWidth="1"/>
    <col min="9" max="9" width="16.75" style="2441" customWidth="1"/>
    <col min="10" max="10" width="2.625" style="2440" customWidth="1"/>
    <col min="11" max="11" width="11.875" style="2440" customWidth="1"/>
    <col min="12" max="12" width="16.75" style="2441" customWidth="1"/>
    <col min="13" max="13" width="2.625" style="2440" customWidth="1"/>
    <col min="14" max="14" width="11.875" style="2440" customWidth="1"/>
    <col min="15" max="15" width="16.75" style="2441" customWidth="1"/>
    <col min="16" max="16" width="2.625" style="2440" customWidth="1"/>
    <col min="17" max="17" width="11.875" style="2440" customWidth="1"/>
    <col min="18" max="18" width="16.75" style="2442" customWidth="1"/>
    <col min="19" max="29" width="9" style="1928"/>
    <col min="30" max="16384" width="9" style="2436"/>
  </cols>
  <sheetData>
    <row r="1" spans="1:29" s="2434" customFormat="1" ht="18">
      <c r="A1" s="3313" t="s">
        <v>648</v>
      </c>
      <c r="B1" s="3314"/>
      <c r="C1" s="3314"/>
      <c r="D1" s="3314"/>
      <c r="E1" s="3314"/>
      <c r="F1" s="3314"/>
      <c r="G1" s="3314"/>
      <c r="H1" s="2443"/>
      <c r="I1" s="2496"/>
      <c r="J1" s="2443"/>
      <c r="K1" s="2443"/>
      <c r="L1" s="2496"/>
      <c r="M1" s="2443"/>
      <c r="N1" s="2443"/>
      <c r="O1" s="2496"/>
      <c r="P1" s="2443"/>
      <c r="Q1" s="2503"/>
      <c r="R1" s="2504"/>
      <c r="S1" s="2505"/>
      <c r="T1" s="2505"/>
      <c r="U1" s="2505"/>
      <c r="V1" s="2505"/>
      <c r="W1" s="2505"/>
      <c r="X1" s="2505"/>
      <c r="Y1" s="2505"/>
      <c r="Z1" s="2505"/>
      <c r="AA1" s="2505"/>
      <c r="AB1" s="2505"/>
      <c r="AC1" s="2505"/>
    </row>
    <row r="2" spans="1:29">
      <c r="A2" s="2444"/>
      <c r="B2" s="2445"/>
      <c r="C2" s="2446" t="s">
        <v>649</v>
      </c>
      <c r="D2" s="2447"/>
      <c r="E2" s="2444"/>
      <c r="F2" s="2448"/>
      <c r="G2" s="2446" t="s">
        <v>650</v>
      </c>
      <c r="H2" s="1928"/>
      <c r="I2" s="1928"/>
      <c r="J2" s="1928"/>
      <c r="K2" s="1928"/>
      <c r="L2" s="1928"/>
      <c r="M2" s="1928"/>
      <c r="N2" s="1928"/>
      <c r="O2" s="1928"/>
      <c r="P2" s="1928"/>
      <c r="Q2" s="1928"/>
      <c r="R2" s="1928"/>
    </row>
    <row r="3" spans="1:29" ht="67.5">
      <c r="A3" s="2449" t="s">
        <v>651</v>
      </c>
      <c r="B3" s="2450" t="s">
        <v>652</v>
      </c>
      <c r="C3" s="2451" t="s">
        <v>653</v>
      </c>
      <c r="D3" s="2452"/>
      <c r="E3" s="2453" t="s">
        <v>651</v>
      </c>
      <c r="F3" s="2454" t="s">
        <v>654</v>
      </c>
      <c r="G3" s="2455" t="s">
        <v>655</v>
      </c>
      <c r="H3" s="1928"/>
      <c r="I3" s="1928"/>
      <c r="J3" s="1928"/>
      <c r="K3" s="1928"/>
      <c r="L3" s="1928"/>
      <c r="M3" s="1928"/>
      <c r="N3" s="1928"/>
      <c r="O3" s="1928"/>
      <c r="P3" s="1928"/>
      <c r="Q3" s="1928"/>
      <c r="R3" s="1928"/>
    </row>
    <row r="4" spans="1:29" ht="36">
      <c r="A4" s="2453"/>
      <c r="B4" s="1712" t="s">
        <v>656</v>
      </c>
      <c r="C4" s="2456" t="s">
        <v>657</v>
      </c>
      <c r="D4" s="2452"/>
      <c r="E4" s="2457"/>
      <c r="F4" s="1922" t="s">
        <v>658</v>
      </c>
      <c r="G4" s="2458" t="s">
        <v>659</v>
      </c>
      <c r="H4" s="1928"/>
      <c r="I4" s="1928"/>
      <c r="J4" s="1928"/>
      <c r="K4" s="1928"/>
      <c r="L4" s="1928"/>
      <c r="M4" s="1928"/>
      <c r="N4" s="1928"/>
      <c r="O4" s="1928"/>
      <c r="P4" s="1928"/>
      <c r="Q4" s="1928"/>
      <c r="R4" s="1928"/>
    </row>
    <row r="5" spans="1:29" ht="27">
      <c r="A5" s="2453"/>
      <c r="B5" s="1712" t="s">
        <v>660</v>
      </c>
      <c r="C5" s="2456" t="s">
        <v>661</v>
      </c>
      <c r="D5" s="2452"/>
      <c r="E5" s="2457"/>
      <c r="F5" s="1712" t="s">
        <v>458</v>
      </c>
      <c r="G5" s="2458" t="s">
        <v>662</v>
      </c>
      <c r="H5" s="1928"/>
      <c r="I5" s="1928"/>
      <c r="J5" s="1928"/>
      <c r="K5" s="1928"/>
      <c r="L5" s="1928"/>
      <c r="M5" s="1928"/>
      <c r="N5" s="1928"/>
      <c r="O5" s="1928"/>
      <c r="P5" s="1928"/>
      <c r="Q5" s="1928"/>
      <c r="R5" s="1928"/>
    </row>
    <row r="6" spans="1:29" ht="81">
      <c r="A6" s="2453"/>
      <c r="B6" s="1712" t="s">
        <v>658</v>
      </c>
      <c r="C6" s="2459" t="s">
        <v>663</v>
      </c>
      <c r="D6" s="2452"/>
      <c r="E6" s="2457"/>
      <c r="F6" s="1712" t="s">
        <v>664</v>
      </c>
      <c r="G6" s="2458" t="s">
        <v>665</v>
      </c>
      <c r="H6" s="1928"/>
      <c r="I6" s="1928"/>
      <c r="J6" s="1928"/>
      <c r="K6" s="1928"/>
      <c r="L6" s="1928"/>
      <c r="M6" s="1928"/>
      <c r="N6" s="1928"/>
      <c r="O6" s="1928"/>
      <c r="P6" s="1928"/>
      <c r="Q6" s="1928"/>
      <c r="R6" s="1928"/>
    </row>
    <row r="7" spans="1:29" ht="121.5">
      <c r="A7" s="2453"/>
      <c r="B7" s="1712" t="s">
        <v>458</v>
      </c>
      <c r="C7" s="2459" t="s">
        <v>666</v>
      </c>
      <c r="D7" s="2460"/>
      <c r="E7" s="2461"/>
      <c r="F7" s="2462" t="s">
        <v>667</v>
      </c>
      <c r="G7" s="2463" t="s">
        <v>668</v>
      </c>
      <c r="H7" s="1928"/>
      <c r="I7" s="1928"/>
      <c r="J7" s="1928"/>
      <c r="K7" s="1928"/>
      <c r="L7" s="1928"/>
      <c r="M7" s="1928"/>
      <c r="N7" s="1928"/>
      <c r="O7" s="1928"/>
      <c r="P7" s="1928"/>
      <c r="Q7" s="1928"/>
      <c r="R7" s="1928"/>
    </row>
    <row r="8" spans="1:29" ht="27">
      <c r="A8" s="2453"/>
      <c r="B8" s="1712" t="s">
        <v>664</v>
      </c>
      <c r="C8" s="2459" t="s">
        <v>669</v>
      </c>
      <c r="D8" s="2460"/>
      <c r="E8" s="2460"/>
      <c r="F8" s="1833"/>
      <c r="G8" s="1833"/>
      <c r="H8" s="1928"/>
      <c r="I8" s="1928"/>
      <c r="J8" s="1928"/>
      <c r="K8" s="1928"/>
      <c r="L8" s="1928"/>
      <c r="M8" s="1928"/>
      <c r="N8" s="1928"/>
      <c r="O8" s="1928"/>
      <c r="P8" s="1928"/>
      <c r="Q8" s="1928"/>
      <c r="R8" s="1928"/>
    </row>
    <row r="9" spans="1:29" ht="67.5">
      <c r="A9" s="2453"/>
      <c r="B9" s="1712" t="s">
        <v>670</v>
      </c>
      <c r="C9" s="2456" t="s">
        <v>671</v>
      </c>
      <c r="D9" s="2452"/>
      <c r="E9" s="2460"/>
      <c r="F9" s="1833"/>
      <c r="G9" s="1833"/>
      <c r="H9" s="1928"/>
      <c r="I9" s="1928"/>
      <c r="J9" s="1928"/>
      <c r="K9" s="1928"/>
      <c r="L9" s="1928"/>
      <c r="M9" s="1928"/>
      <c r="N9" s="1928"/>
      <c r="O9" s="1928"/>
      <c r="P9" s="1928"/>
      <c r="Q9" s="1928"/>
      <c r="R9" s="1928"/>
    </row>
    <row r="10" spans="1:29" s="2435" customFormat="1">
      <c r="A10" s="2464"/>
      <c r="B10" s="2465" t="s">
        <v>672</v>
      </c>
      <c r="C10" s="2466" t="s">
        <v>673</v>
      </c>
      <c r="D10" s="2452"/>
      <c r="E10" s="2452"/>
      <c r="F10" s="1833"/>
      <c r="G10" s="1833"/>
      <c r="H10" s="2467"/>
      <c r="I10" s="2497"/>
      <c r="J10" s="2498"/>
      <c r="K10" s="2467"/>
      <c r="L10" s="2497"/>
      <c r="M10" s="2498"/>
      <c r="N10" s="2467"/>
      <c r="O10" s="2497"/>
      <c r="P10" s="2498"/>
      <c r="Q10" s="2467"/>
      <c r="R10" s="2497"/>
      <c r="S10" s="1928"/>
      <c r="T10" s="1928"/>
      <c r="U10" s="1928"/>
      <c r="V10" s="1928"/>
      <c r="W10" s="1928"/>
      <c r="X10" s="1928"/>
      <c r="Y10" s="1928"/>
      <c r="Z10" s="1928"/>
      <c r="AA10" s="1928"/>
      <c r="AB10" s="1928"/>
      <c r="AC10" s="1928"/>
    </row>
    <row r="11" spans="1:29" s="2435" customFormat="1">
      <c r="A11" s="2468"/>
      <c r="B11" s="2460"/>
      <c r="C11" s="2452"/>
      <c r="D11" s="2452"/>
      <c r="E11" s="2452"/>
      <c r="F11" s="2460"/>
      <c r="G11" s="2469"/>
      <c r="H11" s="2467"/>
      <c r="I11" s="2497"/>
      <c r="J11" s="2498"/>
      <c r="K11" s="2467"/>
      <c r="L11" s="2497"/>
      <c r="M11" s="2498"/>
      <c r="N11" s="2467"/>
      <c r="O11" s="2497"/>
      <c r="P11" s="2498"/>
      <c r="Q11" s="2467"/>
      <c r="R11" s="2497"/>
      <c r="S11" s="1928"/>
      <c r="T11" s="1928"/>
      <c r="U11" s="1928"/>
      <c r="V11" s="1928"/>
      <c r="W11" s="1928"/>
      <c r="X11" s="1928"/>
      <c r="Y11" s="1928"/>
      <c r="Z11" s="1928"/>
      <c r="AA11" s="1928"/>
      <c r="AB11" s="1928"/>
      <c r="AC11" s="1928"/>
    </row>
    <row r="12" spans="1:29" s="2434" customFormat="1" ht="18">
      <c r="A12" s="2468"/>
      <c r="B12" s="2460"/>
      <c r="C12" s="2452"/>
      <c r="D12" s="2470"/>
      <c r="E12" s="2452"/>
      <c r="F12" s="2460"/>
      <c r="G12" s="2469"/>
      <c r="H12" s="2471"/>
      <c r="I12" s="2499"/>
      <c r="J12" s="2471"/>
      <c r="K12" s="2471"/>
      <c r="L12" s="2500"/>
      <c r="M12" s="2471"/>
      <c r="N12" s="2501"/>
      <c r="O12" s="2502"/>
      <c r="P12" s="2501"/>
      <c r="Q12" s="2501"/>
      <c r="R12" s="2504"/>
      <c r="S12" s="2505"/>
      <c r="T12" s="2505"/>
      <c r="U12" s="2505"/>
      <c r="V12" s="2505"/>
      <c r="W12" s="2505"/>
      <c r="X12" s="2505"/>
      <c r="Y12" s="2505"/>
      <c r="Z12" s="2505"/>
      <c r="AA12" s="2505"/>
      <c r="AB12" s="2505"/>
      <c r="AC12" s="2505"/>
    </row>
    <row r="13" spans="1:29" ht="15">
      <c r="A13" s="2472" t="s">
        <v>674</v>
      </c>
      <c r="B13" s="2470"/>
      <c r="C13" s="2470"/>
      <c r="D13" s="2468"/>
      <c r="E13" s="2470"/>
      <c r="F13" s="2470"/>
      <c r="G13" s="2470"/>
    </row>
    <row r="14" spans="1:29">
      <c r="A14" s="2473"/>
      <c r="B14" s="2473"/>
      <c r="C14" s="2474" t="s">
        <v>649</v>
      </c>
      <c r="D14" s="2452"/>
      <c r="E14" s="2475"/>
      <c r="F14" s="2475"/>
      <c r="G14" s="2446" t="s">
        <v>650</v>
      </c>
    </row>
    <row r="15" spans="1:29" ht="63.75">
      <c r="A15" s="2476" t="s">
        <v>651</v>
      </c>
      <c r="B15" s="2477" t="s">
        <v>652</v>
      </c>
      <c r="C15" s="2478" t="str">
        <f>C3</f>
        <v>估价对象周边有欧亚花园、昌平区双拥大院、力天嘉苑等住宅小区、居住小区规模较大，入住率较高，综合评价居住社区成熟度较好。</v>
      </c>
      <c r="D15" s="2452"/>
      <c r="E15" s="2479" t="s">
        <v>651</v>
      </c>
      <c r="F15" s="2477" t="s">
        <v>654</v>
      </c>
      <c r="G15" s="2480" t="str">
        <f>G3</f>
        <v>估价对象位于XX开发区，园区建设成熟度XX，产业集聚程度XX</v>
      </c>
    </row>
    <row r="16" spans="1:29" ht="38.25">
      <c r="A16" s="2481"/>
      <c r="B16" s="2482" t="s">
        <v>656</v>
      </c>
      <c r="C16" s="2483" t="str">
        <f>C4</f>
        <v>周边商业氛围成熟，人流量大，商业繁华度较好</v>
      </c>
      <c r="D16" s="2452"/>
      <c r="E16" s="2484"/>
      <c r="F16" s="2485" t="s">
        <v>658</v>
      </c>
      <c r="G16" s="2486" t="str">
        <f>G4</f>
        <v>估价对象周边道路状况、公共交通通达情况、停车便捷程度，综合评价交通便捷度较好</v>
      </c>
    </row>
    <row r="17" spans="1:18" ht="25.5">
      <c r="A17" s="2481"/>
      <c r="B17" s="2482" t="s">
        <v>660</v>
      </c>
      <c r="C17" s="2483" t="str">
        <f>C5</f>
        <v>，周边办公楼项目一般，入驻率高，办公集聚程度一般</v>
      </c>
      <c r="D17" s="2460"/>
      <c r="E17" s="2484"/>
      <c r="F17" s="2485" t="s">
        <v>675</v>
      </c>
      <c r="G17" s="2487"/>
    </row>
    <row r="18" spans="1:18" ht="76.5">
      <c r="A18" s="2481"/>
      <c r="B18" s="2485" t="s">
        <v>658</v>
      </c>
      <c r="C18" s="2486" t="str">
        <f>C6</f>
        <v>估价对象紧邻城市支路-东环路、附近有公交车站昌平南大街站，停靠线路有493路、昌52路、昌66路等，附近600米范围内有地铁昌平线昌平站合评价交通便捷度较好。</v>
      </c>
      <c r="D18" s="2460"/>
      <c r="E18" s="2484"/>
      <c r="F18" s="2485" t="s">
        <v>667</v>
      </c>
      <c r="G18" s="2486" t="str">
        <f>G7</f>
        <v>该园区内是否有污染型企业，绿化情况，卫生条件，整体环境状况判断</v>
      </c>
    </row>
    <row r="19" spans="1:18" ht="25.5">
      <c r="A19" s="2481"/>
      <c r="B19" s="2485" t="s">
        <v>675</v>
      </c>
      <c r="C19" s="2487"/>
      <c r="D19" s="2452"/>
      <c r="E19" s="2484"/>
      <c r="F19" s="1712" t="s">
        <v>458</v>
      </c>
      <c r="G19" s="2486" t="str">
        <f>G5</f>
        <v>估价对象所在区域公共配套设施齐备情况</v>
      </c>
    </row>
    <row r="20" spans="1:18" ht="51">
      <c r="A20" s="2481"/>
      <c r="B20" s="2485" t="s">
        <v>676</v>
      </c>
      <c r="C20" s="2483" t="str">
        <f>C9</f>
        <v>估计对象周边有昌平公园、学府等自然环境景观，有北京昌平卫生学校、中国石油大学等人文环境；综合评价环境状况较好。</v>
      </c>
      <c r="D20" s="2460"/>
      <c r="E20" s="2484"/>
      <c r="F20" s="1712" t="s">
        <v>664</v>
      </c>
      <c r="G20" s="2486" t="str">
        <f>G6</f>
        <v>估价对象所在区域基础设施水平</v>
      </c>
    </row>
    <row r="21" spans="1:18" ht="89.25">
      <c r="A21" s="2481"/>
      <c r="B21" s="1712" t="s">
        <v>458</v>
      </c>
      <c r="C21" s="2486" t="str">
        <f>C7</f>
        <v>估价对象所在区域有北京昌平卫生学校、城北中心东关小学、昌平区第二中学、中国石油大学、中国政法大学、昌平区中医医院、昌平区医院、昌平区妇幼保健院、中国民生银行、北京银行等，公共配套设施状况较好。</v>
      </c>
      <c r="D21" s="2452"/>
      <c r="E21" s="2484"/>
      <c r="F21" s="2485" t="s">
        <v>677</v>
      </c>
      <c r="G21" s="2488"/>
    </row>
    <row r="22" spans="1:18" ht="13.5" customHeight="1">
      <c r="A22" s="2481"/>
      <c r="B22" s="1712" t="s">
        <v>664</v>
      </c>
      <c r="C22" s="2486" t="str">
        <f>C8</f>
        <v>估价对象所在区域基础设施水平为七通一平</v>
      </c>
      <c r="D22" s="2452"/>
      <c r="E22" s="2484"/>
      <c r="F22" s="2485" t="s">
        <v>672</v>
      </c>
      <c r="G22" s="2487"/>
    </row>
    <row r="23" spans="1:18" s="1928" customFormat="1">
      <c r="A23" s="2481"/>
      <c r="B23" s="2485" t="s">
        <v>677</v>
      </c>
      <c r="C23" s="2488"/>
      <c r="D23" s="2416"/>
      <c r="E23" s="2489"/>
      <c r="F23" s="2490" t="s">
        <v>406</v>
      </c>
      <c r="G23" s="2491"/>
      <c r="H23" s="2440"/>
      <c r="I23" s="2441"/>
      <c r="J23" s="2440"/>
      <c r="K23" s="2440"/>
      <c r="L23" s="2441"/>
      <c r="M23" s="2440"/>
      <c r="N23" s="2440"/>
      <c r="O23" s="2441"/>
      <c r="P23" s="2440"/>
      <c r="Q23" s="2440"/>
      <c r="R23" s="2442"/>
    </row>
    <row r="24" spans="1:18" s="1928" customFormat="1">
      <c r="A24" s="2492"/>
      <c r="B24" s="2490" t="s">
        <v>672</v>
      </c>
      <c r="C24" s="2493" t="str">
        <f>C10</f>
        <v>紧邻城市支路-东环路</v>
      </c>
      <c r="D24" s="2416"/>
      <c r="E24" s="2494"/>
      <c r="F24" s="2494"/>
      <c r="G24" s="2495"/>
      <c r="H24" s="2440"/>
      <c r="I24" s="2441"/>
      <c r="J24" s="2440"/>
      <c r="K24" s="2440"/>
      <c r="L24" s="2441"/>
      <c r="M24" s="2440"/>
      <c r="N24" s="2440"/>
      <c r="O24" s="2441"/>
      <c r="P24" s="2440"/>
      <c r="Q24" s="2440"/>
      <c r="R24" s="2442"/>
    </row>
    <row r="25" spans="1:18" s="1928" customFormat="1">
      <c r="B25" s="2440"/>
      <c r="C25" s="2440"/>
      <c r="D25" s="2440"/>
      <c r="H25" s="2440"/>
      <c r="I25" s="2441"/>
      <c r="J25" s="2440"/>
      <c r="K25" s="2440"/>
      <c r="L25" s="2441"/>
      <c r="M25" s="2440"/>
      <c r="N25" s="2440"/>
      <c r="O25" s="2441"/>
      <c r="P25" s="2440"/>
      <c r="Q25" s="2440"/>
      <c r="R25" s="2442"/>
    </row>
    <row r="26" spans="1:18" s="1928" customFormat="1">
      <c r="B26" s="2440"/>
      <c r="C26" s="2440"/>
      <c r="D26" s="2440"/>
      <c r="H26" s="2440"/>
      <c r="I26" s="2441"/>
      <c r="J26" s="2440"/>
      <c r="K26" s="2440"/>
      <c r="L26" s="2441"/>
      <c r="M26" s="2440"/>
      <c r="N26" s="2440"/>
      <c r="O26" s="2441"/>
      <c r="P26" s="2440"/>
      <c r="Q26" s="2440"/>
      <c r="R26" s="2442"/>
    </row>
    <row r="27" spans="1:18" s="1928" customFormat="1">
      <c r="B27" s="2440"/>
      <c r="C27" s="2440"/>
      <c r="D27" s="2440"/>
      <c r="H27" s="2440"/>
      <c r="I27" s="2441"/>
      <c r="J27" s="2440"/>
      <c r="K27" s="2440"/>
      <c r="L27" s="2441"/>
      <c r="M27" s="2440"/>
      <c r="N27" s="2440"/>
      <c r="O27" s="2441"/>
      <c r="P27" s="2440"/>
      <c r="Q27" s="2440"/>
      <c r="R27" s="2442"/>
    </row>
    <row r="28" spans="1:18" s="1928" customFormat="1">
      <c r="B28" s="2440"/>
      <c r="C28" s="2440"/>
      <c r="D28" s="2440"/>
      <c r="H28" s="2440"/>
      <c r="I28" s="2441"/>
      <c r="J28" s="2440"/>
      <c r="K28" s="2440"/>
      <c r="L28" s="2441"/>
      <c r="M28" s="2440"/>
      <c r="N28" s="2440"/>
      <c r="O28" s="2441"/>
      <c r="P28" s="2440"/>
      <c r="Q28" s="2440"/>
      <c r="R28" s="2442"/>
    </row>
    <row r="29" spans="1:18" s="1928" customFormat="1">
      <c r="B29" s="2440"/>
      <c r="C29" s="2440"/>
      <c r="D29" s="2440"/>
      <c r="H29" s="2440"/>
      <c r="I29" s="2441"/>
      <c r="J29" s="2440"/>
      <c r="K29" s="2440"/>
      <c r="L29" s="2441"/>
      <c r="M29" s="2440"/>
      <c r="N29" s="2440"/>
      <c r="O29" s="2441"/>
      <c r="P29" s="2440"/>
      <c r="Q29" s="2440"/>
      <c r="R29" s="2442"/>
    </row>
    <row r="30" spans="1:18" s="1928" customFormat="1">
      <c r="B30" s="2440"/>
      <c r="C30" s="2440"/>
      <c r="D30" s="2440"/>
      <c r="H30" s="2440"/>
      <c r="I30" s="2441"/>
      <c r="J30" s="2440"/>
      <c r="K30" s="2440"/>
      <c r="L30" s="2441"/>
      <c r="M30" s="2440"/>
      <c r="N30" s="2440"/>
      <c r="O30" s="2441"/>
      <c r="P30" s="2440"/>
      <c r="Q30" s="2440"/>
      <c r="R30" s="2442"/>
    </row>
    <row r="31" spans="1:18" s="1928" customFormat="1">
      <c r="B31" s="2440"/>
      <c r="C31" s="2440"/>
      <c r="D31" s="2440"/>
      <c r="H31" s="2440"/>
      <c r="I31" s="2441"/>
      <c r="J31" s="2440"/>
      <c r="K31" s="2440"/>
      <c r="L31" s="2441"/>
      <c r="M31" s="2440"/>
      <c r="N31" s="2440"/>
      <c r="O31" s="2441"/>
      <c r="P31" s="2440"/>
      <c r="Q31" s="2440"/>
      <c r="R31" s="2442"/>
    </row>
    <row r="32" spans="1:18" s="1928" customFormat="1">
      <c r="B32" s="2440"/>
      <c r="C32" s="2440"/>
      <c r="D32" s="2440"/>
      <c r="H32" s="2440"/>
      <c r="I32" s="2441"/>
      <c r="J32" s="2440"/>
      <c r="K32" s="2440"/>
      <c r="L32" s="2441"/>
      <c r="M32" s="2440"/>
      <c r="N32" s="2440"/>
      <c r="O32" s="2441"/>
      <c r="P32" s="2440"/>
      <c r="Q32" s="2440"/>
      <c r="R32" s="2442"/>
    </row>
    <row r="33" spans="2:18" s="1928" customFormat="1">
      <c r="B33" s="2440"/>
      <c r="C33" s="2440"/>
      <c r="D33" s="2440"/>
      <c r="H33" s="2440"/>
      <c r="I33" s="2441"/>
      <c r="J33" s="2440"/>
      <c r="K33" s="2440"/>
      <c r="L33" s="2441"/>
      <c r="M33" s="2440"/>
      <c r="N33" s="2440"/>
      <c r="O33" s="2441"/>
      <c r="P33" s="2440"/>
      <c r="Q33" s="2440"/>
      <c r="R33" s="2442"/>
    </row>
    <row r="34" spans="2:18" s="1928" customFormat="1">
      <c r="B34" s="2440"/>
      <c r="C34" s="2440"/>
      <c r="D34" s="2440"/>
      <c r="H34" s="2440"/>
      <c r="I34" s="2441"/>
      <c r="J34" s="2440"/>
      <c r="K34" s="2440"/>
      <c r="L34" s="2441"/>
      <c r="M34" s="2440"/>
      <c r="N34" s="2440"/>
      <c r="O34" s="2441"/>
      <c r="P34" s="2440"/>
      <c r="Q34" s="2440"/>
      <c r="R34" s="2442"/>
    </row>
    <row r="35" spans="2:18" s="1928" customFormat="1">
      <c r="B35" s="2440"/>
      <c r="C35" s="2440"/>
      <c r="D35" s="2440"/>
      <c r="H35" s="2440"/>
      <c r="I35" s="2441"/>
      <c r="J35" s="2440"/>
      <c r="K35" s="2440"/>
      <c r="L35" s="2441"/>
      <c r="M35" s="2440"/>
      <c r="N35" s="2440"/>
      <c r="O35" s="2441"/>
      <c r="P35" s="2440"/>
      <c r="Q35" s="2440"/>
      <c r="R35" s="2442"/>
    </row>
    <row r="36" spans="2:18" s="1928" customFormat="1">
      <c r="B36" s="2440"/>
      <c r="C36" s="2440"/>
      <c r="D36" s="2440"/>
      <c r="H36" s="2440"/>
      <c r="I36" s="2441"/>
      <c r="J36" s="2440"/>
      <c r="K36" s="2440"/>
      <c r="L36" s="2441"/>
      <c r="M36" s="2440"/>
      <c r="N36" s="2440"/>
      <c r="O36" s="2441"/>
      <c r="P36" s="2440"/>
      <c r="Q36" s="2440"/>
      <c r="R36" s="2442"/>
    </row>
    <row r="37" spans="2:18" s="1928" customFormat="1">
      <c r="B37" s="2440"/>
      <c r="C37" s="2440"/>
      <c r="D37" s="2440"/>
      <c r="H37" s="2440"/>
      <c r="I37" s="2441"/>
      <c r="J37" s="2440"/>
      <c r="K37" s="2440"/>
      <c r="L37" s="2441"/>
      <c r="M37" s="2440"/>
      <c r="N37" s="2440"/>
      <c r="O37" s="2441"/>
      <c r="P37" s="2440"/>
      <c r="Q37" s="2440"/>
      <c r="R37" s="2442"/>
    </row>
    <row r="38" spans="2:18" s="1928" customFormat="1">
      <c r="B38" s="2440"/>
      <c r="C38" s="2440"/>
      <c r="D38" s="2440"/>
      <c r="E38" s="2440"/>
      <c r="F38" s="2440"/>
      <c r="G38" s="2441"/>
      <c r="H38" s="2440"/>
      <c r="I38" s="2441"/>
      <c r="J38" s="2440"/>
      <c r="K38" s="2440"/>
      <c r="L38" s="2441"/>
      <c r="M38" s="2440"/>
      <c r="N38" s="2440"/>
      <c r="O38" s="2441"/>
      <c r="P38" s="2440"/>
      <c r="Q38" s="2440"/>
      <c r="R38" s="2442"/>
    </row>
    <row r="39" spans="2:18" s="1928" customFormat="1">
      <c r="B39" s="2440"/>
      <c r="C39" s="2440"/>
      <c r="D39" s="2440"/>
      <c r="E39" s="2440"/>
      <c r="F39" s="2440"/>
      <c r="G39" s="2441"/>
      <c r="H39" s="2440"/>
      <c r="I39" s="2441"/>
      <c r="J39" s="2440"/>
      <c r="K39" s="2440"/>
      <c r="L39" s="2441"/>
      <c r="M39" s="2440"/>
      <c r="N39" s="2440"/>
      <c r="O39" s="2441"/>
      <c r="P39" s="2440"/>
      <c r="Q39" s="2440"/>
      <c r="R39" s="2442"/>
    </row>
    <row r="40" spans="2:18" s="1928" customFormat="1">
      <c r="B40" s="2440"/>
      <c r="C40" s="2440"/>
      <c r="D40" s="2440"/>
      <c r="E40" s="2440"/>
      <c r="F40" s="2440"/>
      <c r="G40" s="2441"/>
      <c r="H40" s="2440"/>
      <c r="I40" s="2441"/>
      <c r="J40" s="2440"/>
      <c r="K40" s="2440"/>
      <c r="L40" s="2441"/>
      <c r="M40" s="2440"/>
      <c r="N40" s="2440"/>
      <c r="O40" s="2441"/>
      <c r="P40" s="2440"/>
      <c r="Q40" s="2440"/>
      <c r="R40" s="2442"/>
    </row>
    <row r="41" spans="2:18" s="1928" customFormat="1">
      <c r="B41" s="2440"/>
      <c r="C41" s="2440"/>
      <c r="D41" s="2440"/>
      <c r="E41" s="2440"/>
      <c r="F41" s="2440"/>
      <c r="G41" s="2441"/>
      <c r="H41" s="2440"/>
      <c r="I41" s="2441"/>
      <c r="J41" s="2440"/>
      <c r="K41" s="2440"/>
      <c r="L41" s="2441"/>
      <c r="M41" s="2440"/>
      <c r="N41" s="2440"/>
      <c r="O41" s="2441"/>
      <c r="P41" s="2440"/>
      <c r="Q41" s="2440"/>
      <c r="R41" s="2442"/>
    </row>
    <row r="42" spans="2:18" s="1928" customFormat="1">
      <c r="B42" s="2440"/>
      <c r="C42" s="2440"/>
      <c r="D42" s="2440"/>
      <c r="E42" s="2440"/>
      <c r="F42" s="2440"/>
      <c r="G42" s="2441"/>
      <c r="H42" s="2440"/>
      <c r="I42" s="2441"/>
      <c r="J42" s="2440"/>
      <c r="K42" s="2440"/>
      <c r="L42" s="2441"/>
      <c r="M42" s="2440"/>
      <c r="N42" s="2440"/>
      <c r="O42" s="2441"/>
      <c r="P42" s="2440"/>
      <c r="Q42" s="2440"/>
      <c r="R42" s="2442"/>
    </row>
    <row r="43" spans="2:18" s="1928" customFormat="1">
      <c r="B43" s="2440"/>
      <c r="C43" s="2440"/>
      <c r="D43" s="2440"/>
      <c r="E43" s="2440"/>
      <c r="F43" s="2440"/>
      <c r="G43" s="2441"/>
      <c r="H43" s="2440"/>
      <c r="I43" s="2441"/>
      <c r="J43" s="2440"/>
      <c r="K43" s="2440"/>
      <c r="L43" s="2441"/>
      <c r="M43" s="2440"/>
      <c r="N43" s="2440"/>
      <c r="O43" s="2441"/>
      <c r="P43" s="2440"/>
      <c r="Q43" s="2440"/>
      <c r="R43" s="2442"/>
    </row>
    <row r="44" spans="2:18" s="1928" customFormat="1">
      <c r="B44" s="2440"/>
      <c r="C44" s="2440"/>
      <c r="D44" s="2440"/>
      <c r="E44" s="2440"/>
      <c r="F44" s="2440"/>
      <c r="G44" s="2441"/>
      <c r="H44" s="2440"/>
      <c r="I44" s="2441"/>
      <c r="J44" s="2440"/>
      <c r="K44" s="2440"/>
      <c r="L44" s="2441"/>
      <c r="M44" s="2440"/>
      <c r="N44" s="2440"/>
      <c r="O44" s="2441"/>
      <c r="P44" s="2440"/>
      <c r="Q44" s="2440"/>
      <c r="R44" s="2442"/>
    </row>
    <row r="45" spans="2:18" s="1928" customFormat="1">
      <c r="B45" s="2440"/>
      <c r="C45" s="2440"/>
      <c r="D45" s="2440"/>
      <c r="E45" s="2440"/>
      <c r="F45" s="2440"/>
      <c r="G45" s="2441"/>
      <c r="H45" s="2440"/>
      <c r="I45" s="2441"/>
      <c r="J45" s="2440"/>
      <c r="K45" s="2440"/>
      <c r="L45" s="2441"/>
      <c r="M45" s="2440"/>
      <c r="N45" s="2440"/>
      <c r="O45" s="2441"/>
      <c r="P45" s="2440"/>
      <c r="Q45" s="2440"/>
      <c r="R45" s="2442"/>
    </row>
    <row r="46" spans="2:18" s="1928" customFormat="1">
      <c r="B46" s="2440"/>
      <c r="C46" s="2440"/>
      <c r="D46" s="2440"/>
      <c r="E46" s="2440"/>
      <c r="F46" s="2440"/>
      <c r="G46" s="2441"/>
      <c r="H46" s="2440"/>
      <c r="I46" s="2441"/>
      <c r="J46" s="2440"/>
      <c r="K46" s="2440"/>
      <c r="L46" s="2441"/>
      <c r="M46" s="2440"/>
      <c r="N46" s="2440"/>
      <c r="O46" s="2441"/>
      <c r="P46" s="2440"/>
      <c r="Q46" s="2440"/>
      <c r="R46" s="2442"/>
    </row>
    <row r="47" spans="2:18" s="1928" customFormat="1">
      <c r="B47" s="2440"/>
      <c r="C47" s="2440"/>
      <c r="D47" s="2440"/>
      <c r="E47" s="2440"/>
      <c r="F47" s="2440"/>
      <c r="G47" s="2441"/>
      <c r="H47" s="2440"/>
      <c r="I47" s="2441"/>
      <c r="J47" s="2440"/>
      <c r="K47" s="2440"/>
      <c r="L47" s="2441"/>
      <c r="M47" s="2440"/>
      <c r="N47" s="2440"/>
      <c r="O47" s="2441"/>
      <c r="P47" s="2440"/>
      <c r="Q47" s="2440"/>
      <c r="R47" s="2442"/>
    </row>
    <row r="48" spans="2:18" s="1928" customFormat="1">
      <c r="B48" s="2440"/>
      <c r="C48" s="2440"/>
      <c r="D48" s="2440"/>
      <c r="E48" s="2440"/>
      <c r="F48" s="2440"/>
      <c r="G48" s="2441"/>
      <c r="H48" s="2440"/>
      <c r="I48" s="2441"/>
      <c r="J48" s="2440"/>
      <c r="K48" s="2440"/>
      <c r="L48" s="2441"/>
      <c r="M48" s="2440"/>
      <c r="N48" s="2440"/>
      <c r="O48" s="2441"/>
      <c r="P48" s="2440"/>
      <c r="Q48" s="2440"/>
      <c r="R48" s="2442"/>
    </row>
    <row r="49" spans="2:18" s="1928" customFormat="1">
      <c r="B49" s="2440"/>
      <c r="C49" s="2440"/>
      <c r="D49" s="2440"/>
      <c r="E49" s="2440"/>
      <c r="F49" s="2440"/>
      <c r="G49" s="2441"/>
      <c r="H49" s="2440"/>
      <c r="I49" s="2441"/>
      <c r="J49" s="2440"/>
      <c r="K49" s="2440"/>
      <c r="L49" s="2441"/>
      <c r="M49" s="2440"/>
      <c r="N49" s="2440"/>
      <c r="O49" s="2441"/>
      <c r="P49" s="2440"/>
      <c r="Q49" s="2440"/>
      <c r="R49" s="2442"/>
    </row>
    <row r="50" spans="2:18" s="1928" customFormat="1">
      <c r="B50" s="2440"/>
      <c r="C50" s="2440"/>
      <c r="D50" s="2440"/>
      <c r="E50" s="2440"/>
      <c r="F50" s="2440"/>
      <c r="G50" s="2441"/>
      <c r="H50" s="2440"/>
      <c r="I50" s="2441"/>
      <c r="J50" s="2440"/>
      <c r="K50" s="2440"/>
      <c r="L50" s="2441"/>
      <c r="M50" s="2440"/>
      <c r="N50" s="2440"/>
      <c r="O50" s="2441"/>
      <c r="P50" s="2440"/>
      <c r="Q50" s="2440"/>
      <c r="R50" s="2442"/>
    </row>
    <row r="51" spans="2:18" s="1928" customFormat="1">
      <c r="B51" s="2440"/>
      <c r="C51" s="2440"/>
      <c r="D51" s="2440"/>
      <c r="E51" s="2440"/>
      <c r="F51" s="2440"/>
      <c r="G51" s="2441"/>
      <c r="H51" s="2440"/>
      <c r="I51" s="2441"/>
      <c r="J51" s="2440"/>
      <c r="K51" s="2440"/>
      <c r="L51" s="2441"/>
      <c r="M51" s="2440"/>
      <c r="N51" s="2440"/>
      <c r="O51" s="2441"/>
      <c r="P51" s="2440"/>
      <c r="Q51" s="2440"/>
      <c r="R51" s="2442"/>
    </row>
    <row r="52" spans="2:18" s="1928" customFormat="1">
      <c r="B52" s="2440"/>
      <c r="C52" s="2440"/>
      <c r="D52" s="2440"/>
      <c r="E52" s="2440"/>
      <c r="F52" s="2440"/>
      <c r="G52" s="2441"/>
      <c r="H52" s="2440"/>
      <c r="I52" s="2441"/>
      <c r="J52" s="2440"/>
      <c r="K52" s="2440"/>
      <c r="L52" s="2441"/>
      <c r="M52" s="2440"/>
      <c r="N52" s="2440"/>
      <c r="O52" s="2441"/>
      <c r="P52" s="2440"/>
      <c r="Q52" s="2440"/>
      <c r="R52" s="2442"/>
    </row>
    <row r="53" spans="2:18" s="1928" customFormat="1">
      <c r="B53" s="2440"/>
      <c r="C53" s="2440"/>
      <c r="D53" s="2440"/>
      <c r="E53" s="2440"/>
      <c r="F53" s="2440"/>
      <c r="G53" s="2441"/>
      <c r="H53" s="2440"/>
      <c r="I53" s="2441"/>
      <c r="J53" s="2440"/>
      <c r="K53" s="2440"/>
      <c r="L53" s="2441"/>
      <c r="M53" s="2440"/>
      <c r="N53" s="2440"/>
      <c r="O53" s="2441"/>
      <c r="P53" s="2440"/>
      <c r="Q53" s="2440"/>
      <c r="R53" s="2442"/>
    </row>
    <row r="54" spans="2:18" s="1928" customFormat="1">
      <c r="B54" s="2440"/>
      <c r="C54" s="2440"/>
      <c r="D54" s="2440"/>
      <c r="E54" s="2440"/>
      <c r="F54" s="2440"/>
      <c r="G54" s="2441"/>
      <c r="H54" s="2440"/>
      <c r="I54" s="2441"/>
      <c r="J54" s="2440"/>
      <c r="K54" s="2440"/>
      <c r="L54" s="2441"/>
      <c r="M54" s="2440"/>
      <c r="N54" s="2440"/>
      <c r="O54" s="2441"/>
      <c r="P54" s="2440"/>
      <c r="Q54" s="2440"/>
      <c r="R54" s="2442"/>
    </row>
    <row r="55" spans="2:18" s="1928" customFormat="1">
      <c r="B55" s="2440"/>
      <c r="C55" s="2440"/>
      <c r="D55" s="2440"/>
      <c r="E55" s="2440"/>
      <c r="F55" s="2440"/>
      <c r="G55" s="2441"/>
      <c r="H55" s="2440"/>
      <c r="I55" s="2441"/>
      <c r="J55" s="2440"/>
      <c r="K55" s="2440"/>
      <c r="L55" s="2441"/>
      <c r="M55" s="2440"/>
      <c r="N55" s="2440"/>
      <c r="O55" s="2441"/>
      <c r="P55" s="2440"/>
      <c r="Q55" s="2440"/>
      <c r="R55" s="2442"/>
    </row>
    <row r="56" spans="2:18" s="1928" customFormat="1">
      <c r="B56" s="2440"/>
      <c r="C56" s="2440"/>
      <c r="D56" s="2440"/>
      <c r="E56" s="2440"/>
      <c r="F56" s="2440"/>
      <c r="G56" s="2441"/>
      <c r="H56" s="2440"/>
      <c r="I56" s="2441"/>
      <c r="J56" s="2440"/>
      <c r="K56" s="2440"/>
      <c r="L56" s="2441"/>
      <c r="M56" s="2440"/>
      <c r="N56" s="2440"/>
      <c r="O56" s="2441"/>
      <c r="P56" s="2440"/>
      <c r="Q56" s="2440"/>
      <c r="R56" s="2442"/>
    </row>
    <row r="57" spans="2:18" s="1928" customFormat="1">
      <c r="B57" s="2440"/>
      <c r="C57" s="2440"/>
      <c r="D57" s="2440"/>
      <c r="E57" s="2440"/>
      <c r="F57" s="2440"/>
      <c r="G57" s="2441"/>
      <c r="H57" s="2440"/>
      <c r="I57" s="2441"/>
      <c r="J57" s="2440"/>
      <c r="K57" s="2440"/>
      <c r="L57" s="2441"/>
      <c r="M57" s="2440"/>
      <c r="N57" s="2440"/>
      <c r="O57" s="2441"/>
      <c r="P57" s="2440"/>
      <c r="Q57" s="2440"/>
      <c r="R57" s="2442"/>
    </row>
    <row r="58" spans="2:18" s="1928" customFormat="1">
      <c r="B58" s="2440"/>
      <c r="C58" s="2440"/>
      <c r="D58" s="2440"/>
      <c r="E58" s="2440"/>
      <c r="F58" s="2440"/>
      <c r="G58" s="2441"/>
      <c r="H58" s="2440"/>
      <c r="I58" s="2441"/>
      <c r="J58" s="2440"/>
      <c r="K58" s="2440"/>
      <c r="L58" s="2441"/>
      <c r="M58" s="2440"/>
      <c r="N58" s="2440"/>
      <c r="O58" s="2441"/>
      <c r="P58" s="2440"/>
      <c r="Q58" s="2440"/>
      <c r="R58" s="2442"/>
    </row>
    <row r="59" spans="2:18" s="1928" customFormat="1">
      <c r="B59" s="2440"/>
      <c r="C59" s="2440"/>
      <c r="D59" s="2440"/>
      <c r="E59" s="2440"/>
      <c r="F59" s="2440"/>
      <c r="G59" s="2441"/>
      <c r="H59" s="2440"/>
      <c r="I59" s="2441"/>
      <c r="J59" s="2440"/>
      <c r="K59" s="2440"/>
      <c r="L59" s="2441"/>
      <c r="M59" s="2440"/>
      <c r="N59" s="2440"/>
      <c r="O59" s="2441"/>
      <c r="P59" s="2440"/>
      <c r="Q59" s="2440"/>
      <c r="R59" s="2442"/>
    </row>
    <row r="60" spans="2:18" s="1928" customFormat="1">
      <c r="B60" s="2440"/>
      <c r="C60" s="2440"/>
      <c r="D60" s="2440"/>
      <c r="E60" s="2440"/>
      <c r="F60" s="2440"/>
      <c r="G60" s="2441"/>
      <c r="H60" s="2440"/>
      <c r="I60" s="2441"/>
      <c r="J60" s="2440"/>
      <c r="K60" s="2440"/>
      <c r="L60" s="2441"/>
      <c r="M60" s="2440"/>
      <c r="N60" s="2440"/>
      <c r="O60" s="2441"/>
      <c r="P60" s="2440"/>
      <c r="Q60" s="2440"/>
      <c r="R60" s="2442"/>
    </row>
    <row r="61" spans="2:18" s="1928" customFormat="1">
      <c r="B61" s="2440"/>
      <c r="C61" s="2440"/>
      <c r="D61" s="2440"/>
      <c r="E61" s="2440"/>
      <c r="F61" s="2440"/>
      <c r="G61" s="2441"/>
      <c r="H61" s="2440"/>
      <c r="I61" s="2441"/>
      <c r="J61" s="2440"/>
      <c r="K61" s="2440"/>
      <c r="L61" s="2441"/>
      <c r="M61" s="2440"/>
      <c r="N61" s="2440"/>
      <c r="O61" s="2441"/>
      <c r="P61" s="2440"/>
      <c r="Q61" s="2440"/>
      <c r="R61" s="2442"/>
    </row>
    <row r="62" spans="2:18" s="1928" customFormat="1">
      <c r="B62" s="2440"/>
      <c r="C62" s="2440"/>
      <c r="D62" s="2440"/>
      <c r="E62" s="2440"/>
      <c r="F62" s="2440"/>
      <c r="G62" s="2441"/>
      <c r="H62" s="2440"/>
      <c r="I62" s="2441"/>
      <c r="J62" s="2440"/>
      <c r="K62" s="2440"/>
      <c r="L62" s="2441"/>
      <c r="M62" s="2440"/>
      <c r="N62" s="2440"/>
      <c r="O62" s="2441"/>
      <c r="P62" s="2440"/>
      <c r="Q62" s="2440"/>
      <c r="R62" s="2442"/>
    </row>
    <row r="63" spans="2:18" s="1928" customFormat="1">
      <c r="B63" s="2440"/>
      <c r="C63" s="2440"/>
      <c r="D63" s="2440"/>
      <c r="E63" s="2440"/>
      <c r="F63" s="2440"/>
      <c r="G63" s="2441"/>
      <c r="H63" s="2440"/>
      <c r="I63" s="2441"/>
      <c r="J63" s="2440"/>
      <c r="K63" s="2440"/>
      <c r="L63" s="2441"/>
      <c r="M63" s="2440"/>
      <c r="N63" s="2440"/>
      <c r="O63" s="2441"/>
      <c r="P63" s="2440"/>
      <c r="Q63" s="2440"/>
      <c r="R63" s="2442"/>
    </row>
    <row r="64" spans="2:18" s="1928" customFormat="1">
      <c r="B64" s="2440"/>
      <c r="C64" s="2440"/>
      <c r="D64" s="2440"/>
      <c r="E64" s="2440"/>
      <c r="F64" s="2440"/>
      <c r="G64" s="2441"/>
      <c r="H64" s="2440"/>
      <c r="I64" s="2441"/>
      <c r="J64" s="2440"/>
      <c r="K64" s="2440"/>
      <c r="L64" s="2441"/>
      <c r="M64" s="2440"/>
      <c r="N64" s="2440"/>
      <c r="O64" s="2441"/>
      <c r="P64" s="2440"/>
      <c r="Q64" s="2440"/>
      <c r="R64" s="2442"/>
    </row>
    <row r="65" spans="2:18" s="1928" customFormat="1">
      <c r="B65" s="2440"/>
      <c r="C65" s="2440"/>
      <c r="D65" s="2440"/>
      <c r="E65" s="2440"/>
      <c r="F65" s="2440"/>
      <c r="G65" s="2441"/>
      <c r="H65" s="2440"/>
      <c r="I65" s="2441"/>
      <c r="J65" s="2440"/>
      <c r="K65" s="2440"/>
      <c r="L65" s="2441"/>
      <c r="M65" s="2440"/>
      <c r="N65" s="2440"/>
      <c r="O65" s="2441"/>
      <c r="P65" s="2440"/>
      <c r="Q65" s="2440"/>
      <c r="R65" s="2442"/>
    </row>
    <row r="66" spans="2:18" s="1928" customFormat="1">
      <c r="B66" s="2440"/>
      <c r="C66" s="2440"/>
      <c r="D66" s="2440"/>
      <c r="E66" s="2440"/>
      <c r="F66" s="2440"/>
      <c r="G66" s="2441"/>
      <c r="H66" s="2440"/>
      <c r="I66" s="2441"/>
      <c r="J66" s="2440"/>
      <c r="K66" s="2440"/>
      <c r="L66" s="2441"/>
      <c r="M66" s="2440"/>
      <c r="N66" s="2440"/>
      <c r="O66" s="2441"/>
      <c r="P66" s="2440"/>
      <c r="Q66" s="2440"/>
      <c r="R66" s="2442"/>
    </row>
    <row r="67" spans="2:18" s="1928" customFormat="1">
      <c r="B67" s="2440"/>
      <c r="C67" s="2440"/>
      <c r="D67" s="2440"/>
      <c r="E67" s="2440"/>
      <c r="F67" s="2440"/>
      <c r="G67" s="2441"/>
      <c r="H67" s="2440"/>
      <c r="I67" s="2441"/>
      <c r="J67" s="2440"/>
      <c r="K67" s="2440"/>
      <c r="L67" s="2441"/>
      <c r="M67" s="2440"/>
      <c r="N67" s="2440"/>
      <c r="O67" s="2441"/>
      <c r="P67" s="2440"/>
      <c r="Q67" s="2440"/>
      <c r="R67" s="2442"/>
    </row>
    <row r="68" spans="2:18" s="1928" customFormat="1">
      <c r="B68" s="2440"/>
      <c r="C68" s="2440"/>
      <c r="D68" s="2440"/>
      <c r="E68" s="2440"/>
      <c r="F68" s="2440"/>
      <c r="G68" s="2441"/>
      <c r="H68" s="2440"/>
      <c r="I68" s="2441"/>
      <c r="J68" s="2440"/>
      <c r="K68" s="2440"/>
      <c r="L68" s="2441"/>
      <c r="M68" s="2440"/>
      <c r="N68" s="2440"/>
      <c r="O68" s="2441"/>
      <c r="P68" s="2440"/>
      <c r="Q68" s="2440"/>
      <c r="R68" s="2442"/>
    </row>
    <row r="69" spans="2:18" s="1928" customFormat="1">
      <c r="B69" s="2440"/>
      <c r="C69" s="2440"/>
      <c r="D69" s="2440"/>
      <c r="E69" s="2440"/>
      <c r="F69" s="2440"/>
      <c r="G69" s="2441"/>
      <c r="H69" s="2440"/>
      <c r="I69" s="2441"/>
      <c r="J69" s="2440"/>
      <c r="K69" s="2440"/>
      <c r="L69" s="2441"/>
      <c r="M69" s="2440"/>
      <c r="N69" s="2440"/>
      <c r="O69" s="2441"/>
      <c r="P69" s="2440"/>
      <c r="Q69" s="2440"/>
      <c r="R69" s="2442"/>
    </row>
    <row r="70" spans="2:18" s="1928" customFormat="1">
      <c r="B70" s="2440"/>
      <c r="C70" s="2440"/>
      <c r="D70" s="2440"/>
      <c r="E70" s="2440"/>
      <c r="F70" s="2440"/>
      <c r="G70" s="2441"/>
      <c r="H70" s="2440"/>
      <c r="I70" s="2441"/>
      <c r="J70" s="2440"/>
      <c r="K70" s="2440"/>
      <c r="L70" s="2441"/>
      <c r="M70" s="2440"/>
      <c r="N70" s="2440"/>
      <c r="O70" s="2441"/>
      <c r="P70" s="2440"/>
      <c r="Q70" s="2440"/>
      <c r="R70" s="2442"/>
    </row>
    <row r="71" spans="2:18" s="1928" customFormat="1">
      <c r="B71" s="2440"/>
      <c r="C71" s="2440"/>
      <c r="D71" s="2440"/>
      <c r="E71" s="2440"/>
      <c r="F71" s="2440"/>
      <c r="G71" s="2441"/>
      <c r="H71" s="2440"/>
      <c r="I71" s="2441"/>
      <c r="J71" s="2440"/>
      <c r="K71" s="2440"/>
      <c r="L71" s="2441"/>
      <c r="M71" s="2440"/>
      <c r="N71" s="2440"/>
      <c r="O71" s="2441"/>
      <c r="P71" s="2440"/>
      <c r="Q71" s="2440"/>
      <c r="R71" s="2442"/>
    </row>
    <row r="72" spans="2:18" s="1928" customFormat="1">
      <c r="B72" s="2440"/>
      <c r="C72" s="2440"/>
      <c r="D72" s="2440"/>
      <c r="E72" s="2440"/>
      <c r="F72" s="2440"/>
      <c r="G72" s="2441"/>
      <c r="H72" s="2440"/>
      <c r="I72" s="2441"/>
      <c r="J72" s="2440"/>
      <c r="K72" s="2440"/>
      <c r="L72" s="2441"/>
      <c r="M72" s="2440"/>
      <c r="N72" s="2440"/>
      <c r="O72" s="2441"/>
      <c r="P72" s="2440"/>
      <c r="Q72" s="2440"/>
      <c r="R72" s="2442"/>
    </row>
    <row r="73" spans="2:18" s="1928" customFormat="1">
      <c r="B73" s="2440"/>
      <c r="C73" s="2440"/>
      <c r="D73" s="2440"/>
      <c r="E73" s="2440"/>
      <c r="F73" s="2440"/>
      <c r="G73" s="2441"/>
      <c r="H73" s="2440"/>
      <c r="I73" s="2441"/>
      <c r="J73" s="2440"/>
      <c r="K73" s="2440"/>
      <c r="L73" s="2441"/>
      <c r="M73" s="2440"/>
      <c r="N73" s="2440"/>
      <c r="O73" s="2441"/>
      <c r="P73" s="2440"/>
      <c r="Q73" s="2440"/>
      <c r="R73" s="2442"/>
    </row>
    <row r="74" spans="2:18" s="1928" customFormat="1">
      <c r="B74" s="2440"/>
      <c r="C74" s="2440"/>
      <c r="D74" s="2440"/>
      <c r="E74" s="2440"/>
      <c r="F74" s="2440"/>
      <c r="G74" s="2441"/>
      <c r="H74" s="2440"/>
      <c r="I74" s="2441"/>
      <c r="J74" s="2440"/>
      <c r="K74" s="2440"/>
      <c r="L74" s="2441"/>
      <c r="M74" s="2440"/>
      <c r="N74" s="2440"/>
      <c r="O74" s="2441"/>
      <c r="P74" s="2440"/>
      <c r="Q74" s="2440"/>
      <c r="R74" s="2442"/>
    </row>
    <row r="75" spans="2:18" s="1928" customFormat="1">
      <c r="B75" s="2440"/>
      <c r="C75" s="2440"/>
      <c r="D75" s="2440"/>
      <c r="E75" s="2440"/>
      <c r="F75" s="2440"/>
      <c r="G75" s="2441"/>
      <c r="H75" s="2440"/>
      <c r="I75" s="2441"/>
      <c r="J75" s="2440"/>
      <c r="K75" s="2440"/>
      <c r="L75" s="2441"/>
      <c r="M75" s="2440"/>
      <c r="N75" s="2440"/>
      <c r="O75" s="2441"/>
      <c r="P75" s="2440"/>
      <c r="Q75" s="2440"/>
      <c r="R75" s="2442"/>
    </row>
    <row r="76" spans="2:18" s="1928" customFormat="1">
      <c r="B76" s="2440"/>
      <c r="C76" s="2440"/>
      <c r="D76" s="2440"/>
      <c r="E76" s="2440"/>
      <c r="F76" s="2440"/>
      <c r="G76" s="2441"/>
      <c r="H76" s="2440"/>
      <c r="I76" s="2441"/>
      <c r="J76" s="2440"/>
      <c r="K76" s="2440"/>
      <c r="L76" s="2441"/>
      <c r="M76" s="2440"/>
      <c r="N76" s="2440"/>
      <c r="O76" s="2441"/>
      <c r="P76" s="2440"/>
      <c r="Q76" s="2440"/>
      <c r="R76" s="2442"/>
    </row>
    <row r="77" spans="2:18" s="1928" customFormat="1">
      <c r="B77" s="2440"/>
      <c r="C77" s="2440"/>
      <c r="D77" s="2440"/>
      <c r="E77" s="2440"/>
      <c r="F77" s="2440"/>
      <c r="G77" s="2441"/>
      <c r="H77" s="2440"/>
      <c r="I77" s="2441"/>
      <c r="J77" s="2440"/>
      <c r="K77" s="2440"/>
      <c r="L77" s="2441"/>
      <c r="M77" s="2440"/>
      <c r="N77" s="2440"/>
      <c r="O77" s="2441"/>
      <c r="P77" s="2440"/>
      <c r="Q77" s="2440"/>
      <c r="R77" s="2442"/>
    </row>
    <row r="78" spans="2:18" s="1928" customFormat="1">
      <c r="B78" s="2440"/>
      <c r="C78" s="2440"/>
      <c r="D78" s="2440"/>
      <c r="E78" s="2440"/>
      <c r="F78" s="2440"/>
      <c r="G78" s="2441"/>
      <c r="H78" s="2440"/>
      <c r="I78" s="2441"/>
      <c r="J78" s="2440"/>
      <c r="K78" s="2440"/>
      <c r="L78" s="2441"/>
      <c r="M78" s="2440"/>
      <c r="N78" s="2440"/>
      <c r="O78" s="2441"/>
      <c r="P78" s="2440"/>
      <c r="Q78" s="2440"/>
      <c r="R78" s="2442"/>
    </row>
    <row r="79" spans="2:18" s="1928" customFormat="1">
      <c r="B79" s="2440"/>
      <c r="C79" s="2440"/>
      <c r="D79" s="2440"/>
      <c r="E79" s="2440"/>
      <c r="F79" s="2440"/>
      <c r="G79" s="2441"/>
      <c r="H79" s="2440"/>
      <c r="I79" s="2441"/>
      <c r="J79" s="2440"/>
      <c r="K79" s="2440"/>
      <c r="L79" s="2441"/>
      <c r="M79" s="2440"/>
      <c r="N79" s="2440"/>
      <c r="O79" s="2441"/>
      <c r="P79" s="2440"/>
      <c r="Q79" s="2440"/>
      <c r="R79" s="2442"/>
    </row>
    <row r="80" spans="2:18" s="1928" customFormat="1">
      <c r="B80" s="2440"/>
      <c r="C80" s="2440"/>
      <c r="D80" s="2440"/>
      <c r="E80" s="2440"/>
      <c r="F80" s="2440"/>
      <c r="G80" s="2441"/>
      <c r="H80" s="2440"/>
      <c r="I80" s="2441"/>
      <c r="J80" s="2440"/>
      <c r="K80" s="2440"/>
      <c r="L80" s="2441"/>
      <c r="M80" s="2440"/>
      <c r="N80" s="2440"/>
      <c r="O80" s="2441"/>
      <c r="P80" s="2440"/>
      <c r="Q80" s="2440"/>
      <c r="R80" s="2442"/>
    </row>
    <row r="81" spans="2:18" s="1928" customFormat="1">
      <c r="B81" s="2440"/>
      <c r="C81" s="2440"/>
      <c r="D81" s="2440"/>
      <c r="E81" s="2440"/>
      <c r="F81" s="2440"/>
      <c r="G81" s="2441"/>
      <c r="H81" s="2440"/>
      <c r="I81" s="2441"/>
      <c r="J81" s="2440"/>
      <c r="K81" s="2440"/>
      <c r="L81" s="2441"/>
      <c r="M81" s="2440"/>
      <c r="N81" s="2440"/>
      <c r="O81" s="2441"/>
      <c r="P81" s="2440"/>
      <c r="Q81" s="2440"/>
      <c r="R81" s="2442"/>
    </row>
    <row r="82" spans="2:18" s="1928" customFormat="1">
      <c r="B82" s="2440"/>
      <c r="C82" s="2440"/>
      <c r="D82" s="2440"/>
      <c r="E82" s="2440"/>
      <c r="F82" s="2440"/>
      <c r="G82" s="2441"/>
      <c r="H82" s="2440"/>
      <c r="I82" s="2441"/>
      <c r="J82" s="2440"/>
      <c r="K82" s="2440"/>
      <c r="L82" s="2441"/>
      <c r="M82" s="2440"/>
      <c r="N82" s="2440"/>
      <c r="O82" s="2441"/>
      <c r="P82" s="2440"/>
      <c r="Q82" s="2440"/>
      <c r="R82" s="2442"/>
    </row>
    <row r="83" spans="2:18" s="1928" customFormat="1">
      <c r="B83" s="2440"/>
      <c r="C83" s="2440"/>
      <c r="D83" s="2440"/>
      <c r="E83" s="2440"/>
      <c r="F83" s="2440"/>
      <c r="G83" s="2441"/>
      <c r="H83" s="2440"/>
      <c r="I83" s="2441"/>
      <c r="J83" s="2440"/>
      <c r="K83" s="2440"/>
      <c r="L83" s="2441"/>
      <c r="M83" s="2440"/>
      <c r="N83" s="2440"/>
      <c r="O83" s="2441"/>
      <c r="P83" s="2440"/>
      <c r="Q83" s="2440"/>
      <c r="R83" s="2442"/>
    </row>
    <row r="84" spans="2:18" s="1928" customFormat="1">
      <c r="B84" s="2440"/>
      <c r="C84" s="2440"/>
      <c r="D84" s="2440"/>
      <c r="E84" s="2440"/>
      <c r="F84" s="2440"/>
      <c r="G84" s="2441"/>
      <c r="H84" s="2440"/>
      <c r="I84" s="2441"/>
      <c r="J84" s="2440"/>
      <c r="K84" s="2440"/>
      <c r="L84" s="2441"/>
      <c r="M84" s="2440"/>
      <c r="N84" s="2440"/>
      <c r="O84" s="2441"/>
      <c r="P84" s="2440"/>
      <c r="Q84" s="2440"/>
      <c r="R84" s="2442"/>
    </row>
    <row r="85" spans="2:18" s="1928" customFormat="1">
      <c r="B85" s="2440"/>
      <c r="C85" s="2440"/>
      <c r="D85" s="2440"/>
      <c r="E85" s="2440"/>
      <c r="F85" s="2440"/>
      <c r="G85" s="2441"/>
      <c r="H85" s="2440"/>
      <c r="I85" s="2441"/>
      <c r="J85" s="2440"/>
      <c r="K85" s="2440"/>
      <c r="L85" s="2441"/>
      <c r="M85" s="2440"/>
      <c r="N85" s="2440"/>
      <c r="O85" s="2441"/>
      <c r="P85" s="2440"/>
      <c r="Q85" s="2440"/>
      <c r="R85" s="2442"/>
    </row>
    <row r="86" spans="2:18" s="1928" customFormat="1">
      <c r="B86" s="2440"/>
      <c r="C86" s="2440"/>
      <c r="D86" s="2440"/>
      <c r="E86" s="2440"/>
      <c r="F86" s="2440"/>
      <c r="G86" s="2441"/>
      <c r="H86" s="2440"/>
      <c r="I86" s="2441"/>
      <c r="J86" s="2440"/>
      <c r="K86" s="2440"/>
      <c r="L86" s="2441"/>
      <c r="M86" s="2440"/>
      <c r="N86" s="2440"/>
      <c r="O86" s="2441"/>
      <c r="P86" s="2440"/>
      <c r="Q86" s="2440"/>
      <c r="R86" s="2442"/>
    </row>
    <row r="87" spans="2:18" s="1928" customFormat="1">
      <c r="B87" s="2440"/>
      <c r="C87" s="2440"/>
      <c r="D87" s="2440"/>
      <c r="E87" s="2440"/>
      <c r="F87" s="2440"/>
      <c r="G87" s="2441"/>
      <c r="H87" s="2440"/>
      <c r="I87" s="2441"/>
      <c r="J87" s="2440"/>
      <c r="K87" s="2440"/>
      <c r="L87" s="2441"/>
      <c r="M87" s="2440"/>
      <c r="N87" s="2440"/>
      <c r="O87" s="2441"/>
      <c r="P87" s="2440"/>
      <c r="Q87" s="2440"/>
      <c r="R87" s="2442"/>
    </row>
    <row r="88" spans="2:18" s="1928" customFormat="1">
      <c r="B88" s="2440"/>
      <c r="C88" s="2440"/>
      <c r="D88" s="2440"/>
      <c r="E88" s="2440"/>
      <c r="F88" s="2440"/>
      <c r="G88" s="2441"/>
      <c r="H88" s="2440"/>
      <c r="I88" s="2441"/>
      <c r="J88" s="2440"/>
      <c r="K88" s="2440"/>
      <c r="L88" s="2441"/>
      <c r="M88" s="2440"/>
      <c r="N88" s="2440"/>
      <c r="O88" s="2441"/>
      <c r="P88" s="2440"/>
      <c r="Q88" s="2440"/>
      <c r="R88" s="2442"/>
    </row>
    <row r="89" spans="2:18" s="1928" customFormat="1">
      <c r="B89" s="2440"/>
      <c r="C89" s="2440"/>
      <c r="D89" s="2440"/>
      <c r="E89" s="2440"/>
      <c r="F89" s="2440"/>
      <c r="G89" s="2441"/>
      <c r="H89" s="2440"/>
      <c r="I89" s="2441"/>
      <c r="J89" s="2440"/>
      <c r="K89" s="2440"/>
      <c r="L89" s="2441"/>
      <c r="M89" s="2440"/>
      <c r="N89" s="2440"/>
      <c r="O89" s="2441"/>
      <c r="P89" s="2440"/>
      <c r="Q89" s="2440"/>
      <c r="R89" s="2442"/>
    </row>
    <row r="90" spans="2:18" s="1928" customFormat="1">
      <c r="B90" s="2440"/>
      <c r="C90" s="2440"/>
      <c r="D90" s="2440"/>
      <c r="E90" s="2440"/>
      <c r="F90" s="2440"/>
      <c r="G90" s="2441"/>
      <c r="H90" s="2440"/>
      <c r="I90" s="2441"/>
      <c r="J90" s="2440"/>
      <c r="K90" s="2440"/>
      <c r="L90" s="2441"/>
      <c r="M90" s="2440"/>
      <c r="N90" s="2440"/>
      <c r="O90" s="2441"/>
      <c r="P90" s="2440"/>
      <c r="Q90" s="2440"/>
      <c r="R90" s="2442"/>
    </row>
    <row r="91" spans="2:18" s="1928" customFormat="1">
      <c r="B91" s="2440"/>
      <c r="C91" s="2440"/>
      <c r="D91" s="2440"/>
      <c r="E91" s="2440"/>
      <c r="F91" s="2440"/>
      <c r="G91" s="2441"/>
      <c r="H91" s="2440"/>
      <c r="I91" s="2441"/>
      <c r="J91" s="2440"/>
      <c r="K91" s="2440"/>
      <c r="L91" s="2441"/>
      <c r="M91" s="2440"/>
      <c r="N91" s="2440"/>
      <c r="O91" s="2441"/>
      <c r="P91" s="2440"/>
      <c r="Q91" s="2440"/>
      <c r="R91" s="2442"/>
    </row>
    <row r="92" spans="2:18" s="1928" customFormat="1">
      <c r="B92" s="2440"/>
      <c r="C92" s="2440"/>
      <c r="D92" s="2440"/>
      <c r="E92" s="2440"/>
      <c r="F92" s="2440"/>
      <c r="G92" s="2441"/>
      <c r="H92" s="2440"/>
      <c r="I92" s="2441"/>
      <c r="J92" s="2440"/>
      <c r="K92" s="2440"/>
      <c r="L92" s="2441"/>
      <c r="M92" s="2440"/>
      <c r="N92" s="2440"/>
      <c r="O92" s="2441"/>
      <c r="P92" s="2440"/>
      <c r="Q92" s="2440"/>
      <c r="R92" s="2442"/>
    </row>
    <row r="93" spans="2:18" s="1928" customFormat="1">
      <c r="B93" s="2440"/>
      <c r="C93" s="2440"/>
      <c r="D93" s="2440"/>
      <c r="E93" s="2440"/>
      <c r="F93" s="2440"/>
      <c r="G93" s="2441"/>
      <c r="H93" s="2440"/>
      <c r="I93" s="2441"/>
      <c r="J93" s="2440"/>
      <c r="K93" s="2440"/>
      <c r="L93" s="2441"/>
      <c r="M93" s="2440"/>
      <c r="N93" s="2440"/>
      <c r="O93" s="2441"/>
      <c r="P93" s="2440"/>
      <c r="Q93" s="2440"/>
      <c r="R93" s="2442"/>
    </row>
    <row r="94" spans="2:18" s="1928" customFormat="1">
      <c r="B94" s="2440"/>
      <c r="C94" s="2440"/>
      <c r="D94" s="2440"/>
      <c r="E94" s="2440"/>
      <c r="F94" s="2440"/>
      <c r="G94" s="2441"/>
      <c r="H94" s="2440"/>
      <c r="I94" s="2441"/>
      <c r="J94" s="2440"/>
      <c r="K94" s="2440"/>
      <c r="L94" s="2441"/>
      <c r="M94" s="2440"/>
      <c r="N94" s="2440"/>
      <c r="O94" s="2441"/>
      <c r="P94" s="2440"/>
      <c r="Q94" s="2440"/>
      <c r="R94" s="2442"/>
    </row>
    <row r="95" spans="2:18" s="1928" customFormat="1">
      <c r="B95" s="2440"/>
      <c r="C95" s="2440"/>
      <c r="D95" s="2440"/>
      <c r="E95" s="2440"/>
      <c r="F95" s="2440"/>
      <c r="G95" s="2441"/>
      <c r="H95" s="2440"/>
      <c r="I95" s="2441"/>
      <c r="J95" s="2440"/>
      <c r="K95" s="2440"/>
      <c r="L95" s="2441"/>
      <c r="M95" s="2440"/>
      <c r="N95" s="2440"/>
      <c r="O95" s="2441"/>
      <c r="P95" s="2440"/>
      <c r="Q95" s="2440"/>
      <c r="R95" s="2442"/>
    </row>
    <row r="96" spans="2:18" s="1928" customFormat="1">
      <c r="B96" s="2440"/>
      <c r="C96" s="2440"/>
      <c r="D96" s="2440"/>
      <c r="E96" s="2440"/>
      <c r="F96" s="2440"/>
      <c r="G96" s="2441"/>
      <c r="H96" s="2440"/>
      <c r="I96" s="2441"/>
      <c r="J96" s="2440"/>
      <c r="K96" s="2440"/>
      <c r="L96" s="2441"/>
      <c r="M96" s="2440"/>
      <c r="N96" s="2440"/>
      <c r="O96" s="2441"/>
      <c r="P96" s="2440"/>
      <c r="Q96" s="2440"/>
      <c r="R96" s="2442"/>
    </row>
    <row r="97" spans="2:18" s="1928" customFormat="1">
      <c r="B97" s="2440"/>
      <c r="C97" s="2440"/>
      <c r="D97" s="2440"/>
      <c r="E97" s="2440"/>
      <c r="F97" s="2440"/>
      <c r="G97" s="2441"/>
      <c r="H97" s="2440"/>
      <c r="I97" s="2441"/>
      <c r="J97" s="2440"/>
      <c r="K97" s="2440"/>
      <c r="L97" s="2441"/>
      <c r="M97" s="2440"/>
      <c r="N97" s="2440"/>
      <c r="O97" s="2441"/>
      <c r="P97" s="2440"/>
      <c r="Q97" s="2440"/>
      <c r="R97" s="2442"/>
    </row>
    <row r="98" spans="2:18" s="1928" customFormat="1">
      <c r="B98" s="2440"/>
      <c r="C98" s="2440"/>
      <c r="D98" s="2440"/>
      <c r="E98" s="2440"/>
      <c r="F98" s="2440"/>
      <c r="G98" s="2441"/>
      <c r="H98" s="2440"/>
      <c r="I98" s="2441"/>
      <c r="J98" s="2440"/>
      <c r="K98" s="2440"/>
      <c r="L98" s="2441"/>
      <c r="M98" s="2440"/>
      <c r="N98" s="2440"/>
      <c r="O98" s="2441"/>
      <c r="P98" s="2440"/>
      <c r="Q98" s="2440"/>
      <c r="R98" s="2442"/>
    </row>
    <row r="99" spans="2:18" s="1928" customFormat="1">
      <c r="B99" s="2440"/>
      <c r="C99" s="2440"/>
      <c r="D99" s="2440"/>
      <c r="E99" s="2440"/>
      <c r="F99" s="2440"/>
      <c r="G99" s="2441"/>
      <c r="H99" s="2440"/>
      <c r="I99" s="2441"/>
      <c r="J99" s="2440"/>
      <c r="K99" s="2440"/>
      <c r="L99" s="2441"/>
      <c r="M99" s="2440"/>
      <c r="N99" s="2440"/>
      <c r="O99" s="2441"/>
      <c r="P99" s="2440"/>
      <c r="Q99" s="2440"/>
      <c r="R99" s="2442"/>
    </row>
    <row r="100" spans="2:18" s="1928" customFormat="1">
      <c r="B100" s="2440"/>
      <c r="C100" s="2440"/>
      <c r="D100" s="2440"/>
      <c r="E100" s="2440"/>
      <c r="F100" s="2440"/>
      <c r="G100" s="2441"/>
      <c r="H100" s="2440"/>
      <c r="I100" s="2441"/>
      <c r="J100" s="2440"/>
      <c r="K100" s="2440"/>
      <c r="L100" s="2441"/>
      <c r="M100" s="2440"/>
      <c r="N100" s="2440"/>
      <c r="O100" s="2441"/>
      <c r="P100" s="2440"/>
      <c r="Q100" s="2440"/>
      <c r="R100" s="2442"/>
    </row>
    <row r="101" spans="2:18" s="1928" customFormat="1">
      <c r="B101" s="2440"/>
      <c r="C101" s="2440"/>
      <c r="D101" s="2440"/>
      <c r="E101" s="2440"/>
      <c r="F101" s="2440"/>
      <c r="G101" s="2441"/>
      <c r="H101" s="2440"/>
      <c r="I101" s="2441"/>
      <c r="J101" s="2440"/>
      <c r="K101" s="2440"/>
      <c r="L101" s="2441"/>
      <c r="M101" s="2440"/>
      <c r="N101" s="2440"/>
      <c r="O101" s="2441"/>
      <c r="P101" s="2440"/>
      <c r="Q101" s="2440"/>
      <c r="R101" s="2442"/>
    </row>
    <row r="102" spans="2:18" s="1928" customFormat="1">
      <c r="B102" s="2440"/>
      <c r="C102" s="2440"/>
      <c r="D102" s="2440"/>
      <c r="E102" s="2440"/>
      <c r="F102" s="2440"/>
      <c r="G102" s="2441"/>
      <c r="H102" s="2440"/>
      <c r="I102" s="2441"/>
      <c r="J102" s="2440"/>
      <c r="K102" s="2440"/>
      <c r="L102" s="2441"/>
      <c r="M102" s="2440"/>
      <c r="N102" s="2440"/>
      <c r="O102" s="2441"/>
      <c r="P102" s="2440"/>
      <c r="Q102" s="2440"/>
      <c r="R102" s="2442"/>
    </row>
    <row r="103" spans="2:18" s="1928" customFormat="1">
      <c r="B103" s="2440"/>
      <c r="C103" s="2440"/>
      <c r="D103" s="2440"/>
      <c r="E103" s="2440"/>
      <c r="F103" s="2440"/>
      <c r="G103" s="2441"/>
      <c r="H103" s="2440"/>
      <c r="I103" s="2441"/>
      <c r="J103" s="2440"/>
      <c r="K103" s="2440"/>
      <c r="L103" s="2441"/>
      <c r="M103" s="2440"/>
      <c r="N103" s="2440"/>
      <c r="O103" s="2441"/>
      <c r="P103" s="2440"/>
      <c r="Q103" s="2440"/>
      <c r="R103" s="2442"/>
    </row>
    <row r="104" spans="2:18" s="1928" customFormat="1">
      <c r="B104" s="2440"/>
      <c r="C104" s="2440"/>
      <c r="D104" s="2440"/>
      <c r="E104" s="2440"/>
      <c r="F104" s="2440"/>
      <c r="G104" s="2441"/>
      <c r="H104" s="2440"/>
      <c r="I104" s="2441"/>
      <c r="J104" s="2440"/>
      <c r="K104" s="2440"/>
      <c r="L104" s="2441"/>
      <c r="M104" s="2440"/>
      <c r="N104" s="2440"/>
      <c r="O104" s="2441"/>
      <c r="P104" s="2440"/>
      <c r="Q104" s="2440"/>
      <c r="R104" s="2442"/>
    </row>
    <row r="105" spans="2:18" s="1928" customFormat="1">
      <c r="B105" s="2440"/>
      <c r="C105" s="2440"/>
      <c r="D105" s="2440"/>
      <c r="E105" s="2440"/>
      <c r="F105" s="2440"/>
      <c r="G105" s="2441"/>
      <c r="H105" s="2440"/>
      <c r="I105" s="2441"/>
      <c r="J105" s="2440"/>
      <c r="K105" s="2440"/>
      <c r="L105" s="2441"/>
      <c r="M105" s="2440"/>
      <c r="N105" s="2440"/>
      <c r="O105" s="2441"/>
      <c r="P105" s="2440"/>
      <c r="Q105" s="2440"/>
      <c r="R105" s="2442"/>
    </row>
    <row r="106" spans="2:18" s="1928" customFormat="1">
      <c r="B106" s="2440"/>
      <c r="C106" s="2440"/>
      <c r="D106" s="2440"/>
      <c r="E106" s="2440"/>
      <c r="F106" s="2440"/>
      <c r="G106" s="2441"/>
      <c r="H106" s="2440"/>
      <c r="I106" s="2441"/>
      <c r="J106" s="2440"/>
      <c r="K106" s="2440"/>
      <c r="L106" s="2441"/>
      <c r="M106" s="2440"/>
      <c r="N106" s="2440"/>
      <c r="O106" s="2441"/>
      <c r="P106" s="2440"/>
      <c r="Q106" s="2440"/>
      <c r="R106" s="2442"/>
    </row>
    <row r="107" spans="2:18" s="1928" customFormat="1">
      <c r="B107" s="2440"/>
      <c r="C107" s="2440"/>
      <c r="D107" s="2440"/>
      <c r="E107" s="2440"/>
      <c r="F107" s="2440"/>
      <c r="G107" s="2441"/>
      <c r="H107" s="2440"/>
      <c r="I107" s="2441"/>
      <c r="J107" s="2440"/>
      <c r="K107" s="2440"/>
      <c r="L107" s="2441"/>
      <c r="M107" s="2440"/>
      <c r="N107" s="2440"/>
      <c r="O107" s="2441"/>
      <c r="P107" s="2440"/>
      <c r="Q107" s="2440"/>
      <c r="R107" s="2442"/>
    </row>
    <row r="108" spans="2:18" s="1928" customFormat="1">
      <c r="B108" s="2440"/>
      <c r="C108" s="2440"/>
      <c r="D108" s="2440"/>
      <c r="E108" s="2440"/>
      <c r="F108" s="2440"/>
      <c r="G108" s="2441"/>
      <c r="H108" s="2440"/>
      <c r="I108" s="2441"/>
      <c r="J108" s="2440"/>
      <c r="K108" s="2440"/>
      <c r="L108" s="2441"/>
      <c r="M108" s="2440"/>
      <c r="N108" s="2440"/>
      <c r="O108" s="2441"/>
      <c r="P108" s="2440"/>
      <c r="Q108" s="2440"/>
      <c r="R108" s="2442"/>
    </row>
    <row r="109" spans="2:18" s="1928" customFormat="1">
      <c r="B109" s="2440"/>
      <c r="C109" s="2440"/>
      <c r="D109" s="2440"/>
      <c r="E109" s="2440"/>
      <c r="F109" s="2440"/>
      <c r="G109" s="2441"/>
      <c r="H109" s="2440"/>
      <c r="I109" s="2441"/>
      <c r="J109" s="2440"/>
      <c r="K109" s="2440"/>
      <c r="L109" s="2441"/>
      <c r="M109" s="2440"/>
      <c r="N109" s="2440"/>
      <c r="O109" s="2441"/>
      <c r="P109" s="2440"/>
      <c r="Q109" s="2440"/>
      <c r="R109" s="2442"/>
    </row>
    <row r="110" spans="2:18" s="1928" customFormat="1">
      <c r="B110" s="2440"/>
      <c r="C110" s="2440"/>
      <c r="D110" s="2440"/>
      <c r="E110" s="2440"/>
      <c r="F110" s="2440"/>
      <c r="G110" s="2441"/>
      <c r="H110" s="2440"/>
      <c r="I110" s="2441"/>
      <c r="J110" s="2440"/>
      <c r="K110" s="2440"/>
      <c r="L110" s="2441"/>
      <c r="M110" s="2440"/>
      <c r="N110" s="2440"/>
      <c r="O110" s="2441"/>
      <c r="P110" s="2440"/>
      <c r="Q110" s="2440"/>
      <c r="R110" s="2442"/>
    </row>
    <row r="111" spans="2:18" s="1928" customFormat="1">
      <c r="B111" s="2440"/>
      <c r="C111" s="2440"/>
      <c r="D111" s="2440"/>
      <c r="E111" s="2440"/>
      <c r="F111" s="2440"/>
      <c r="G111" s="2441"/>
      <c r="H111" s="2440"/>
      <c r="I111" s="2441"/>
      <c r="J111" s="2440"/>
      <c r="K111" s="2440"/>
      <c r="L111" s="2441"/>
      <c r="M111" s="2440"/>
      <c r="N111" s="2440"/>
      <c r="O111" s="2441"/>
      <c r="P111" s="2440"/>
      <c r="Q111" s="2440"/>
      <c r="R111" s="2442"/>
    </row>
    <row r="112" spans="2:18" s="1928" customFormat="1">
      <c r="B112" s="2440"/>
      <c r="C112" s="2440"/>
      <c r="D112" s="2440"/>
      <c r="E112" s="2440"/>
      <c r="F112" s="2440"/>
      <c r="G112" s="2441"/>
      <c r="H112" s="2440"/>
      <c r="I112" s="2441"/>
      <c r="J112" s="2440"/>
      <c r="K112" s="2440"/>
      <c r="L112" s="2441"/>
      <c r="M112" s="2440"/>
      <c r="N112" s="2440"/>
      <c r="O112" s="2441"/>
      <c r="P112" s="2440"/>
      <c r="Q112" s="2440"/>
      <c r="R112" s="2442"/>
    </row>
    <row r="113" spans="2:18" s="1928" customFormat="1">
      <c r="B113" s="2440"/>
      <c r="C113" s="2440"/>
      <c r="D113" s="2440"/>
      <c r="E113" s="2440"/>
      <c r="F113" s="2440"/>
      <c r="G113" s="2441"/>
      <c r="H113" s="2440"/>
      <c r="I113" s="2441"/>
      <c r="J113" s="2440"/>
      <c r="K113" s="2440"/>
      <c r="L113" s="2441"/>
      <c r="M113" s="2440"/>
      <c r="N113" s="2440"/>
      <c r="O113" s="2441"/>
      <c r="P113" s="2440"/>
      <c r="Q113" s="2440"/>
      <c r="R113" s="2442"/>
    </row>
    <row r="114" spans="2:18" s="1928" customFormat="1">
      <c r="B114" s="2440"/>
      <c r="C114" s="2440"/>
      <c r="D114" s="2440"/>
      <c r="E114" s="2440"/>
      <c r="F114" s="2440"/>
      <c r="G114" s="2441"/>
      <c r="H114" s="2440"/>
      <c r="I114" s="2441"/>
      <c r="J114" s="2440"/>
      <c r="K114" s="2440"/>
      <c r="L114" s="2441"/>
      <c r="M114" s="2440"/>
      <c r="N114" s="2440"/>
      <c r="O114" s="2441"/>
      <c r="P114" s="2440"/>
      <c r="Q114" s="2440"/>
      <c r="R114" s="2442"/>
    </row>
    <row r="115" spans="2:18" s="1928" customFormat="1">
      <c r="B115" s="2440"/>
      <c r="C115" s="2440"/>
      <c r="D115" s="2440"/>
      <c r="E115" s="2440"/>
      <c r="F115" s="2440"/>
      <c r="G115" s="2441"/>
      <c r="H115" s="2440"/>
      <c r="I115" s="2441"/>
      <c r="J115" s="2440"/>
      <c r="K115" s="2440"/>
      <c r="L115" s="2441"/>
      <c r="M115" s="2440"/>
      <c r="N115" s="2440"/>
      <c r="O115" s="2441"/>
      <c r="P115" s="2440"/>
      <c r="Q115" s="2440"/>
      <c r="R115" s="2442"/>
    </row>
    <row r="116" spans="2:18" s="1928" customFormat="1">
      <c r="B116" s="2440"/>
      <c r="C116" s="2440"/>
      <c r="D116" s="2440"/>
      <c r="E116" s="2440"/>
      <c r="F116" s="2440"/>
      <c r="G116" s="2441"/>
      <c r="H116" s="2440"/>
      <c r="I116" s="2441"/>
      <c r="J116" s="2440"/>
      <c r="K116" s="2440"/>
      <c r="L116" s="2441"/>
      <c r="M116" s="2440"/>
      <c r="N116" s="2440"/>
      <c r="O116" s="2441"/>
      <c r="P116" s="2440"/>
      <c r="Q116" s="2440"/>
      <c r="R116" s="2442"/>
    </row>
    <row r="117" spans="2:18" s="1928" customFormat="1">
      <c r="B117" s="2440"/>
      <c r="C117" s="2440"/>
      <c r="D117" s="2440"/>
      <c r="E117" s="2440"/>
      <c r="F117" s="2440"/>
      <c r="G117" s="2441"/>
      <c r="H117" s="2440"/>
      <c r="I117" s="2441"/>
      <c r="J117" s="2440"/>
      <c r="K117" s="2440"/>
      <c r="L117" s="2441"/>
      <c r="M117" s="2440"/>
      <c r="N117" s="2440"/>
      <c r="O117" s="2441"/>
      <c r="P117" s="2440"/>
      <c r="Q117" s="2440"/>
      <c r="R117" s="2442"/>
    </row>
    <row r="118" spans="2:18" s="1928" customFormat="1">
      <c r="B118" s="2440"/>
      <c r="C118" s="2440"/>
      <c r="D118" s="2440"/>
      <c r="E118" s="2440"/>
      <c r="F118" s="2440"/>
      <c r="G118" s="2441"/>
      <c r="H118" s="2440"/>
      <c r="I118" s="2441"/>
      <c r="J118" s="2440"/>
      <c r="K118" s="2440"/>
      <c r="L118" s="2441"/>
      <c r="M118" s="2440"/>
      <c r="N118" s="2440"/>
      <c r="O118" s="2441"/>
      <c r="P118" s="2440"/>
      <c r="Q118" s="2440"/>
      <c r="R118" s="2442"/>
    </row>
    <row r="119" spans="2:18" s="1928" customFormat="1">
      <c r="B119" s="2440"/>
      <c r="C119" s="2440"/>
      <c r="D119" s="2440"/>
      <c r="E119" s="2440"/>
      <c r="F119" s="2440"/>
      <c r="G119" s="2441"/>
      <c r="H119" s="2440"/>
      <c r="I119" s="2441"/>
      <c r="J119" s="2440"/>
      <c r="K119" s="2440"/>
      <c r="L119" s="2441"/>
      <c r="M119" s="2440"/>
      <c r="N119" s="2440"/>
      <c r="O119" s="2441"/>
      <c r="P119" s="2440"/>
      <c r="Q119" s="2440"/>
      <c r="R119" s="2442"/>
    </row>
    <row r="120" spans="2:18" s="1928" customFormat="1">
      <c r="B120" s="2440"/>
      <c r="C120" s="2440"/>
      <c r="D120" s="2440"/>
      <c r="E120" s="2440"/>
      <c r="F120" s="2440"/>
      <c r="G120" s="2441"/>
      <c r="H120" s="2440"/>
      <c r="I120" s="2441"/>
      <c r="J120" s="2440"/>
      <c r="K120" s="2440"/>
      <c r="L120" s="2441"/>
      <c r="M120" s="2440"/>
      <c r="N120" s="2440"/>
      <c r="O120" s="2441"/>
      <c r="P120" s="2440"/>
      <c r="Q120" s="2440"/>
      <c r="R120" s="2442"/>
    </row>
    <row r="121" spans="2:18" s="1928" customFormat="1">
      <c r="B121" s="2440"/>
      <c r="C121" s="2440"/>
      <c r="D121" s="2440"/>
      <c r="E121" s="2440"/>
      <c r="F121" s="2440"/>
      <c r="G121" s="2441"/>
      <c r="H121" s="2440"/>
      <c r="I121" s="2441"/>
      <c r="J121" s="2440"/>
      <c r="K121" s="2440"/>
      <c r="L121" s="2441"/>
      <c r="M121" s="2440"/>
      <c r="N121" s="2440"/>
      <c r="O121" s="2441"/>
      <c r="P121" s="2440"/>
      <c r="Q121" s="2440"/>
      <c r="R121" s="2442"/>
    </row>
    <row r="122" spans="2:18" s="1928" customFormat="1">
      <c r="B122" s="2440"/>
      <c r="C122" s="2440"/>
      <c r="D122" s="2440"/>
      <c r="E122" s="2440"/>
      <c r="F122" s="2440"/>
      <c r="G122" s="2441"/>
      <c r="H122" s="2440"/>
      <c r="I122" s="2441"/>
      <c r="J122" s="2440"/>
      <c r="K122" s="2440"/>
      <c r="L122" s="2441"/>
      <c r="M122" s="2440"/>
      <c r="N122" s="2440"/>
      <c r="O122" s="2441"/>
      <c r="P122" s="2440"/>
      <c r="Q122" s="2440"/>
      <c r="R122" s="2442"/>
    </row>
    <row r="123" spans="2:18" s="1928" customFormat="1">
      <c r="B123" s="2440"/>
      <c r="C123" s="2440"/>
      <c r="D123" s="2440"/>
      <c r="E123" s="2440"/>
      <c r="F123" s="2440"/>
      <c r="G123" s="2441"/>
      <c r="H123" s="2440"/>
      <c r="I123" s="2441"/>
      <c r="J123" s="2440"/>
      <c r="K123" s="2440"/>
      <c r="L123" s="2441"/>
      <c r="M123" s="2440"/>
      <c r="N123" s="2440"/>
      <c r="O123" s="2441"/>
      <c r="P123" s="2440"/>
      <c r="Q123" s="2440"/>
      <c r="R123" s="2442"/>
    </row>
    <row r="124" spans="2:18" s="1928" customFormat="1">
      <c r="B124" s="2440"/>
      <c r="C124" s="2440"/>
      <c r="D124" s="2440"/>
      <c r="E124" s="2440"/>
      <c r="F124" s="2440"/>
      <c r="G124" s="2441"/>
      <c r="H124" s="2440"/>
      <c r="I124" s="2441"/>
      <c r="J124" s="2440"/>
      <c r="K124" s="2440"/>
      <c r="L124" s="2441"/>
      <c r="M124" s="2440"/>
      <c r="N124" s="2440"/>
      <c r="O124" s="2441"/>
      <c r="P124" s="2440"/>
      <c r="Q124" s="2440"/>
      <c r="R124" s="2442"/>
    </row>
    <row r="125" spans="2:18" s="1928" customFormat="1">
      <c r="B125" s="2440"/>
      <c r="C125" s="2440"/>
      <c r="D125" s="2440"/>
      <c r="E125" s="2440"/>
      <c r="F125" s="2440"/>
      <c r="G125" s="2441"/>
      <c r="H125" s="2440"/>
      <c r="I125" s="2441"/>
      <c r="J125" s="2440"/>
      <c r="K125" s="2440"/>
      <c r="L125" s="2441"/>
      <c r="M125" s="2440"/>
      <c r="N125" s="2440"/>
      <c r="O125" s="2441"/>
      <c r="P125" s="2440"/>
      <c r="Q125" s="2440"/>
      <c r="R125" s="2442"/>
    </row>
    <row r="126" spans="2:18" s="1928" customFormat="1">
      <c r="B126" s="2440"/>
      <c r="C126" s="2440"/>
      <c r="D126" s="2440"/>
      <c r="E126" s="2440"/>
      <c r="F126" s="2440"/>
      <c r="G126" s="2441"/>
      <c r="H126" s="2440"/>
      <c r="I126" s="2441"/>
      <c r="J126" s="2440"/>
      <c r="K126" s="2440"/>
      <c r="L126" s="2441"/>
      <c r="M126" s="2440"/>
      <c r="N126" s="2440"/>
      <c r="O126" s="2441"/>
      <c r="P126" s="2440"/>
      <c r="Q126" s="2440"/>
      <c r="R126" s="2442"/>
    </row>
    <row r="127" spans="2:18" s="1928" customFormat="1">
      <c r="B127" s="2440"/>
      <c r="C127" s="2440"/>
      <c r="D127" s="2440"/>
      <c r="E127" s="2440"/>
      <c r="F127" s="2440"/>
      <c r="G127" s="2441"/>
      <c r="H127" s="2440"/>
      <c r="I127" s="2441"/>
      <c r="J127" s="2440"/>
      <c r="K127" s="2440"/>
      <c r="L127" s="2441"/>
      <c r="M127" s="2440"/>
      <c r="N127" s="2440"/>
      <c r="O127" s="2441"/>
      <c r="P127" s="2440"/>
      <c r="Q127" s="2440"/>
      <c r="R127" s="2442"/>
    </row>
    <row r="128" spans="2:18" s="1928" customFormat="1">
      <c r="B128" s="2440"/>
      <c r="C128" s="2440"/>
      <c r="D128" s="2440"/>
      <c r="E128" s="2440"/>
      <c r="F128" s="2440"/>
      <c r="G128" s="2441"/>
      <c r="H128" s="2440"/>
      <c r="I128" s="2441"/>
      <c r="J128" s="2440"/>
      <c r="K128" s="2440"/>
      <c r="L128" s="2441"/>
      <c r="M128" s="2440"/>
      <c r="N128" s="2440"/>
      <c r="O128" s="2441"/>
      <c r="P128" s="2440"/>
      <c r="Q128" s="2440"/>
      <c r="R128" s="2442"/>
    </row>
    <row r="129" spans="2:18" s="1928" customFormat="1">
      <c r="B129" s="2440"/>
      <c r="C129" s="2440"/>
      <c r="D129" s="2440"/>
      <c r="E129" s="2440"/>
      <c r="F129" s="2440"/>
      <c r="G129" s="2441"/>
      <c r="H129" s="2440"/>
      <c r="I129" s="2441"/>
      <c r="J129" s="2440"/>
      <c r="K129" s="2440"/>
      <c r="L129" s="2441"/>
      <c r="M129" s="2440"/>
      <c r="N129" s="2440"/>
      <c r="O129" s="2441"/>
      <c r="P129" s="2440"/>
      <c r="Q129" s="2440"/>
      <c r="R129" s="2442"/>
    </row>
    <row r="130" spans="2:18" s="1928" customFormat="1">
      <c r="B130" s="2440"/>
      <c r="C130" s="2440"/>
      <c r="D130" s="2440"/>
      <c r="E130" s="2440"/>
      <c r="F130" s="2440"/>
      <c r="G130" s="2441"/>
      <c r="H130" s="2440"/>
      <c r="I130" s="2441"/>
      <c r="J130" s="2440"/>
      <c r="K130" s="2440"/>
      <c r="L130" s="2441"/>
      <c r="M130" s="2440"/>
      <c r="N130" s="2440"/>
      <c r="O130" s="2441"/>
      <c r="P130" s="2440"/>
      <c r="Q130" s="2440"/>
      <c r="R130" s="2442"/>
    </row>
    <row r="131" spans="2:18" s="1928" customFormat="1">
      <c r="B131" s="2440"/>
      <c r="C131" s="2440"/>
      <c r="D131" s="2440"/>
      <c r="E131" s="2440"/>
      <c r="F131" s="2440"/>
      <c r="G131" s="2441"/>
      <c r="H131" s="2440"/>
      <c r="I131" s="2441"/>
      <c r="J131" s="2440"/>
      <c r="K131" s="2440"/>
      <c r="L131" s="2441"/>
      <c r="M131" s="2440"/>
      <c r="N131" s="2440"/>
      <c r="O131" s="2441"/>
      <c r="P131" s="2440"/>
      <c r="Q131" s="2440"/>
      <c r="R131" s="2442"/>
    </row>
    <row r="132" spans="2:18" s="1928" customFormat="1">
      <c r="B132" s="2440"/>
      <c r="C132" s="2440"/>
      <c r="D132" s="2440"/>
      <c r="E132" s="2440"/>
      <c r="F132" s="2440"/>
      <c r="G132" s="2441"/>
      <c r="H132" s="2440"/>
      <c r="I132" s="2441"/>
      <c r="J132" s="2440"/>
      <c r="K132" s="2440"/>
      <c r="L132" s="2441"/>
      <c r="M132" s="2440"/>
      <c r="N132" s="2440"/>
      <c r="O132" s="2441"/>
      <c r="P132" s="2440"/>
      <c r="Q132" s="2440"/>
      <c r="R132" s="2442"/>
    </row>
    <row r="133" spans="2:18" s="1928" customFormat="1">
      <c r="B133" s="2440"/>
      <c r="C133" s="2440"/>
      <c r="D133" s="2440"/>
      <c r="E133" s="2440"/>
      <c r="F133" s="2440"/>
      <c r="G133" s="2441"/>
      <c r="H133" s="2440"/>
      <c r="I133" s="2441"/>
      <c r="J133" s="2440"/>
      <c r="K133" s="2440"/>
      <c r="L133" s="2441"/>
      <c r="M133" s="2440"/>
      <c r="N133" s="2440"/>
      <c r="O133" s="2441"/>
      <c r="P133" s="2440"/>
      <c r="Q133" s="2440"/>
      <c r="R133" s="2442"/>
    </row>
    <row r="134" spans="2:18" s="1928" customFormat="1">
      <c r="B134" s="2440"/>
      <c r="C134" s="2440"/>
      <c r="D134" s="2440"/>
      <c r="E134" s="2440"/>
      <c r="F134" s="2440"/>
      <c r="G134" s="2441"/>
      <c r="H134" s="2440"/>
      <c r="I134" s="2441"/>
      <c r="J134" s="2440"/>
      <c r="K134" s="2440"/>
      <c r="L134" s="2441"/>
      <c r="M134" s="2440"/>
      <c r="N134" s="2440"/>
      <c r="O134" s="2441"/>
      <c r="P134" s="2440"/>
      <c r="Q134" s="2440"/>
      <c r="R134" s="2442"/>
    </row>
    <row r="135" spans="2:18" s="1928" customFormat="1">
      <c r="B135" s="2440"/>
      <c r="C135" s="2440"/>
      <c r="D135" s="2440"/>
      <c r="E135" s="2440"/>
      <c r="F135" s="2440"/>
      <c r="G135" s="2441"/>
      <c r="H135" s="2440"/>
      <c r="I135" s="2441"/>
      <c r="J135" s="2440"/>
      <c r="K135" s="2440"/>
      <c r="L135" s="2441"/>
      <c r="M135" s="2440"/>
      <c r="N135" s="2440"/>
      <c r="O135" s="2441"/>
      <c r="P135" s="2440"/>
      <c r="Q135" s="2440"/>
      <c r="R135" s="2442"/>
    </row>
    <row r="136" spans="2:18" s="1928" customFormat="1">
      <c r="B136" s="2440"/>
      <c r="C136" s="2440"/>
      <c r="D136" s="2440"/>
      <c r="E136" s="2440"/>
      <c r="F136" s="2440"/>
      <c r="G136" s="2441"/>
      <c r="H136" s="2440"/>
      <c r="I136" s="2441"/>
      <c r="J136" s="2440"/>
      <c r="K136" s="2440"/>
      <c r="L136" s="2441"/>
      <c r="M136" s="2440"/>
      <c r="N136" s="2440"/>
      <c r="O136" s="2441"/>
      <c r="P136" s="2440"/>
      <c r="Q136" s="2440"/>
      <c r="R136" s="2442"/>
    </row>
    <row r="137" spans="2:18" s="1928" customFormat="1">
      <c r="B137" s="2440"/>
      <c r="C137" s="2440"/>
      <c r="D137" s="2440"/>
      <c r="E137" s="2440"/>
      <c r="F137" s="2440"/>
      <c r="G137" s="2441"/>
      <c r="H137" s="2440"/>
      <c r="I137" s="2441"/>
      <c r="J137" s="2440"/>
      <c r="K137" s="2440"/>
      <c r="L137" s="2441"/>
      <c r="M137" s="2440"/>
      <c r="N137" s="2440"/>
      <c r="O137" s="2441"/>
      <c r="P137" s="2440"/>
      <c r="Q137" s="2440"/>
      <c r="R137" s="2442"/>
    </row>
    <row r="138" spans="2:18" s="1928" customFormat="1">
      <c r="B138" s="2440"/>
      <c r="C138" s="2440"/>
      <c r="D138" s="2440"/>
      <c r="E138" s="2440"/>
      <c r="F138" s="2440"/>
      <c r="G138" s="2441"/>
      <c r="H138" s="2440"/>
      <c r="I138" s="2441"/>
      <c r="J138" s="2440"/>
      <c r="K138" s="2440"/>
      <c r="L138" s="2441"/>
      <c r="M138" s="2440"/>
      <c r="N138" s="2440"/>
      <c r="O138" s="2441"/>
      <c r="P138" s="2440"/>
      <c r="Q138" s="2440"/>
      <c r="R138" s="2442"/>
    </row>
    <row r="139" spans="2:18" s="1928" customFormat="1">
      <c r="B139" s="2440"/>
      <c r="C139" s="2440"/>
      <c r="D139" s="2440"/>
      <c r="E139" s="2440"/>
      <c r="F139" s="2440"/>
      <c r="G139" s="2441"/>
      <c r="H139" s="2440"/>
      <c r="I139" s="2441"/>
      <c r="J139" s="2440"/>
      <c r="K139" s="2440"/>
      <c r="L139" s="2441"/>
      <c r="M139" s="2440"/>
      <c r="N139" s="2440"/>
      <c r="O139" s="2441"/>
      <c r="P139" s="2440"/>
      <c r="Q139" s="2440"/>
      <c r="R139" s="2442"/>
    </row>
    <row r="140" spans="2:18" s="1928" customFormat="1">
      <c r="B140" s="2440"/>
      <c r="C140" s="2440"/>
      <c r="D140" s="2440"/>
      <c r="E140" s="2440"/>
      <c r="F140" s="2440"/>
      <c r="G140" s="2441"/>
      <c r="H140" s="2440"/>
      <c r="I140" s="2441"/>
      <c r="J140" s="2440"/>
      <c r="K140" s="2440"/>
      <c r="L140" s="2441"/>
      <c r="M140" s="2440"/>
      <c r="N140" s="2440"/>
      <c r="O140" s="2441"/>
      <c r="P140" s="2440"/>
      <c r="Q140" s="2440"/>
      <c r="R140" s="2442"/>
    </row>
    <row r="141" spans="2:18" s="1928" customFormat="1">
      <c r="B141" s="2440"/>
      <c r="C141" s="2440"/>
      <c r="D141" s="2440"/>
      <c r="E141" s="2440"/>
      <c r="F141" s="2440"/>
      <c r="G141" s="2441"/>
      <c r="H141" s="2440"/>
      <c r="I141" s="2441"/>
      <c r="J141" s="2440"/>
      <c r="K141" s="2440"/>
      <c r="L141" s="2441"/>
      <c r="M141" s="2440"/>
      <c r="N141" s="2440"/>
      <c r="O141" s="2441"/>
      <c r="P141" s="2440"/>
      <c r="Q141" s="2440"/>
      <c r="R141" s="2442"/>
    </row>
    <row r="142" spans="2:18" s="1928" customFormat="1">
      <c r="B142" s="2440"/>
      <c r="C142" s="2440"/>
      <c r="D142" s="2440"/>
      <c r="E142" s="2440"/>
      <c r="F142" s="2440"/>
      <c r="G142" s="2441"/>
      <c r="H142" s="2440"/>
      <c r="I142" s="2441"/>
      <c r="J142" s="2440"/>
      <c r="K142" s="2440"/>
      <c r="L142" s="2441"/>
      <c r="M142" s="2440"/>
      <c r="N142" s="2440"/>
      <c r="O142" s="2441"/>
      <c r="P142" s="2440"/>
      <c r="Q142" s="2440"/>
      <c r="R142" s="2442"/>
    </row>
    <row r="143" spans="2:18" s="1928" customFormat="1">
      <c r="B143" s="2440"/>
      <c r="C143" s="2440"/>
      <c r="D143" s="2440"/>
      <c r="E143" s="2440"/>
      <c r="F143" s="2440"/>
      <c r="G143" s="2441"/>
      <c r="H143" s="2440"/>
      <c r="I143" s="2441"/>
      <c r="J143" s="2440"/>
      <c r="K143" s="2440"/>
      <c r="L143" s="2441"/>
      <c r="M143" s="2440"/>
      <c r="N143" s="2440"/>
      <c r="O143" s="2441"/>
      <c r="P143" s="2440"/>
      <c r="Q143" s="2440"/>
      <c r="R143" s="2442"/>
    </row>
    <row r="144" spans="2:18" s="1928" customFormat="1">
      <c r="B144" s="2440"/>
      <c r="C144" s="2440"/>
      <c r="D144" s="2440"/>
      <c r="E144" s="2440"/>
      <c r="F144" s="2440"/>
      <c r="G144" s="2441"/>
      <c r="H144" s="2440"/>
      <c r="I144" s="2441"/>
      <c r="J144" s="2440"/>
      <c r="K144" s="2440"/>
      <c r="L144" s="2441"/>
      <c r="M144" s="2440"/>
      <c r="N144" s="2440"/>
      <c r="O144" s="2441"/>
      <c r="P144" s="2440"/>
      <c r="Q144" s="2440"/>
      <c r="R144" s="2442"/>
    </row>
    <row r="145" spans="2:18" s="1928" customFormat="1">
      <c r="B145" s="2440"/>
      <c r="C145" s="2440"/>
      <c r="D145" s="2440"/>
      <c r="E145" s="2440"/>
      <c r="F145" s="2440"/>
      <c r="G145" s="2441"/>
      <c r="H145" s="2440"/>
      <c r="I145" s="2441"/>
      <c r="J145" s="2440"/>
      <c r="K145" s="2440"/>
      <c r="L145" s="2441"/>
      <c r="M145" s="2440"/>
      <c r="N145" s="2440"/>
      <c r="O145" s="2441"/>
      <c r="P145" s="2440"/>
      <c r="Q145" s="2440"/>
      <c r="R145" s="2442"/>
    </row>
    <row r="146" spans="2:18" s="1928" customFormat="1">
      <c r="B146" s="2440"/>
      <c r="C146" s="2440"/>
      <c r="D146" s="2440"/>
      <c r="E146" s="2440"/>
      <c r="F146" s="2440"/>
      <c r="G146" s="2441"/>
      <c r="H146" s="2440"/>
      <c r="I146" s="2441"/>
      <c r="J146" s="2440"/>
      <c r="K146" s="2440"/>
      <c r="L146" s="2441"/>
      <c r="M146" s="2440"/>
      <c r="N146" s="2440"/>
      <c r="O146" s="2441"/>
      <c r="P146" s="2440"/>
      <c r="Q146" s="2440"/>
      <c r="R146" s="2442"/>
    </row>
    <row r="147" spans="2:18" s="1928" customFormat="1">
      <c r="B147" s="2440"/>
      <c r="C147" s="2440"/>
      <c r="D147" s="2440"/>
      <c r="E147" s="2440"/>
      <c r="F147" s="2440"/>
      <c r="G147" s="2441"/>
      <c r="H147" s="2440"/>
      <c r="I147" s="2441"/>
      <c r="J147" s="2440"/>
      <c r="K147" s="2440"/>
      <c r="L147" s="2441"/>
      <c r="M147" s="2440"/>
      <c r="N147" s="2440"/>
      <c r="O147" s="2441"/>
      <c r="P147" s="2440"/>
      <c r="Q147" s="2440"/>
      <c r="R147" s="2442"/>
    </row>
    <row r="148" spans="2:18" s="1928" customFormat="1">
      <c r="B148" s="2440"/>
      <c r="C148" s="2440"/>
      <c r="D148" s="2440"/>
      <c r="E148" s="2440"/>
      <c r="F148" s="2440"/>
      <c r="G148" s="2441"/>
      <c r="H148" s="2440"/>
      <c r="I148" s="2441"/>
      <c r="J148" s="2440"/>
      <c r="K148" s="2440"/>
      <c r="L148" s="2441"/>
      <c r="M148" s="2440"/>
      <c r="N148" s="2440"/>
      <c r="O148" s="2441"/>
      <c r="P148" s="2440"/>
      <c r="Q148" s="2440"/>
      <c r="R148" s="2442"/>
    </row>
    <row r="149" spans="2:18" s="1928" customFormat="1">
      <c r="B149" s="2440"/>
      <c r="C149" s="2440"/>
      <c r="D149" s="2440"/>
      <c r="E149" s="2440"/>
      <c r="F149" s="2440"/>
      <c r="G149" s="2441"/>
      <c r="H149" s="2440"/>
      <c r="I149" s="2441"/>
      <c r="J149" s="2440"/>
      <c r="K149" s="2440"/>
      <c r="L149" s="2441"/>
      <c r="M149" s="2440"/>
      <c r="N149" s="2440"/>
      <c r="O149" s="2441"/>
      <c r="P149" s="2440"/>
      <c r="Q149" s="2440"/>
      <c r="R149" s="2442"/>
    </row>
    <row r="150" spans="2:18" s="1928" customFormat="1">
      <c r="B150" s="2440"/>
      <c r="C150" s="2440"/>
      <c r="D150" s="2440"/>
      <c r="E150" s="2440"/>
      <c r="F150" s="2440"/>
      <c r="G150" s="2441"/>
      <c r="H150" s="2440"/>
      <c r="I150" s="2441"/>
      <c r="J150" s="2440"/>
      <c r="K150" s="2440"/>
      <c r="L150" s="2441"/>
      <c r="M150" s="2440"/>
      <c r="N150" s="2440"/>
      <c r="O150" s="2441"/>
      <c r="P150" s="2440"/>
      <c r="Q150" s="2440"/>
      <c r="R150" s="2442"/>
    </row>
    <row r="151" spans="2:18" s="1928" customFormat="1">
      <c r="B151" s="2440"/>
      <c r="C151" s="2440"/>
      <c r="D151" s="2440"/>
      <c r="E151" s="2440"/>
      <c r="F151" s="2440"/>
      <c r="G151" s="2441"/>
      <c r="H151" s="2440"/>
      <c r="I151" s="2441"/>
      <c r="J151" s="2440"/>
      <c r="K151" s="2440"/>
      <c r="L151" s="2441"/>
      <c r="M151" s="2440"/>
      <c r="N151" s="2440"/>
      <c r="O151" s="2441"/>
      <c r="P151" s="2440"/>
      <c r="Q151" s="2440"/>
      <c r="R151" s="2442"/>
    </row>
    <row r="152" spans="2:18" s="1928" customFormat="1">
      <c r="B152" s="2440"/>
      <c r="C152" s="2440"/>
      <c r="D152" s="2440"/>
      <c r="E152" s="2440"/>
      <c r="F152" s="2440"/>
      <c r="G152" s="2441"/>
      <c r="H152" s="2440"/>
      <c r="I152" s="2441"/>
      <c r="J152" s="2440"/>
      <c r="K152" s="2440"/>
      <c r="L152" s="2441"/>
      <c r="M152" s="2440"/>
      <c r="N152" s="2440"/>
      <c r="O152" s="2441"/>
      <c r="P152" s="2440"/>
      <c r="Q152" s="2440"/>
      <c r="R152" s="2442"/>
    </row>
    <row r="153" spans="2:18" s="1928" customFormat="1">
      <c r="B153" s="2440"/>
      <c r="C153" s="2440"/>
      <c r="D153" s="2440"/>
      <c r="E153" s="2440"/>
      <c r="F153" s="2440"/>
      <c r="G153" s="2441"/>
      <c r="H153" s="2440"/>
      <c r="I153" s="2441"/>
      <c r="J153" s="2440"/>
      <c r="K153" s="2440"/>
      <c r="L153" s="2441"/>
      <c r="M153" s="2440"/>
      <c r="N153" s="2440"/>
      <c r="O153" s="2441"/>
      <c r="P153" s="2440"/>
      <c r="Q153" s="2440"/>
      <c r="R153" s="2442"/>
    </row>
    <row r="154" spans="2:18" s="1928" customFormat="1">
      <c r="B154" s="2440"/>
      <c r="C154" s="2440"/>
      <c r="D154" s="2440"/>
      <c r="E154" s="2440"/>
      <c r="F154" s="2440"/>
      <c r="G154" s="2441"/>
      <c r="H154" s="2440"/>
      <c r="I154" s="2441"/>
      <c r="J154" s="2440"/>
      <c r="K154" s="2440"/>
      <c r="L154" s="2441"/>
      <c r="M154" s="2440"/>
      <c r="N154" s="2440"/>
      <c r="O154" s="2441"/>
      <c r="P154" s="2440"/>
      <c r="Q154" s="2440"/>
      <c r="R154" s="2442"/>
    </row>
    <row r="155" spans="2:18" s="1928" customFormat="1">
      <c r="B155" s="2440"/>
      <c r="C155" s="2440"/>
      <c r="D155" s="2440"/>
      <c r="E155" s="2440"/>
      <c r="F155" s="2440"/>
      <c r="G155" s="2441"/>
      <c r="H155" s="2440"/>
      <c r="I155" s="2441"/>
      <c r="J155" s="2440"/>
      <c r="K155" s="2440"/>
      <c r="L155" s="2441"/>
      <c r="M155" s="2440"/>
      <c r="N155" s="2440"/>
      <c r="O155" s="2441"/>
      <c r="P155" s="2440"/>
      <c r="Q155" s="2440"/>
      <c r="R155" s="2442"/>
    </row>
    <row r="156" spans="2:18" s="1928" customFormat="1">
      <c r="B156" s="2440"/>
      <c r="C156" s="2440"/>
      <c r="D156" s="2440"/>
      <c r="E156" s="2440"/>
      <c r="F156" s="2440"/>
      <c r="G156" s="2441"/>
      <c r="H156" s="2440"/>
      <c r="I156" s="2441"/>
      <c r="J156" s="2440"/>
      <c r="K156" s="2440"/>
      <c r="L156" s="2441"/>
      <c r="M156" s="2440"/>
      <c r="N156" s="2440"/>
      <c r="O156" s="2441"/>
      <c r="P156" s="2440"/>
      <c r="Q156" s="2440"/>
      <c r="R156" s="2442"/>
    </row>
    <row r="157" spans="2:18" s="1928" customFormat="1">
      <c r="B157" s="2440"/>
      <c r="C157" s="2440"/>
      <c r="D157" s="2440"/>
      <c r="E157" s="2440"/>
      <c r="F157" s="2440"/>
      <c r="G157" s="2441"/>
      <c r="H157" s="2440"/>
      <c r="I157" s="2441"/>
      <c r="J157" s="2440"/>
      <c r="K157" s="2440"/>
      <c r="L157" s="2441"/>
      <c r="M157" s="2440"/>
      <c r="N157" s="2440"/>
      <c r="O157" s="2441"/>
      <c r="P157" s="2440"/>
      <c r="Q157" s="2440"/>
      <c r="R157" s="2442"/>
    </row>
    <row r="158" spans="2:18" s="1928" customFormat="1">
      <c r="B158" s="2440"/>
      <c r="C158" s="2440"/>
      <c r="D158" s="2440"/>
      <c r="E158" s="2440"/>
      <c r="F158" s="2440"/>
      <c r="G158" s="2441"/>
      <c r="H158" s="2440"/>
      <c r="I158" s="2441"/>
      <c r="J158" s="2440"/>
      <c r="K158" s="2440"/>
      <c r="L158" s="2441"/>
      <c r="M158" s="2440"/>
      <c r="N158" s="2440"/>
      <c r="O158" s="2441"/>
      <c r="P158" s="2440"/>
      <c r="Q158" s="2440"/>
      <c r="R158" s="2442"/>
    </row>
    <row r="159" spans="2:18" s="1928" customFormat="1">
      <c r="B159" s="2440"/>
      <c r="C159" s="2440"/>
      <c r="D159" s="2440"/>
      <c r="E159" s="2440"/>
      <c r="F159" s="2440"/>
      <c r="G159" s="2441"/>
      <c r="H159" s="2440"/>
      <c r="I159" s="2441"/>
      <c r="J159" s="2440"/>
      <c r="K159" s="2440"/>
      <c r="L159" s="2441"/>
      <c r="M159" s="2440"/>
      <c r="N159" s="2440"/>
      <c r="O159" s="2441"/>
      <c r="P159" s="2440"/>
      <c r="Q159" s="2440"/>
      <c r="R159" s="2442"/>
    </row>
    <row r="160" spans="2:18" s="1928" customFormat="1">
      <c r="B160" s="2440"/>
      <c r="C160" s="2440"/>
      <c r="D160" s="2440"/>
      <c r="E160" s="2440"/>
      <c r="F160" s="2440"/>
      <c r="G160" s="2441"/>
      <c r="H160" s="2440"/>
      <c r="I160" s="2441"/>
      <c r="J160" s="2440"/>
      <c r="K160" s="2440"/>
      <c r="L160" s="2441"/>
      <c r="M160" s="2440"/>
      <c r="N160" s="2440"/>
      <c r="O160" s="2441"/>
      <c r="P160" s="2440"/>
      <c r="Q160" s="2440"/>
      <c r="R160" s="2442"/>
    </row>
    <row r="161" spans="2:18" s="1928" customFormat="1">
      <c r="B161" s="2440"/>
      <c r="C161" s="2440"/>
      <c r="D161" s="2440"/>
      <c r="E161" s="2440"/>
      <c r="F161" s="2440"/>
      <c r="G161" s="2441"/>
      <c r="H161" s="2440"/>
      <c r="I161" s="2441"/>
      <c r="J161" s="2440"/>
      <c r="K161" s="2440"/>
      <c r="L161" s="2441"/>
      <c r="M161" s="2440"/>
      <c r="N161" s="2440"/>
      <c r="O161" s="2441"/>
      <c r="P161" s="2440"/>
      <c r="Q161" s="2440"/>
      <c r="R161" s="2442"/>
    </row>
    <row r="162" spans="2:18" s="1928" customFormat="1">
      <c r="B162" s="2440"/>
      <c r="C162" s="2440"/>
      <c r="D162" s="2440"/>
      <c r="E162" s="2440"/>
      <c r="F162" s="2440"/>
      <c r="G162" s="2441"/>
      <c r="H162" s="2440"/>
      <c r="I162" s="2441"/>
      <c r="J162" s="2440"/>
      <c r="K162" s="2440"/>
      <c r="L162" s="2441"/>
      <c r="M162" s="2440"/>
      <c r="N162" s="2440"/>
      <c r="O162" s="2441"/>
      <c r="P162" s="2440"/>
      <c r="Q162" s="2440"/>
      <c r="R162" s="2442"/>
    </row>
    <row r="163" spans="2:18" s="1928" customFormat="1">
      <c r="B163" s="2440"/>
      <c r="C163" s="2440"/>
      <c r="D163" s="2440"/>
      <c r="E163" s="2440"/>
      <c r="F163" s="2440"/>
      <c r="G163" s="2441"/>
      <c r="H163" s="2440"/>
      <c r="I163" s="2441"/>
      <c r="J163" s="2440"/>
      <c r="K163" s="2440"/>
      <c r="L163" s="2441"/>
      <c r="M163" s="2440"/>
      <c r="N163" s="2440"/>
      <c r="O163" s="2441"/>
      <c r="P163" s="2440"/>
      <c r="Q163" s="2440"/>
      <c r="R163" s="2442"/>
    </row>
    <row r="164" spans="2:18" s="1928" customFormat="1">
      <c r="B164" s="2440"/>
      <c r="C164" s="2440"/>
      <c r="D164" s="2440"/>
      <c r="E164" s="2440"/>
      <c r="F164" s="2440"/>
      <c r="G164" s="2441"/>
      <c r="H164" s="2440"/>
      <c r="I164" s="2441"/>
      <c r="J164" s="2440"/>
      <c r="K164" s="2440"/>
      <c r="L164" s="2441"/>
      <c r="M164" s="2440"/>
      <c r="N164" s="2440"/>
      <c r="O164" s="2441"/>
      <c r="P164" s="2440"/>
      <c r="Q164" s="2440"/>
      <c r="R164" s="2442"/>
    </row>
    <row r="165" spans="2:18" s="1928" customFormat="1">
      <c r="B165" s="2440"/>
      <c r="C165" s="2440"/>
      <c r="D165" s="2440"/>
      <c r="E165" s="2440"/>
      <c r="F165" s="2440"/>
      <c r="G165" s="2441"/>
      <c r="H165" s="2440"/>
      <c r="I165" s="2441"/>
      <c r="J165" s="2440"/>
      <c r="K165" s="2440"/>
      <c r="L165" s="2441"/>
      <c r="M165" s="2440"/>
      <c r="N165" s="2440"/>
      <c r="O165" s="2441"/>
      <c r="P165" s="2440"/>
      <c r="Q165" s="2440"/>
      <c r="R165" s="2442"/>
    </row>
    <row r="166" spans="2:18" s="1928" customFormat="1">
      <c r="B166" s="2440"/>
      <c r="C166" s="2440"/>
      <c r="D166" s="2440"/>
      <c r="E166" s="2440"/>
      <c r="F166" s="2440"/>
      <c r="G166" s="2441"/>
      <c r="H166" s="2440"/>
      <c r="I166" s="2441"/>
      <c r="J166" s="2440"/>
      <c r="K166" s="2440"/>
      <c r="L166" s="2441"/>
      <c r="M166" s="2440"/>
      <c r="N166" s="2440"/>
      <c r="O166" s="2441"/>
      <c r="P166" s="2440"/>
      <c r="Q166" s="2440"/>
      <c r="R166" s="2442"/>
    </row>
    <row r="167" spans="2:18" s="1928" customFormat="1">
      <c r="B167" s="2440"/>
      <c r="C167" s="2440"/>
      <c r="D167" s="2440"/>
      <c r="E167" s="2440"/>
      <c r="F167" s="2440"/>
      <c r="G167" s="2441"/>
      <c r="H167" s="2440"/>
      <c r="I167" s="2441"/>
      <c r="J167" s="2440"/>
      <c r="K167" s="2440"/>
      <c r="L167" s="2441"/>
      <c r="M167" s="2440"/>
      <c r="N167" s="2440"/>
      <c r="O167" s="2441"/>
      <c r="P167" s="2440"/>
      <c r="Q167" s="2440"/>
      <c r="R167" s="2442"/>
    </row>
    <row r="168" spans="2:18" s="1928" customFormat="1">
      <c r="B168" s="2440"/>
      <c r="C168" s="2440"/>
      <c r="D168" s="2440"/>
      <c r="E168" s="2440"/>
      <c r="F168" s="2440"/>
      <c r="G168" s="2441"/>
      <c r="H168" s="2440"/>
      <c r="I168" s="2441"/>
      <c r="J168" s="2440"/>
      <c r="K168" s="2440"/>
      <c r="L168" s="2441"/>
      <c r="M168" s="2440"/>
      <c r="N168" s="2440"/>
      <c r="O168" s="2441"/>
      <c r="P168" s="2440"/>
      <c r="Q168" s="2440"/>
      <c r="R168" s="2442"/>
    </row>
    <row r="169" spans="2:18" s="1928" customFormat="1">
      <c r="B169" s="2440"/>
      <c r="C169" s="2440"/>
      <c r="D169" s="2440"/>
      <c r="E169" s="2440"/>
      <c r="F169" s="2440"/>
      <c r="G169" s="2441"/>
      <c r="H169" s="2440"/>
      <c r="I169" s="2441"/>
      <c r="J169" s="2440"/>
      <c r="K169" s="2440"/>
      <c r="L169" s="2441"/>
      <c r="M169" s="2440"/>
      <c r="N169" s="2440"/>
      <c r="O169" s="2441"/>
      <c r="P169" s="2440"/>
      <c r="Q169" s="2440"/>
      <c r="R169" s="2442"/>
    </row>
    <row r="170" spans="2:18" s="1928" customFormat="1">
      <c r="B170" s="2440"/>
      <c r="C170" s="2440"/>
      <c r="D170" s="2440"/>
      <c r="E170" s="2440"/>
      <c r="F170" s="2440"/>
      <c r="G170" s="2441"/>
      <c r="H170" s="2440"/>
      <c r="I170" s="2441"/>
      <c r="J170" s="2440"/>
      <c r="K170" s="2440"/>
      <c r="L170" s="2441"/>
      <c r="M170" s="2440"/>
      <c r="N170" s="2440"/>
      <c r="O170" s="2441"/>
      <c r="P170" s="2440"/>
      <c r="Q170" s="2440"/>
      <c r="R170" s="2442"/>
    </row>
    <row r="171" spans="2:18" s="1928" customFormat="1">
      <c r="B171" s="2440"/>
      <c r="C171" s="2440"/>
      <c r="D171" s="2440"/>
      <c r="E171" s="2440"/>
      <c r="F171" s="2440"/>
      <c r="G171" s="2441"/>
      <c r="H171" s="2440"/>
      <c r="I171" s="2441"/>
      <c r="J171" s="2440"/>
      <c r="K171" s="2440"/>
      <c r="L171" s="2441"/>
      <c r="M171" s="2440"/>
      <c r="N171" s="2440"/>
      <c r="O171" s="2441"/>
      <c r="P171" s="2440"/>
      <c r="Q171" s="2440"/>
      <c r="R171" s="2442"/>
    </row>
    <row r="172" spans="2:18" s="1928" customFormat="1">
      <c r="B172" s="2440"/>
      <c r="C172" s="2440"/>
      <c r="D172" s="2440"/>
      <c r="E172" s="2440"/>
      <c r="F172" s="2440"/>
      <c r="G172" s="2441"/>
      <c r="H172" s="2440"/>
      <c r="I172" s="2441"/>
      <c r="J172" s="2440"/>
      <c r="K172" s="2440"/>
      <c r="L172" s="2441"/>
      <c r="M172" s="2440"/>
      <c r="N172" s="2440"/>
      <c r="O172" s="2441"/>
      <c r="P172" s="2440"/>
      <c r="Q172" s="2440"/>
      <c r="R172" s="2442"/>
    </row>
    <row r="173" spans="2:18" s="1928" customFormat="1">
      <c r="B173" s="2440"/>
      <c r="C173" s="2440"/>
      <c r="D173" s="2440"/>
      <c r="E173" s="2440"/>
      <c r="F173" s="2440"/>
      <c r="G173" s="2441"/>
      <c r="H173" s="2440"/>
      <c r="I173" s="2441"/>
      <c r="J173" s="2440"/>
      <c r="K173" s="2440"/>
      <c r="L173" s="2441"/>
      <c r="M173" s="2440"/>
      <c r="N173" s="2440"/>
      <c r="O173" s="2441"/>
      <c r="P173" s="2440"/>
      <c r="Q173" s="2440"/>
      <c r="R173" s="2442"/>
    </row>
    <row r="174" spans="2:18" s="1928" customFormat="1">
      <c r="B174" s="2440"/>
      <c r="C174" s="2440"/>
      <c r="D174" s="2440"/>
      <c r="E174" s="2440"/>
      <c r="F174" s="2440"/>
      <c r="G174" s="2441"/>
      <c r="H174" s="2440"/>
      <c r="I174" s="2441"/>
      <c r="J174" s="2440"/>
      <c r="K174" s="2440"/>
      <c r="L174" s="2441"/>
      <c r="M174" s="2440"/>
      <c r="N174" s="2440"/>
      <c r="O174" s="2441"/>
      <c r="P174" s="2440"/>
      <c r="Q174" s="2440"/>
      <c r="R174" s="2442"/>
    </row>
    <row r="175" spans="2:18" s="1928" customFormat="1">
      <c r="B175" s="2440"/>
      <c r="C175" s="2440"/>
      <c r="D175" s="2440"/>
      <c r="E175" s="2440"/>
      <c r="F175" s="2440"/>
      <c r="G175" s="2441"/>
      <c r="H175" s="2440"/>
      <c r="I175" s="2441"/>
      <c r="J175" s="2440"/>
      <c r="K175" s="2440"/>
      <c r="L175" s="2441"/>
      <c r="M175" s="2440"/>
      <c r="N175" s="2440"/>
      <c r="O175" s="2441"/>
      <c r="P175" s="2440"/>
      <c r="Q175" s="2440"/>
      <c r="R175" s="2442"/>
    </row>
    <row r="176" spans="2:18" s="1928" customFormat="1">
      <c r="B176" s="2440"/>
      <c r="C176" s="2440"/>
      <c r="D176" s="2440"/>
      <c r="E176" s="2440"/>
      <c r="F176" s="2440"/>
      <c r="G176" s="2441"/>
      <c r="H176" s="2440"/>
      <c r="I176" s="2441"/>
      <c r="J176" s="2440"/>
      <c r="K176" s="2440"/>
      <c r="L176" s="2441"/>
      <c r="M176" s="2440"/>
      <c r="N176" s="2440"/>
      <c r="O176" s="2441"/>
      <c r="P176" s="2440"/>
      <c r="Q176" s="2440"/>
      <c r="R176" s="2442"/>
    </row>
    <row r="177" spans="1:18" s="1928" customFormat="1">
      <c r="B177" s="2440"/>
      <c r="C177" s="2440"/>
      <c r="D177" s="2440"/>
      <c r="E177" s="2440"/>
      <c r="F177" s="2440"/>
      <c r="G177" s="2441"/>
      <c r="H177" s="2440"/>
      <c r="I177" s="2441"/>
      <c r="J177" s="2440"/>
      <c r="K177" s="2440"/>
      <c r="L177" s="2441"/>
      <c r="M177" s="2440"/>
      <c r="N177" s="2440"/>
      <c r="O177" s="2441"/>
      <c r="P177" s="2440"/>
      <c r="Q177" s="2440"/>
      <c r="R177" s="2442"/>
    </row>
    <row r="178" spans="1:18" s="1928" customFormat="1">
      <c r="B178" s="2440"/>
      <c r="C178" s="2440"/>
      <c r="D178" s="2440"/>
      <c r="E178" s="2440"/>
      <c r="F178" s="2440"/>
      <c r="G178" s="2441"/>
      <c r="H178" s="2440"/>
      <c r="I178" s="2441"/>
      <c r="J178" s="2440"/>
      <c r="K178" s="2440"/>
      <c r="L178" s="2441"/>
      <c r="M178" s="2440"/>
      <c r="N178" s="2440"/>
      <c r="O178" s="2441"/>
      <c r="P178" s="2440"/>
      <c r="Q178" s="2440"/>
      <c r="R178" s="2442"/>
    </row>
    <row r="179" spans="1:18" s="1928" customFormat="1">
      <c r="B179" s="2440"/>
      <c r="C179" s="2440"/>
      <c r="D179" s="2440"/>
      <c r="E179" s="2440"/>
      <c r="F179" s="2440"/>
      <c r="G179" s="2441"/>
      <c r="H179" s="2440"/>
      <c r="I179" s="2441"/>
      <c r="J179" s="2440"/>
      <c r="K179" s="2440"/>
      <c r="L179" s="2441"/>
      <c r="M179" s="2440"/>
      <c r="N179" s="2440"/>
      <c r="O179" s="2441"/>
      <c r="P179" s="2440"/>
      <c r="Q179" s="2440"/>
      <c r="R179" s="2442"/>
    </row>
    <row r="180" spans="1:18" s="1928" customFormat="1">
      <c r="B180" s="2440"/>
      <c r="C180" s="2440"/>
      <c r="D180" s="2440"/>
      <c r="E180" s="2440"/>
      <c r="F180" s="2440"/>
      <c r="G180" s="2441"/>
      <c r="H180" s="2440"/>
      <c r="I180" s="2441"/>
      <c r="J180" s="2440"/>
      <c r="K180" s="2440"/>
      <c r="L180" s="2441"/>
      <c r="M180" s="2440"/>
      <c r="N180" s="2440"/>
      <c r="O180" s="2441"/>
      <c r="P180" s="2440"/>
      <c r="Q180" s="2440"/>
      <c r="R180" s="2442"/>
    </row>
    <row r="181" spans="1:18" s="1928" customFormat="1">
      <c r="B181" s="2440"/>
      <c r="C181" s="2440"/>
      <c r="D181" s="2440"/>
      <c r="E181" s="2440"/>
      <c r="F181" s="2440"/>
      <c r="G181" s="2441"/>
      <c r="H181" s="2440"/>
      <c r="I181" s="2441"/>
      <c r="J181" s="2440"/>
      <c r="K181" s="2440"/>
      <c r="L181" s="2441"/>
      <c r="M181" s="2440"/>
      <c r="N181" s="2440"/>
      <c r="O181" s="2441"/>
      <c r="P181" s="2440"/>
      <c r="Q181" s="2440"/>
      <c r="R181" s="2442"/>
    </row>
    <row r="182" spans="1:18" s="1928" customFormat="1">
      <c r="B182" s="2440"/>
      <c r="C182" s="2440"/>
      <c r="D182" s="2440"/>
      <c r="E182" s="2440"/>
      <c r="F182" s="2440"/>
      <c r="G182" s="2441"/>
      <c r="H182" s="2440"/>
      <c r="I182" s="2441"/>
      <c r="J182" s="2440"/>
      <c r="K182" s="2440"/>
      <c r="L182" s="2441"/>
      <c r="M182" s="2440"/>
      <c r="N182" s="2440"/>
      <c r="O182" s="2441"/>
      <c r="P182" s="2440"/>
      <c r="Q182" s="2440"/>
      <c r="R182" s="2442"/>
    </row>
    <row r="183" spans="1:18" s="1928" customFormat="1">
      <c r="B183" s="2440"/>
      <c r="C183" s="2440"/>
      <c r="D183" s="2440"/>
      <c r="E183" s="2440"/>
      <c r="F183" s="2440"/>
      <c r="G183" s="2441"/>
      <c r="H183" s="2440"/>
      <c r="I183" s="2441"/>
      <c r="J183" s="2440"/>
      <c r="K183" s="2440"/>
      <c r="L183" s="2441"/>
      <c r="M183" s="2440"/>
      <c r="N183" s="2440"/>
      <c r="O183" s="2441"/>
      <c r="P183" s="2440"/>
      <c r="Q183" s="2440"/>
      <c r="R183" s="2442"/>
    </row>
    <row r="184" spans="1:18" s="1928" customFormat="1">
      <c r="B184" s="2440"/>
      <c r="C184" s="2440"/>
      <c r="D184" s="2440"/>
      <c r="E184" s="2440"/>
      <c r="F184" s="2440"/>
      <c r="G184" s="2441"/>
      <c r="H184" s="2440"/>
      <c r="I184" s="2441"/>
      <c r="J184" s="2440"/>
      <c r="K184" s="2440"/>
      <c r="L184" s="2441"/>
      <c r="M184" s="2440"/>
      <c r="N184" s="2440"/>
      <c r="O184" s="2441"/>
      <c r="P184" s="2440"/>
      <c r="Q184" s="2440"/>
      <c r="R184" s="2442"/>
    </row>
    <row r="185" spans="1:18" s="1928" customFormat="1">
      <c r="B185" s="2440"/>
      <c r="C185" s="2440"/>
      <c r="D185" s="2440"/>
      <c r="E185" s="2440"/>
      <c r="F185" s="2440"/>
      <c r="G185" s="2441"/>
      <c r="H185" s="2440"/>
      <c r="I185" s="2441"/>
      <c r="J185" s="2440"/>
      <c r="K185" s="2440"/>
      <c r="L185" s="2441"/>
      <c r="M185" s="2440"/>
      <c r="N185" s="2440"/>
      <c r="O185" s="2441"/>
      <c r="P185" s="2440"/>
      <c r="Q185" s="2440"/>
      <c r="R185" s="2442"/>
    </row>
    <row r="186" spans="1:18">
      <c r="A186" s="1928"/>
      <c r="B186" s="2440"/>
      <c r="C186" s="2440"/>
      <c r="E186" s="2440"/>
      <c r="F186" s="2440"/>
      <c r="G186" s="2441"/>
    </row>
    <row r="187" spans="1:18">
      <c r="A187" s="1928"/>
      <c r="B187" s="2440"/>
      <c r="C187" s="2440"/>
      <c r="E187" s="2440"/>
      <c r="F187" s="2440"/>
      <c r="G187" s="2441"/>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7" sqref="P17"/>
    </sheetView>
  </sheetViews>
  <sheetFormatPr defaultRowHeight="13.5"/>
  <sheetData/>
  <phoneticPr fontId="225"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7" sqref="E27"/>
    </sheetView>
  </sheetViews>
  <sheetFormatPr defaultColWidth="9" defaultRowHeight="13.5"/>
  <cols>
    <col min="1" max="1" width="25" style="2421" customWidth="1"/>
    <col min="2" max="9" width="15.75" style="2421" customWidth="1"/>
    <col min="10" max="16384" width="9" style="2421"/>
  </cols>
  <sheetData>
    <row r="1" spans="1:11" ht="16.5">
      <c r="A1" s="2422" t="s">
        <v>678</v>
      </c>
      <c r="B1" s="2422">
        <f>SUM(B14:B23)</f>
        <v>1</v>
      </c>
      <c r="C1" s="2423"/>
      <c r="D1" s="2423"/>
      <c r="E1" s="2423"/>
      <c r="F1" s="2423"/>
      <c r="G1" s="2424"/>
      <c r="H1" s="2425"/>
      <c r="I1" s="2425"/>
      <c r="J1" s="2425"/>
      <c r="K1" s="2425"/>
    </row>
    <row r="2" spans="1:11" ht="16.5">
      <c r="A2" s="2422" t="s">
        <v>679</v>
      </c>
      <c r="B2" s="2422">
        <f>SUM(C14:C23)</f>
        <v>0.39</v>
      </c>
      <c r="C2" s="2423"/>
      <c r="D2" s="2423"/>
      <c r="E2" s="2423"/>
      <c r="F2" s="2423"/>
      <c r="G2" s="2424"/>
      <c r="H2" s="2425"/>
      <c r="I2" s="2425"/>
      <c r="J2" s="2425"/>
      <c r="K2" s="2425"/>
    </row>
    <row r="3" spans="1:11" ht="16.5">
      <c r="A3" s="2422" t="s">
        <v>680</v>
      </c>
      <c r="B3" s="2426">
        <f>项目基本情况!D3</f>
        <v>44347</v>
      </c>
      <c r="C3" s="2423"/>
      <c r="D3" s="2423"/>
      <c r="E3" s="2423"/>
      <c r="F3" s="2423"/>
      <c r="G3" s="2424"/>
      <c r="H3" s="2425"/>
      <c r="I3" s="2425"/>
      <c r="J3" s="2425"/>
      <c r="K3" s="2425"/>
    </row>
    <row r="4" spans="1:11" ht="33">
      <c r="A4" s="2422" t="s">
        <v>681</v>
      </c>
      <c r="B4" s="2422" t="s">
        <v>682</v>
      </c>
      <c r="C4" s="2422" t="s">
        <v>683</v>
      </c>
      <c r="D4" s="2422" t="s">
        <v>684</v>
      </c>
      <c r="E4" s="2423"/>
      <c r="F4" s="2424"/>
      <c r="G4" s="2424"/>
      <c r="H4" s="2425"/>
      <c r="I4" s="2425"/>
      <c r="J4" s="2425"/>
      <c r="K4" s="2425"/>
    </row>
    <row r="5" spans="1:11" ht="16.5">
      <c r="A5" s="2422" t="s">
        <v>685</v>
      </c>
      <c r="B5" s="2422">
        <f ca="1">SUM(D14:D23)</f>
        <v>3</v>
      </c>
      <c r="C5" s="2422">
        <f ca="1">ROUND(B5*10000/$B$1,0)</f>
        <v>30000</v>
      </c>
      <c r="D5" s="2422">
        <f ca="1">ROUND(B5*10000/$B$2,0)</f>
        <v>76923</v>
      </c>
      <c r="E5" s="2423"/>
      <c r="F5" s="2424"/>
      <c r="G5" s="2424"/>
      <c r="H5" s="2425"/>
      <c r="I5" s="2425"/>
      <c r="J5" s="2425"/>
      <c r="K5" s="2425"/>
    </row>
    <row r="6" spans="1:11" ht="16.5">
      <c r="A6" s="2422" t="s">
        <v>686</v>
      </c>
      <c r="B6" s="2422">
        <f>SUM(G14:G23)</f>
        <v>0</v>
      </c>
      <c r="C6" s="2422">
        <f>ROUND(B6*10000/$B$1,0)</f>
        <v>0</v>
      </c>
      <c r="D6" s="2422">
        <f>ROUND(B6*10000/$B$2,0)</f>
        <v>0</v>
      </c>
      <c r="E6" s="2423"/>
      <c r="F6" s="2424"/>
      <c r="G6" s="2424"/>
      <c r="H6" s="2425"/>
      <c r="I6" s="2425"/>
      <c r="J6" s="2425"/>
      <c r="K6" s="2425"/>
    </row>
    <row r="7" spans="1:11" ht="16.5">
      <c r="A7" s="2422" t="s">
        <v>687</v>
      </c>
      <c r="B7" s="2422">
        <f ca="1">SUM(H14:H23)</f>
        <v>3</v>
      </c>
      <c r="C7" s="2422">
        <f ca="1">ROUND(B7*10000/$B$1,0)</f>
        <v>30000</v>
      </c>
      <c r="D7" s="2422">
        <f ca="1">ROUND(B7*10000/$B$2,0)</f>
        <v>76923</v>
      </c>
      <c r="E7" s="2423"/>
      <c r="F7" s="2424"/>
      <c r="G7" s="2424"/>
      <c r="H7" s="2425"/>
      <c r="I7" s="2425"/>
      <c r="J7" s="2425"/>
      <c r="K7" s="2425"/>
    </row>
    <row r="8" spans="1:11" ht="16.5">
      <c r="A8" s="2422" t="s">
        <v>329</v>
      </c>
      <c r="B8" s="2422">
        <f>SUM(I14:I23)</f>
        <v>0</v>
      </c>
      <c r="C8" s="2422">
        <f>ROUND(B8*10000/$B$1,0)</f>
        <v>0</v>
      </c>
      <c r="D8" s="2422">
        <f>ROUND(B8*10000/$B$2,0)</f>
        <v>0</v>
      </c>
      <c r="E8" s="2423"/>
      <c r="F8" s="2424"/>
      <c r="G8" s="2424"/>
      <c r="H8" s="2425"/>
      <c r="I8" s="2425"/>
      <c r="J8" s="2425"/>
      <c r="K8" s="2425"/>
    </row>
    <row r="9" spans="1:11" ht="16.5">
      <c r="A9" s="2422" t="s">
        <v>688</v>
      </c>
      <c r="B9" s="2427"/>
      <c r="C9" s="2423"/>
      <c r="D9" s="2423"/>
      <c r="E9" s="2423"/>
      <c r="F9" s="2424"/>
      <c r="G9" s="2424"/>
      <c r="H9" s="2425"/>
      <c r="I9" s="2425"/>
      <c r="J9" s="2425"/>
      <c r="K9" s="2425"/>
    </row>
    <row r="10" spans="1:11" ht="16.5">
      <c r="A10" s="2422" t="s">
        <v>689</v>
      </c>
      <c r="B10" s="2427"/>
      <c r="C10" s="2423"/>
      <c r="D10" s="2423"/>
      <c r="E10" s="2423"/>
      <c r="F10" s="2424"/>
      <c r="G10" s="2424"/>
      <c r="H10" s="2425"/>
      <c r="I10" s="2425"/>
      <c r="J10" s="2425"/>
      <c r="K10" s="2425"/>
    </row>
    <row r="11" spans="1:11" ht="16.5">
      <c r="A11" s="2422" t="s">
        <v>690</v>
      </c>
      <c r="B11" s="2427"/>
      <c r="C11" s="2423"/>
      <c r="D11" s="2423"/>
      <c r="E11" s="2423"/>
      <c r="F11" s="2424"/>
      <c r="G11" s="2424"/>
      <c r="H11" s="2425"/>
      <c r="I11" s="2425"/>
      <c r="J11" s="2425"/>
      <c r="K11" s="2425"/>
    </row>
    <row r="12" spans="1:11" ht="16.5">
      <c r="A12" s="2423"/>
      <c r="B12" s="2423"/>
      <c r="C12" s="2423"/>
      <c r="D12" s="2423"/>
      <c r="E12" s="2423"/>
      <c r="F12" s="2424"/>
      <c r="G12" s="2424"/>
      <c r="H12" s="2425"/>
      <c r="I12" s="2425"/>
      <c r="J12" s="2425"/>
      <c r="K12" s="2425"/>
    </row>
    <row r="13" spans="1:11" ht="33">
      <c r="A13" s="2428" t="s">
        <v>691</v>
      </c>
      <c r="B13" s="2429" t="s">
        <v>678</v>
      </c>
      <c r="C13" s="2429" t="s">
        <v>679</v>
      </c>
      <c r="D13" s="2429" t="s">
        <v>692</v>
      </c>
      <c r="E13" s="2422" t="s">
        <v>683</v>
      </c>
      <c r="F13" s="2422" t="s">
        <v>684</v>
      </c>
      <c r="G13" s="2429" t="s">
        <v>693</v>
      </c>
      <c r="H13" s="2429" t="s">
        <v>694</v>
      </c>
      <c r="I13" s="2429" t="s">
        <v>695</v>
      </c>
      <c r="J13" s="2424"/>
      <c r="K13" s="2425"/>
    </row>
    <row r="14" spans="1:11" ht="16.5">
      <c r="A14" s="2430" t="s">
        <v>696</v>
      </c>
      <c r="B14" s="2431">
        <f>结果表!B118</f>
        <v>1</v>
      </c>
      <c r="C14" s="2431">
        <f>结果表!C118</f>
        <v>0.39</v>
      </c>
      <c r="D14" s="2431">
        <f ca="1">结果表!H118</f>
        <v>3</v>
      </c>
      <c r="E14" s="2431">
        <f ca="1">ROUND(D14*10000/B14,0)</f>
        <v>30000</v>
      </c>
      <c r="F14" s="2431">
        <f ca="1">ROUND(D14*10000/C14,0)</f>
        <v>76923</v>
      </c>
      <c r="G14" s="2431" t="str">
        <f>结果表!D122</f>
        <v>——</v>
      </c>
      <c r="H14" s="2431">
        <f ca="1">结果表!D124</f>
        <v>3</v>
      </c>
      <c r="I14" s="2431" t="str">
        <f>结果表!D126</f>
        <v>——</v>
      </c>
      <c r="J14" s="2424"/>
      <c r="K14" s="2425"/>
    </row>
    <row r="15" spans="1:11" ht="16.5">
      <c r="A15" s="2430" t="s">
        <v>697</v>
      </c>
      <c r="B15" s="2432"/>
      <c r="C15" s="2432"/>
      <c r="D15" s="2432"/>
      <c r="E15" s="2431" t="e">
        <f t="shared" ref="E15:E23" si="0">ROUND(D15*10000/B15,0)</f>
        <v>#DIV/0!</v>
      </c>
      <c r="F15" s="2431" t="e">
        <f t="shared" ref="F15:F23" si="1">ROUND(D15*10000/C15,0)</f>
        <v>#DIV/0!</v>
      </c>
      <c r="G15" s="2433"/>
      <c r="H15" s="2433"/>
      <c r="I15" s="2432"/>
      <c r="J15" s="2424"/>
      <c r="K15" s="2425"/>
    </row>
    <row r="16" spans="1:11" ht="16.5">
      <c r="A16" s="2430" t="s">
        <v>698</v>
      </c>
      <c r="B16" s="2432"/>
      <c r="C16" s="2432"/>
      <c r="D16" s="2432"/>
      <c r="E16" s="2431" t="e">
        <f t="shared" si="0"/>
        <v>#DIV/0!</v>
      </c>
      <c r="F16" s="2431" t="e">
        <f t="shared" si="1"/>
        <v>#DIV/0!</v>
      </c>
      <c r="G16" s="2433"/>
      <c r="H16" s="2433"/>
      <c r="I16" s="2432"/>
      <c r="J16" s="2425"/>
      <c r="K16" s="2425"/>
    </row>
    <row r="17" spans="1:11" ht="16.5">
      <c r="A17" s="2430" t="s">
        <v>699</v>
      </c>
      <c r="B17" s="2432"/>
      <c r="C17" s="2432"/>
      <c r="D17" s="2432"/>
      <c r="E17" s="2431" t="e">
        <f t="shared" si="0"/>
        <v>#DIV/0!</v>
      </c>
      <c r="F17" s="2431" t="e">
        <f t="shared" si="1"/>
        <v>#DIV/0!</v>
      </c>
      <c r="G17" s="2433"/>
      <c r="H17" s="2433"/>
      <c r="I17" s="2432"/>
      <c r="J17" s="2425"/>
      <c r="K17" s="2425"/>
    </row>
    <row r="18" spans="1:11" ht="16.5">
      <c r="A18" s="2430" t="s">
        <v>700</v>
      </c>
      <c r="B18" s="2432"/>
      <c r="C18" s="2432"/>
      <c r="D18" s="2432"/>
      <c r="E18" s="2431" t="e">
        <f t="shared" si="0"/>
        <v>#DIV/0!</v>
      </c>
      <c r="F18" s="2431" t="e">
        <f t="shared" si="1"/>
        <v>#DIV/0!</v>
      </c>
      <c r="G18" s="2432"/>
      <c r="H18" s="2432"/>
      <c r="I18" s="2432"/>
      <c r="J18" s="2425"/>
      <c r="K18" s="2425"/>
    </row>
    <row r="19" spans="1:11" ht="16.5">
      <c r="A19" s="2430" t="s">
        <v>701</v>
      </c>
      <c r="B19" s="2432"/>
      <c r="C19" s="2432"/>
      <c r="D19" s="2432"/>
      <c r="E19" s="2431" t="e">
        <f t="shared" si="0"/>
        <v>#DIV/0!</v>
      </c>
      <c r="F19" s="2431" t="e">
        <f t="shared" si="1"/>
        <v>#DIV/0!</v>
      </c>
      <c r="G19" s="2432"/>
      <c r="H19" s="2432"/>
      <c r="I19" s="2432"/>
      <c r="J19" s="2425"/>
      <c r="K19" s="2425"/>
    </row>
    <row r="20" spans="1:11" ht="16.5">
      <c r="A20" s="2430" t="s">
        <v>702</v>
      </c>
      <c r="B20" s="2432"/>
      <c r="C20" s="2432"/>
      <c r="D20" s="2432"/>
      <c r="E20" s="2431" t="e">
        <f t="shared" si="0"/>
        <v>#DIV/0!</v>
      </c>
      <c r="F20" s="2431" t="e">
        <f t="shared" si="1"/>
        <v>#DIV/0!</v>
      </c>
      <c r="G20" s="2432"/>
      <c r="H20" s="2432"/>
      <c r="I20" s="2432"/>
      <c r="J20" s="2425"/>
      <c r="K20" s="2425"/>
    </row>
    <row r="21" spans="1:11" ht="16.5">
      <c r="A21" s="2430" t="s">
        <v>703</v>
      </c>
      <c r="B21" s="2432"/>
      <c r="C21" s="2432"/>
      <c r="D21" s="2432"/>
      <c r="E21" s="2431" t="e">
        <f t="shared" si="0"/>
        <v>#DIV/0!</v>
      </c>
      <c r="F21" s="2431" t="e">
        <f t="shared" si="1"/>
        <v>#DIV/0!</v>
      </c>
      <c r="G21" s="2432"/>
      <c r="H21" s="2432"/>
      <c r="I21" s="2432"/>
      <c r="J21" s="2425"/>
      <c r="K21" s="2425"/>
    </row>
    <row r="22" spans="1:11" ht="16.5">
      <c r="A22" s="2430" t="s">
        <v>704</v>
      </c>
      <c r="B22" s="2432"/>
      <c r="C22" s="2432"/>
      <c r="D22" s="2432"/>
      <c r="E22" s="2431" t="e">
        <f t="shared" si="0"/>
        <v>#DIV/0!</v>
      </c>
      <c r="F22" s="2431" t="e">
        <f t="shared" si="1"/>
        <v>#DIV/0!</v>
      </c>
      <c r="G22" s="2432"/>
      <c r="H22" s="2432"/>
      <c r="I22" s="2432"/>
      <c r="J22" s="2425"/>
      <c r="K22" s="2425"/>
    </row>
    <row r="23" spans="1:11" ht="16.5">
      <c r="A23" s="2430" t="s">
        <v>705</v>
      </c>
      <c r="B23" s="2432"/>
      <c r="C23" s="2432"/>
      <c r="D23" s="2432"/>
      <c r="E23" s="2427" t="e">
        <f t="shared" si="0"/>
        <v>#DIV/0!</v>
      </c>
      <c r="F23" s="2427" t="e">
        <f t="shared" si="1"/>
        <v>#DIV/0!</v>
      </c>
      <c r="G23" s="2432"/>
      <c r="H23" s="2432"/>
      <c r="I23" s="2432"/>
      <c r="J23" s="2425"/>
      <c r="K23" s="2425"/>
    </row>
    <row r="24" spans="1:11">
      <c r="A24" s="2425"/>
      <c r="B24" s="2425"/>
      <c r="C24" s="2425"/>
      <c r="D24" s="2425"/>
      <c r="E24" s="2425"/>
      <c r="F24" s="2425"/>
      <c r="G24" s="2425"/>
      <c r="H24" s="2425"/>
      <c r="I24" s="2425"/>
      <c r="J24" s="2425"/>
      <c r="K24" s="2425"/>
    </row>
    <row r="25" spans="1:11">
      <c r="A25" s="2425"/>
      <c r="B25" s="2425"/>
      <c r="C25" s="2425"/>
      <c r="D25" s="2425"/>
      <c r="E25" s="2425"/>
      <c r="F25" s="2425"/>
      <c r="G25" s="2425"/>
      <c r="H25" s="2425"/>
      <c r="I25" s="2425"/>
      <c r="J25" s="2425"/>
      <c r="K25" s="2425"/>
    </row>
    <row r="26" spans="1:11">
      <c r="A26" s="2425"/>
      <c r="B26" s="2425"/>
      <c r="C26" s="2425"/>
      <c r="D26" s="2425"/>
      <c r="E26" s="2425"/>
      <c r="F26" s="2425"/>
      <c r="G26" s="2425"/>
      <c r="H26" s="2425"/>
      <c r="I26" s="2425"/>
      <c r="J26" s="2425"/>
      <c r="K26" s="2425"/>
    </row>
  </sheetData>
  <sheetProtection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Normal="100" zoomScaleSheetLayoutView="100" workbookViewId="0">
      <selection activeCell="F9" sqref="F9"/>
    </sheetView>
  </sheetViews>
  <sheetFormatPr defaultColWidth="12.625" defaultRowHeight="21.75" customHeight="1"/>
  <cols>
    <col min="1" max="2" width="12.625" style="2134"/>
    <col min="3" max="4" width="12.625" style="2134" customWidth="1"/>
    <col min="5" max="9" width="12.625" style="2134"/>
    <col min="10" max="11" width="12.625" style="327" customWidth="1"/>
    <col min="12" max="12" width="12.625" style="327"/>
    <col min="13" max="13" width="14.125" style="327" customWidth="1"/>
    <col min="14" max="26" width="12.625" style="327"/>
    <col min="27" max="35" width="12.625" style="2133"/>
    <col min="36" max="16384" width="12.625" style="2134"/>
  </cols>
  <sheetData>
    <row r="1" spans="1:12" ht="21.75" customHeight="1">
      <c r="A1" s="2135" t="s">
        <v>706</v>
      </c>
      <c r="B1" s="2136"/>
      <c r="C1" s="2137" t="s">
        <v>457</v>
      </c>
      <c r="D1" s="2136"/>
      <c r="E1" s="2136"/>
      <c r="F1" s="2138" t="s">
        <v>707</v>
      </c>
      <c r="G1" s="2139" t="s">
        <v>395</v>
      </c>
      <c r="H1" s="2140" t="str">
        <f>IF(G1="现房","——","估价对象范围")</f>
        <v>——</v>
      </c>
      <c r="I1" s="2276" t="s">
        <v>708</v>
      </c>
    </row>
    <row r="2" spans="1:12" ht="21.75" customHeight="1">
      <c r="A2" s="3315" t="str">
        <f>项目基本情况!S2</f>
        <v>北京市房地产</v>
      </c>
      <c r="B2" s="3316"/>
      <c r="C2" s="3316"/>
      <c r="D2" s="3316"/>
      <c r="E2" s="3316"/>
      <c r="F2" s="3316"/>
      <c r="G2" s="3316"/>
      <c r="H2" s="3316"/>
      <c r="I2" s="3317"/>
    </row>
    <row r="3" spans="1:12" ht="12.75">
      <c r="A3" s="3318" t="s">
        <v>709</v>
      </c>
      <c r="B3" s="3319"/>
      <c r="C3" s="3319"/>
      <c r="D3" s="3319"/>
      <c r="E3" s="3319"/>
      <c r="F3" s="3319"/>
      <c r="G3" s="3319"/>
      <c r="H3" s="3319"/>
      <c r="I3" s="3319"/>
    </row>
    <row r="4" spans="1:12" ht="14.25">
      <c r="A4" s="2141" t="s">
        <v>710</v>
      </c>
      <c r="B4" s="2142" t="s">
        <v>711</v>
      </c>
      <c r="C4" s="2143" t="s">
        <v>3129</v>
      </c>
      <c r="D4" s="2143" t="s">
        <v>3131</v>
      </c>
      <c r="E4" s="3320" t="s">
        <v>712</v>
      </c>
      <c r="F4" s="3321"/>
      <c r="G4" s="3321"/>
      <c r="H4" s="3321"/>
      <c r="I4" s="3322"/>
      <c r="K4" s="328" t="str">
        <f>IF(ISNUMBER(FIND("比较法",结果表!C4)),"比较法",IF(ISNUMBER(FIND("成本法",结果表!C4)),"成本法",IF(ISNUMBER(FIND("假设开发法",结果表!C4)),"假设开发法",IF(ISNUMBER(FIND("收益法",结果表!C4)),"收益法","基准地价系数修正法"))))</f>
        <v>成本法</v>
      </c>
      <c r="L4" s="328" t="str">
        <f>IF(ISNUMBER(FIND("比较法",结果表!D4)),"比较法",IF(ISNUMBER(FIND("成本法",结果表!D4)),"成本法",IF(ISNUMBER(FIND("假设开发法",结果表!D4)),"假设开发法",IF(ISNUMBER(FIND("收益法",结果表!D4)),"收益法","基准地价系数修正法"))))</f>
        <v>比较法</v>
      </c>
    </row>
    <row r="5" spans="1:12" ht="12.75">
      <c r="A5" s="3368" t="s">
        <v>713</v>
      </c>
      <c r="B5" s="3411">
        <v>25</v>
      </c>
      <c r="C5" s="3375"/>
      <c r="D5" s="3334"/>
      <c r="E5" s="1711" t="s">
        <v>714</v>
      </c>
      <c r="F5" s="2148"/>
      <c r="G5" s="2148"/>
      <c r="H5" s="2148"/>
      <c r="I5" s="1922"/>
    </row>
    <row r="6" spans="1:12" ht="12.75">
      <c r="A6" s="3368"/>
      <c r="B6" s="3411"/>
      <c r="C6" s="3376"/>
      <c r="D6" s="3334"/>
      <c r="E6" s="1711" t="s">
        <v>715</v>
      </c>
      <c r="F6" s="2148"/>
      <c r="G6" s="2148"/>
      <c r="H6" s="2148"/>
      <c r="I6" s="1922"/>
    </row>
    <row r="7" spans="1:12" ht="12.75">
      <c r="A7" s="3368"/>
      <c r="B7" s="3411"/>
      <c r="C7" s="3377"/>
      <c r="D7" s="3334"/>
      <c r="E7" s="1711" t="s">
        <v>716</v>
      </c>
      <c r="F7" s="2148"/>
      <c r="G7" s="2148"/>
      <c r="H7" s="2148"/>
      <c r="I7" s="1922"/>
    </row>
    <row r="8" spans="1:12" ht="12.75">
      <c r="A8" s="3368" t="s">
        <v>717</v>
      </c>
      <c r="B8" s="3411">
        <v>15</v>
      </c>
      <c r="C8" s="3375"/>
      <c r="D8" s="3334"/>
      <c r="E8" s="1711" t="s">
        <v>718</v>
      </c>
      <c r="F8" s="2148"/>
      <c r="G8" s="2148"/>
      <c r="H8" s="2148"/>
      <c r="I8" s="1922"/>
    </row>
    <row r="9" spans="1:12" ht="12.75">
      <c r="A9" s="3368"/>
      <c r="B9" s="3411"/>
      <c r="C9" s="3377"/>
      <c r="D9" s="3334"/>
      <c r="E9" s="1711" t="s">
        <v>719</v>
      </c>
      <c r="F9" s="2148"/>
      <c r="G9" s="2148"/>
      <c r="H9" s="2148"/>
      <c r="I9" s="1922"/>
    </row>
    <row r="10" spans="1:12" ht="12.75">
      <c r="A10" s="3368" t="s">
        <v>720</v>
      </c>
      <c r="B10" s="3411">
        <v>15</v>
      </c>
      <c r="C10" s="3375"/>
      <c r="D10" s="3334"/>
      <c r="E10" s="1711" t="s">
        <v>721</v>
      </c>
      <c r="F10" s="2148"/>
      <c r="G10" s="2148"/>
      <c r="H10" s="2148"/>
      <c r="I10" s="1922"/>
    </row>
    <row r="11" spans="1:12" ht="12.75">
      <c r="A11" s="3368"/>
      <c r="B11" s="3411"/>
      <c r="C11" s="3377"/>
      <c r="D11" s="3334"/>
      <c r="E11" s="1711" t="s">
        <v>722</v>
      </c>
      <c r="F11" s="2148"/>
      <c r="G11" s="2148"/>
      <c r="H11" s="2148"/>
      <c r="I11" s="1922"/>
    </row>
    <row r="12" spans="1:12" ht="12.75">
      <c r="A12" s="3368" t="s">
        <v>723</v>
      </c>
      <c r="B12" s="3411">
        <v>15</v>
      </c>
      <c r="C12" s="3375"/>
      <c r="D12" s="3334"/>
      <c r="E12" s="1711" t="s">
        <v>724</v>
      </c>
      <c r="F12" s="2148"/>
      <c r="G12" s="2148"/>
      <c r="H12" s="2148"/>
      <c r="I12" s="1922"/>
    </row>
    <row r="13" spans="1:12" ht="12.75">
      <c r="A13" s="3368"/>
      <c r="B13" s="3411"/>
      <c r="C13" s="3377"/>
      <c r="D13" s="3334"/>
      <c r="E13" s="1711" t="s">
        <v>725</v>
      </c>
      <c r="F13" s="2148"/>
      <c r="G13" s="2148"/>
      <c r="H13" s="2148"/>
      <c r="I13" s="1922"/>
    </row>
    <row r="14" spans="1:12" ht="12.75">
      <c r="A14" s="3368" t="s">
        <v>726</v>
      </c>
      <c r="B14" s="3411">
        <v>30</v>
      </c>
      <c r="C14" s="3375">
        <v>4</v>
      </c>
      <c r="D14" s="3334">
        <f>10-C14</f>
        <v>6</v>
      </c>
      <c r="E14" s="1711" t="s">
        <v>727</v>
      </c>
      <c r="F14" s="2148"/>
      <c r="G14" s="2148"/>
      <c r="H14" s="2148"/>
      <c r="I14" s="1922"/>
    </row>
    <row r="15" spans="1:12" ht="12.75">
      <c r="A15" s="3368"/>
      <c r="B15" s="3411"/>
      <c r="C15" s="3376"/>
      <c r="D15" s="3334"/>
      <c r="E15" s="1711" t="s">
        <v>728</v>
      </c>
      <c r="F15" s="2148"/>
      <c r="G15" s="2148"/>
      <c r="H15" s="2148"/>
      <c r="I15" s="1922"/>
    </row>
    <row r="16" spans="1:12" ht="12.75">
      <c r="A16" s="3368"/>
      <c r="B16" s="3411"/>
      <c r="C16" s="3377"/>
      <c r="D16" s="3334"/>
      <c r="E16" s="1711" t="s">
        <v>729</v>
      </c>
      <c r="F16" s="2148"/>
      <c r="G16" s="2148"/>
      <c r="H16" s="2148"/>
      <c r="I16" s="1922"/>
    </row>
    <row r="17" spans="1:36" ht="15">
      <c r="A17" s="2149" t="s">
        <v>730</v>
      </c>
      <c r="B17" s="2150"/>
      <c r="C17" s="2151">
        <f>SUM(C5:C16)</f>
        <v>4</v>
      </c>
      <c r="D17" s="2151">
        <f>SUM(D5:D16)</f>
        <v>6</v>
      </c>
      <c r="E17" s="370"/>
      <c r="F17" s="370"/>
      <c r="G17" s="370"/>
      <c r="H17" s="370"/>
      <c r="I17" s="370"/>
      <c r="K17" s="1671"/>
      <c r="L17" s="1671" t="s">
        <v>731</v>
      </c>
      <c r="M17" s="1671" t="s">
        <v>732</v>
      </c>
    </row>
    <row r="18" spans="1:36" ht="31.9" customHeight="1">
      <c r="A18" s="2152" t="s">
        <v>733</v>
      </c>
      <c r="B18" s="2153"/>
      <c r="C18" s="2154">
        <f>ROUND(C17/SUM(C17:D17),2)</f>
        <v>0.4</v>
      </c>
      <c r="D18" s="2154">
        <f>1-C18</f>
        <v>0.6</v>
      </c>
      <c r="E18" s="3323" t="s">
        <v>734</v>
      </c>
      <c r="F18" s="3324"/>
      <c r="G18" s="3324"/>
      <c r="H18" s="3324"/>
      <c r="I18" s="3324"/>
      <c r="K18" s="1671" t="s">
        <v>364</v>
      </c>
      <c r="L18" s="1671">
        <f>IF(C1="",'数据-汇总表'!E3,SUMIF(项目类型,C1,'数据-汇总表'!E17:E26)+SUMIF(项目类型,C1,'数据-汇总表'!I17:I26))</f>
        <v>1</v>
      </c>
      <c r="M18" s="1671">
        <f>IF(C1="",'数据-汇总表'!E3,SUMIF(项目类型,C1,'数据-汇总表'!E17:E26))</f>
        <v>1</v>
      </c>
    </row>
    <row r="19" spans="1:36" ht="15">
      <c r="A19" s="2155" t="s">
        <v>735</v>
      </c>
      <c r="B19" s="2156" t="s">
        <v>736</v>
      </c>
      <c r="C19" s="2157">
        <f ca="1">SUMIF(INDIRECT("'"&amp;C4&amp;"'"&amp;"!A:A"),结果表!B19,INDIRECT("'"&amp;C4&amp;"'"&amp;"!B:B"))</f>
        <v>2</v>
      </c>
      <c r="D19" s="1344">
        <f ca="1">SUMIF(INDIRECT("'"&amp;D4&amp;"'"&amp;"!A:A"),结果表!B19,INDIRECT("'"&amp;D4&amp;"'"&amp;"!B:B"))</f>
        <v>4</v>
      </c>
      <c r="E19" s="2155" t="s">
        <v>737</v>
      </c>
      <c r="F19" s="2156" t="s">
        <v>736</v>
      </c>
      <c r="G19" s="2158">
        <f ca="1">ROUND(C19*$C$18+D19*$D$18,0)</f>
        <v>3</v>
      </c>
      <c r="H19" s="2159" t="s">
        <v>738</v>
      </c>
      <c r="I19" s="370"/>
      <c r="K19" s="1671" t="s">
        <v>368</v>
      </c>
      <c r="L19" s="1671">
        <f>IF(C1="",'数据-汇总表'!D3,SUMIF(项目类型,C1,'数据-汇总表'!D17:D26)+SUMIF(项目类型,C1,'数据-汇总表'!H17:H27))</f>
        <v>0.39</v>
      </c>
      <c r="M19" s="1671">
        <f>IF(C1="",'数据-汇总表'!D3,SUMIF(项目类型,C1,'数据-汇总表'!D17:D26))</f>
        <v>0.39</v>
      </c>
    </row>
    <row r="20" spans="1:36" ht="15">
      <c r="A20" s="2160"/>
      <c r="B20" s="2161" t="s">
        <v>739</v>
      </c>
      <c r="C20" s="2162">
        <f ca="1">'成本法-共产划拨'!C52</f>
        <v>23182</v>
      </c>
      <c r="D20" s="2163">
        <f ca="1">'比较法-共产出让'!C50</f>
        <v>29655</v>
      </c>
      <c r="E20" s="2160"/>
      <c r="F20" s="2161" t="s">
        <v>739</v>
      </c>
      <c r="G20" s="2164">
        <f ca="1">ROUND(C20*$C$18+D20*$D$18,0)</f>
        <v>27066</v>
      </c>
      <c r="H20" s="1826" t="s">
        <v>740</v>
      </c>
      <c r="I20" s="370"/>
    </row>
    <row r="21" spans="1:36" ht="15" customHeight="1">
      <c r="A21" s="2004"/>
      <c r="B21" s="2165" t="s">
        <v>741</v>
      </c>
      <c r="C21" s="2166">
        <f ca="1">ROUND(C19*10000/L19,0)</f>
        <v>51282</v>
      </c>
      <c r="D21" s="2167">
        <f ca="1">ROUND(D19*10000/L19,0)</f>
        <v>102564</v>
      </c>
      <c r="E21" s="2004"/>
      <c r="F21" s="2165" t="s">
        <v>741</v>
      </c>
      <c r="G21" s="2168">
        <f ca="1">ROUND(G19*10000/L19,0)</f>
        <v>76923</v>
      </c>
      <c r="H21" s="2169" t="s">
        <v>740</v>
      </c>
      <c r="I21" s="370"/>
      <c r="J21" s="327">
        <f ca="1">'成本法-共产划拨'!C52</f>
        <v>23182</v>
      </c>
      <c r="K21" s="327">
        <v>0.5</v>
      </c>
      <c r="L21" s="327">
        <f ca="1">J21*K21</f>
        <v>11591</v>
      </c>
    </row>
    <row r="22" spans="1:36" ht="14.25">
      <c r="A22" s="2170" t="s">
        <v>742</v>
      </c>
      <c r="B22" s="2171"/>
      <c r="C22" s="2172"/>
      <c r="D22" s="2173">
        <f ca="1">IF(C20&lt;D20,D20/C20-1,C20/D20-1)</f>
        <v>0.27922526097834521</v>
      </c>
      <c r="E22" s="370"/>
      <c r="F22" s="2174"/>
      <c r="G22" s="2137"/>
      <c r="H22" s="370"/>
      <c r="I22" s="370"/>
      <c r="J22" s="327">
        <f>'比较法-共产出让'!C49</f>
        <v>37456</v>
      </c>
      <c r="K22" s="327">
        <v>0.5</v>
      </c>
      <c r="L22" s="327">
        <f>K22*J22</f>
        <v>18728</v>
      </c>
    </row>
    <row r="23" spans="1:36" ht="12.75">
      <c r="A23" s="2136"/>
      <c r="B23" s="2136"/>
      <c r="C23" s="2136"/>
      <c r="D23" s="2136"/>
      <c r="E23" s="370"/>
      <c r="F23" s="2174"/>
      <c r="G23" s="2137"/>
      <c r="H23" s="370"/>
      <c r="I23" s="370"/>
      <c r="L23" s="327">
        <f ca="1">L21+L22</f>
        <v>30319</v>
      </c>
    </row>
    <row r="24" spans="1:36" ht="14.25">
      <c r="A24" s="3404" t="s">
        <v>743</v>
      </c>
      <c r="B24" s="2156" t="s">
        <v>736</v>
      </c>
      <c r="C24" s="2158">
        <f>IF(B30=0,0,D30)</f>
        <v>0</v>
      </c>
      <c r="D24" s="2175"/>
      <c r="E24" s="370"/>
      <c r="F24" s="370"/>
      <c r="G24" s="370"/>
      <c r="H24" s="370"/>
      <c r="I24" s="370"/>
      <c r="K24" s="327" t="s">
        <v>744</v>
      </c>
      <c r="L24" s="327">
        <v>31884</v>
      </c>
    </row>
    <row r="25" spans="1:36" ht="14.25">
      <c r="A25" s="3405"/>
      <c r="B25" s="2161" t="s">
        <v>739</v>
      </c>
      <c r="C25" s="2176">
        <f>IF(B30=0,0,C30)</f>
        <v>0</v>
      </c>
      <c r="D25" s="2177"/>
      <c r="E25" s="370"/>
      <c r="F25" s="370"/>
      <c r="G25" s="370"/>
      <c r="H25" s="370"/>
      <c r="I25" s="370"/>
      <c r="L25" s="327">
        <f ca="1">L23-L24</f>
        <v>-1565</v>
      </c>
    </row>
    <row r="26" spans="1:36" ht="13.5" customHeight="1">
      <c r="A26" s="2178" t="s">
        <v>745</v>
      </c>
      <c r="B26" s="2179" t="s">
        <v>746</v>
      </c>
      <c r="C26" s="2179" t="s">
        <v>747</v>
      </c>
      <c r="D26" s="2180" t="s">
        <v>748</v>
      </c>
      <c r="E26" s="370"/>
      <c r="F26" s="370"/>
      <c r="G26" s="370"/>
      <c r="H26" s="370"/>
      <c r="I26" s="370"/>
    </row>
    <row r="27" spans="1:36" ht="14.25">
      <c r="A27" s="2178"/>
      <c r="B27" s="2179">
        <v>0</v>
      </c>
      <c r="C27" s="2179">
        <v>0</v>
      </c>
      <c r="D27" s="2180">
        <f>ROUND(C27*B27/10000,0)</f>
        <v>0</v>
      </c>
      <c r="E27" s="370"/>
      <c r="F27" s="370"/>
      <c r="G27" s="370"/>
      <c r="H27" s="370"/>
      <c r="I27" s="370"/>
    </row>
    <row r="28" spans="1:36" ht="14.25">
      <c r="A28" s="2178"/>
      <c r="B28" s="2179"/>
      <c r="C28" s="2179"/>
      <c r="D28" s="2180"/>
      <c r="E28" s="370"/>
      <c r="F28" s="370"/>
      <c r="G28" s="370"/>
      <c r="H28" s="370"/>
      <c r="I28" s="370"/>
    </row>
    <row r="29" spans="1:36" ht="14.25">
      <c r="A29" s="2178"/>
      <c r="B29" s="2179"/>
      <c r="C29" s="2179"/>
      <c r="D29" s="2180"/>
      <c r="E29" s="370"/>
      <c r="F29" s="370"/>
      <c r="G29" s="370"/>
      <c r="H29" s="370"/>
      <c r="I29" s="370"/>
    </row>
    <row r="30" spans="1:36" ht="14.25">
      <c r="A30" s="2179" t="s">
        <v>749</v>
      </c>
      <c r="B30" s="2179"/>
      <c r="C30" s="2179"/>
      <c r="D30" s="2179"/>
      <c r="E30" s="2181" t="s">
        <v>750</v>
      </c>
      <c r="F30" s="370"/>
      <c r="G30" s="370"/>
      <c r="H30" s="370"/>
      <c r="I30" s="370"/>
    </row>
    <row r="31" spans="1:36" s="2130" customFormat="1" ht="26.45" customHeight="1">
      <c r="A31" s="2182"/>
      <c r="B31" s="2183"/>
      <c r="C31" s="2183"/>
      <c r="D31" s="2183"/>
      <c r="E31" s="2183"/>
      <c r="F31" s="2183"/>
      <c r="G31" s="2183"/>
      <c r="H31" s="2183"/>
      <c r="I31" s="2278" t="s">
        <v>751</v>
      </c>
      <c r="J31" s="2279"/>
      <c r="K31" s="2280"/>
      <c r="L31" s="2280"/>
      <c r="M31" s="2280"/>
      <c r="N31" s="2280"/>
      <c r="O31" s="2280"/>
      <c r="P31" s="2280"/>
      <c r="Q31" s="2280"/>
      <c r="R31" s="2280"/>
      <c r="S31" s="2280"/>
      <c r="T31" s="2280"/>
      <c r="U31" s="2280"/>
      <c r="V31" s="2280"/>
      <c r="W31" s="2280"/>
      <c r="X31" s="2280"/>
      <c r="Y31" s="2280"/>
      <c r="Z31" s="2280"/>
      <c r="AA31" s="2280"/>
      <c r="AB31" s="2311"/>
      <c r="AC31" s="2311"/>
      <c r="AD31" s="2311"/>
      <c r="AE31" s="2311"/>
      <c r="AF31" s="2311"/>
      <c r="AG31" s="2311"/>
      <c r="AH31" s="2311"/>
      <c r="AI31" s="2311"/>
      <c r="AJ31" s="2311"/>
    </row>
    <row r="32" spans="1:36" ht="15">
      <c r="A32" s="2184" t="s">
        <v>752</v>
      </c>
      <c r="B32" s="2185"/>
      <c r="C32" s="2186">
        <f ca="1">IF(D32="总价",G19-C24,G20-C25)</f>
        <v>27066</v>
      </c>
      <c r="D32" s="2187" t="s">
        <v>753</v>
      </c>
      <c r="E32" s="370"/>
      <c r="F32" s="370"/>
      <c r="G32" s="370"/>
      <c r="H32" s="370"/>
      <c r="I32" s="370"/>
    </row>
    <row r="33" spans="1:15" ht="15">
      <c r="A33" s="1944" t="s">
        <v>754</v>
      </c>
      <c r="B33" s="2188"/>
      <c r="C33" s="2189" t="s">
        <v>755</v>
      </c>
      <c r="D33" s="2190"/>
      <c r="E33" s="2191" t="s">
        <v>756</v>
      </c>
      <c r="F33" s="2192" t="str">
        <f>IF(D32="楼面单价","取值（单价）","取值（总价）")</f>
        <v>取值（单价）</v>
      </c>
      <c r="G33" s="370"/>
      <c r="H33" s="370"/>
      <c r="I33" s="370"/>
    </row>
    <row r="34" spans="1:15" ht="15">
      <c r="A34" s="2193"/>
      <c r="B34" s="2194" t="s">
        <v>757</v>
      </c>
      <c r="C34" s="2195">
        <f>IF(C33="自定义",F34,C32-C35)</f>
        <v>0</v>
      </c>
      <c r="D34" s="2196">
        <f ca="1">IF(C33="自定义",ROUND(C34/C32,3),IF(C33="收益比率",SUMIF(INDIRECT("'"&amp;D33&amp;"'"&amp;"!b:b"),"土地收益比率",INDIRECT("'"&amp;D33&amp;"'"&amp;"!c:c")),SUMIF(INDIRECT("'"&amp;D33&amp;"'"&amp;"!b:b"),"土地成本比率",INDIRECT("'"&amp;D33&amp;"'"&amp;"!c:c"))))</f>
        <v>0</v>
      </c>
      <c r="E34" s="2197" t="s">
        <v>758</v>
      </c>
      <c r="F34" s="2198"/>
      <c r="G34" s="370"/>
      <c r="H34" s="370"/>
      <c r="I34" s="370"/>
    </row>
    <row r="35" spans="1:15" ht="15">
      <c r="A35" s="2199"/>
      <c r="B35" s="2200" t="s">
        <v>759</v>
      </c>
      <c r="C35" s="2201">
        <f>IF(C33="自定义",F35,ROUND(C32*D35,0))</f>
        <v>0</v>
      </c>
      <c r="D35" s="2202">
        <f ca="1">IF(C33="自定义",ROUND(C35/C32,3),IF(C33="收益比率",SUMIF(INDIRECT("'"&amp;D33&amp;"'"&amp;"!b:b"),"建筑物收益比率",INDIRECT("'"&amp;D33&amp;"'"&amp;"!c:c")),SUMIF(INDIRECT("'"&amp;D33&amp;"'"&amp;"!b:b"),"建筑物成本比率",INDIRECT("'"&amp;D33&amp;"'"&amp;"!c:c"))))</f>
        <v>0</v>
      </c>
      <c r="E35" s="2203" t="s">
        <v>760</v>
      </c>
      <c r="F35" s="2204"/>
      <c r="G35" s="370"/>
      <c r="H35" s="370"/>
      <c r="I35" s="370"/>
    </row>
    <row r="36" spans="1:15" ht="15">
      <c r="A36" s="3406" t="s">
        <v>761</v>
      </c>
      <c r="B36" s="2205" t="s">
        <v>762</v>
      </c>
      <c r="C36" s="2206"/>
      <c r="D36" s="2207"/>
      <c r="E36" s="2208"/>
      <c r="F36" s="2209"/>
      <c r="G36" s="370"/>
      <c r="H36" s="370"/>
      <c r="I36" s="370"/>
    </row>
    <row r="37" spans="1:15" ht="15">
      <c r="A37" s="3407"/>
      <c r="B37" s="2210" t="s">
        <v>763</v>
      </c>
      <c r="C37" s="2211"/>
      <c r="D37" s="2212"/>
      <c r="E37" s="2212"/>
      <c r="F37" s="2209"/>
      <c r="G37" s="370"/>
      <c r="H37" s="370"/>
      <c r="I37" s="370"/>
    </row>
    <row r="38" spans="1:15" ht="15">
      <c r="A38" s="3408"/>
      <c r="B38" s="2213" t="s">
        <v>764</v>
      </c>
      <c r="C38" s="2214"/>
      <c r="D38" s="2215" t="s">
        <v>765</v>
      </c>
      <c r="E38" s="2212"/>
      <c r="F38" s="2209"/>
      <c r="G38" s="370"/>
      <c r="H38" s="370"/>
      <c r="I38" s="370"/>
    </row>
    <row r="39" spans="1:15" ht="15">
      <c r="A39" s="2160" t="s">
        <v>766</v>
      </c>
      <c r="B39" s="2216" t="s">
        <v>746</v>
      </c>
      <c r="C39" s="2217" t="s">
        <v>747</v>
      </c>
      <c r="D39" s="2217" t="s">
        <v>767</v>
      </c>
      <c r="E39" s="2218" t="s">
        <v>748</v>
      </c>
      <c r="F39" s="2209"/>
      <c r="G39" s="370"/>
      <c r="H39" s="370"/>
      <c r="I39" s="370"/>
    </row>
    <row r="40" spans="1:15" ht="14.25">
      <c r="A40" s="2219" t="s">
        <v>768</v>
      </c>
      <c r="B40" s="2220"/>
      <c r="C40" s="388"/>
      <c r="D40" s="388"/>
      <c r="E40" s="2221"/>
      <c r="F40" s="2209"/>
      <c r="G40" s="370"/>
      <c r="H40" s="370"/>
      <c r="I40" s="370"/>
    </row>
    <row r="41" spans="1:15" ht="14.25">
      <c r="A41" s="2219" t="s">
        <v>769</v>
      </c>
      <c r="B41" s="2220"/>
      <c r="C41" s="388"/>
      <c r="D41" s="388"/>
      <c r="E41" s="2221"/>
      <c r="F41" s="2209"/>
      <c r="G41" s="370"/>
      <c r="H41" s="370"/>
      <c r="I41" s="370"/>
    </row>
    <row r="42" spans="1:15" ht="14.25">
      <c r="A42" s="2222"/>
      <c r="B42" s="2223"/>
      <c r="C42" s="2224"/>
      <c r="D42" s="2224"/>
      <c r="E42" s="2204"/>
      <c r="F42" s="2209"/>
      <c r="G42" s="370"/>
      <c r="H42" s="370"/>
      <c r="I42" s="370"/>
    </row>
    <row r="43" spans="1:15" ht="12.75">
      <c r="A43" s="2225"/>
      <c r="B43" s="2225"/>
      <c r="C43" s="2225"/>
      <c r="D43" s="2225"/>
      <c r="E43" s="2225"/>
      <c r="F43" s="2226"/>
      <c r="G43" s="2226"/>
      <c r="H43" s="2226"/>
      <c r="I43" s="2281"/>
    </row>
    <row r="44" spans="1:15" ht="18.75">
      <c r="A44" s="2227" t="s">
        <v>770</v>
      </c>
      <c r="B44" s="2228"/>
      <c r="C44" s="2228"/>
      <c r="D44" s="2229"/>
      <c r="E44" s="2229"/>
      <c r="F44" s="2230"/>
      <c r="G44" s="2230"/>
      <c r="H44" s="2230"/>
      <c r="I44" s="2230"/>
      <c r="J44" s="2282" t="s">
        <v>771</v>
      </c>
      <c r="K44" s="2283"/>
      <c r="L44" s="2283"/>
      <c r="M44" s="2283"/>
      <c r="N44" s="2283"/>
      <c r="O44" s="2283"/>
    </row>
    <row r="45" spans="1:15" ht="14.25" customHeight="1">
      <c r="A45" s="3325" t="s">
        <v>772</v>
      </c>
      <c r="B45" s="3326"/>
      <c r="C45" s="3327"/>
      <c r="D45" s="1670">
        <f ca="1">ROUND(H101*F45,0)</f>
        <v>3</v>
      </c>
      <c r="E45" s="2231" t="s">
        <v>773</v>
      </c>
      <c r="F45" s="2232">
        <v>1</v>
      </c>
      <c r="G45" s="2233" t="s">
        <v>774</v>
      </c>
      <c r="H45" s="370"/>
      <c r="I45" s="370"/>
      <c r="J45" s="3328" t="s">
        <v>775</v>
      </c>
      <c r="K45" s="3328"/>
      <c r="L45" s="3328"/>
      <c r="M45" s="3328"/>
      <c r="N45" s="3328"/>
      <c r="O45" s="3328"/>
    </row>
    <row r="46" spans="1:15" ht="14.25" customHeight="1">
      <c r="A46" s="3329" t="s">
        <v>776</v>
      </c>
      <c r="B46" s="3330"/>
      <c r="C46" s="3330"/>
      <c r="D46" s="3330"/>
      <c r="E46" s="3330"/>
      <c r="F46" s="3330"/>
      <c r="G46" s="3331"/>
      <c r="H46" s="2234"/>
      <c r="I46" s="371"/>
      <c r="J46" s="2284">
        <v>1</v>
      </c>
      <c r="K46" s="3332" t="s">
        <v>777</v>
      </c>
      <c r="L46" s="3332"/>
      <c r="M46" s="3333"/>
      <c r="N46" s="3333"/>
      <c r="O46" s="3333"/>
    </row>
    <row r="47" spans="1:15" ht="12" customHeight="1">
      <c r="A47" s="2235" t="s">
        <v>778</v>
      </c>
      <c r="B47" s="2236"/>
      <c r="C47" s="2237"/>
      <c r="D47" s="1721" t="s">
        <v>779</v>
      </c>
      <c r="E47" s="1671" t="s">
        <v>780</v>
      </c>
      <c r="F47" s="2238" t="s">
        <v>781</v>
      </c>
      <c r="G47" s="2239" t="s">
        <v>782</v>
      </c>
      <c r="H47" s="2240"/>
      <c r="I47" s="371"/>
      <c r="J47" s="2284">
        <v>2</v>
      </c>
      <c r="K47" s="3332" t="s">
        <v>783</v>
      </c>
      <c r="L47" s="3332"/>
      <c r="M47" s="3335">
        <f>'数据-取费表'!B2</f>
        <v>44347</v>
      </c>
      <c r="N47" s="3335"/>
      <c r="O47" s="3335"/>
    </row>
    <row r="48" spans="1:15" ht="25.5">
      <c r="A48" s="3336" t="s">
        <v>784</v>
      </c>
      <c r="B48" s="3337"/>
      <c r="C48" s="3337"/>
      <c r="D48" s="1824" t="b">
        <f>IF(H48="情况1",0,IF(H48="情况2",D52,IF(H48="情况3",D53,IF(H48="情况4",D54))))</f>
        <v>0</v>
      </c>
      <c r="E48" s="1725" t="str">
        <f>IF(H48="情况4","(销售额-原购置价)×税（费）率","销售额×税（费）率")</f>
        <v>销售额×税（费）率</v>
      </c>
      <c r="F48" s="2242">
        <f>IF(H48="情况1","免征",'数据-取费表'!B41)</f>
        <v>5.6000000000000001E-2</v>
      </c>
      <c r="G48" s="2243" t="s">
        <v>785</v>
      </c>
      <c r="H48" s="2244"/>
      <c r="I48" s="2234"/>
      <c r="J48" s="2284">
        <v>3</v>
      </c>
      <c r="K48" s="3332" t="s">
        <v>786</v>
      </c>
      <c r="L48" s="3332"/>
      <c r="M48" s="3338">
        <f ca="1">H101</f>
        <v>3</v>
      </c>
      <c r="N48" s="3338"/>
      <c r="O48" s="3338"/>
    </row>
    <row r="49" spans="1:35" ht="25.5" customHeight="1">
      <c r="A49" s="2241" t="s">
        <v>787</v>
      </c>
      <c r="B49" s="3339" t="s">
        <v>788</v>
      </c>
      <c r="C49" s="3339"/>
      <c r="D49" s="2245">
        <v>0</v>
      </c>
      <c r="E49" s="1731" t="s">
        <v>789</v>
      </c>
      <c r="F49" s="2246" t="s">
        <v>124</v>
      </c>
      <c r="G49" s="3344"/>
      <c r="H49" s="2247" t="s">
        <v>790</v>
      </c>
      <c r="I49" s="2286"/>
      <c r="J49" s="2284">
        <v>4</v>
      </c>
      <c r="K49" s="3332" t="str">
        <f>IF(项目基本情况!E8="房地产抵押价值","房地产抵押价值","抵押担保权已注销时的房地产抵押价值")</f>
        <v>抵押担保权已注销时的房地产抵押价值</v>
      </c>
      <c r="L49" s="3332"/>
      <c r="M49" s="3338">
        <f ca="1">IF(项目基本情况!E8="房地产抵押价值",H107,H109)</f>
        <v>3</v>
      </c>
      <c r="N49" s="3338"/>
      <c r="O49" s="3338"/>
    </row>
    <row r="50" spans="1:35" ht="25.5" customHeight="1">
      <c r="A50" s="2248"/>
      <c r="B50" s="3339" t="s">
        <v>791</v>
      </c>
      <c r="C50" s="3339"/>
      <c r="D50" s="2249"/>
      <c r="E50" s="1746"/>
      <c r="F50" s="2246"/>
      <c r="G50" s="3345"/>
      <c r="H50" s="2250" t="s">
        <v>792</v>
      </c>
      <c r="I50" s="2286"/>
      <c r="J50" s="3328" t="s">
        <v>793</v>
      </c>
      <c r="K50" s="3328"/>
      <c r="L50" s="3328"/>
      <c r="M50" s="3328"/>
      <c r="N50" s="3328"/>
      <c r="O50" s="3328"/>
    </row>
    <row r="51" spans="1:35" ht="20.45" customHeight="1">
      <c r="A51" s="2251"/>
      <c r="B51" s="3339" t="s">
        <v>794</v>
      </c>
      <c r="C51" s="3339"/>
      <c r="D51" s="1721"/>
      <c r="E51" s="1735"/>
      <c r="F51" s="2246"/>
      <c r="G51" s="3346"/>
      <c r="H51" s="2250" t="s">
        <v>795</v>
      </c>
      <c r="I51" s="2286"/>
      <c r="J51" s="2285" t="s">
        <v>796</v>
      </c>
      <c r="K51" s="3332" t="s">
        <v>797</v>
      </c>
      <c r="L51" s="3332"/>
      <c r="M51" s="2285" t="s">
        <v>798</v>
      </c>
      <c r="N51" s="2285" t="s">
        <v>799</v>
      </c>
      <c r="O51" s="2285" t="s">
        <v>800</v>
      </c>
    </row>
    <row r="52" spans="1:35" ht="24" customHeight="1">
      <c r="A52" s="2252" t="s">
        <v>801</v>
      </c>
      <c r="B52" s="3339" t="s">
        <v>802</v>
      </c>
      <c r="C52" s="3339"/>
      <c r="D52" s="1721">
        <f ca="1">ROUND(D45*'数据-取费表'!B41/(1+'数据-取费表'!C42),0)</f>
        <v>0</v>
      </c>
      <c r="E52" s="1725" t="s">
        <v>803</v>
      </c>
      <c r="F52" s="2253">
        <f>'数据-取费表'!B41</f>
        <v>5.6000000000000001E-2</v>
      </c>
      <c r="G52" s="2254"/>
      <c r="H52" s="1839"/>
      <c r="I52" s="2287"/>
      <c r="J52" s="2284">
        <v>1</v>
      </c>
      <c r="K52" s="3340" t="s">
        <v>804</v>
      </c>
      <c r="L52" s="3340"/>
      <c r="M52" s="2288" t="b">
        <f>D48</f>
        <v>0</v>
      </c>
      <c r="N52" s="2284" t="str">
        <f>E48</f>
        <v>销售额×税（费）率</v>
      </c>
      <c r="O52" s="2289">
        <f>F48</f>
        <v>5.6000000000000001E-2</v>
      </c>
    </row>
    <row r="53" spans="1:35" ht="12" customHeight="1">
      <c r="A53" s="2252" t="s">
        <v>805</v>
      </c>
      <c r="B53" s="3341" t="s">
        <v>806</v>
      </c>
      <c r="C53" s="3342"/>
      <c r="D53" s="1721">
        <f ca="1">ROUND(D45*'数据-取费表'!B41/(1+'数据-取费表'!C42),0)</f>
        <v>0</v>
      </c>
      <c r="E53" s="1725" t="s">
        <v>803</v>
      </c>
      <c r="F53" s="2253">
        <f>'数据-取费表'!B41</f>
        <v>5.6000000000000001E-2</v>
      </c>
      <c r="G53" s="2254"/>
      <c r="H53" s="1839"/>
      <c r="I53" s="2287"/>
      <c r="J53" s="2284">
        <v>2</v>
      </c>
      <c r="K53" s="3340" t="s">
        <v>807</v>
      </c>
      <c r="L53" s="3340"/>
      <c r="M53" s="2288">
        <f t="shared" ref="M53:O54" ca="1" si="0">D55</f>
        <v>0</v>
      </c>
      <c r="N53" s="2284" t="str">
        <f t="shared" si="0"/>
        <v>销售额×税（费）率</v>
      </c>
      <c r="O53" s="2289" t="str">
        <f t="shared" si="0"/>
        <v>免征</v>
      </c>
    </row>
    <row r="54" spans="1:35" ht="12" customHeight="1">
      <c r="A54" s="2252" t="s">
        <v>808</v>
      </c>
      <c r="B54" s="3341" t="s">
        <v>809</v>
      </c>
      <c r="C54" s="3342"/>
      <c r="D54" s="1721">
        <f ca="1">C68</f>
        <v>0</v>
      </c>
      <c r="E54" s="1735" t="s">
        <v>810</v>
      </c>
      <c r="F54" s="2253">
        <f>'数据-取费表'!B41</f>
        <v>5.6000000000000001E-2</v>
      </c>
      <c r="G54" s="2254"/>
      <c r="H54" s="2255"/>
      <c r="I54" s="2287"/>
      <c r="J54" s="2284">
        <v>3</v>
      </c>
      <c r="K54" s="3340" t="s">
        <v>811</v>
      </c>
      <c r="L54" s="3340"/>
      <c r="M54" s="2288" t="e">
        <f t="shared" ca="1" si="0"/>
        <v>#DIV/0!</v>
      </c>
      <c r="N54" s="2284" t="str">
        <f t="shared" si="0"/>
        <v>增值额×税（费）率</v>
      </c>
      <c r="O54" s="2290" t="str">
        <f t="shared" si="0"/>
        <v>免征</v>
      </c>
    </row>
    <row r="55" spans="1:35" ht="24" customHeight="1">
      <c r="A55" s="3343" t="s">
        <v>812</v>
      </c>
      <c r="B55" s="3337"/>
      <c r="C55" s="3337"/>
      <c r="D55" s="1824">
        <f ca="1">IF(H55="个人住宅",0,ROUND(D45*I55,0))</f>
        <v>0</v>
      </c>
      <c r="E55" s="1725" t="s">
        <v>813</v>
      </c>
      <c r="F55" s="2253" t="str">
        <f>IF(H55="正常",I55,"免征")</f>
        <v>免征</v>
      </c>
      <c r="G55" s="2254"/>
      <c r="H55" s="2244"/>
      <c r="I55" s="2291">
        <f>'数据-取费表'!B49</f>
        <v>0</v>
      </c>
      <c r="J55" s="2284">
        <f>IF(H59="非个人房产","",4)</f>
        <v>4</v>
      </c>
      <c r="K55" s="3340" t="str">
        <f>IF(H59="非个人房产","——","个人所得税")</f>
        <v>个人所得税</v>
      </c>
      <c r="L55" s="3340"/>
      <c r="M55" s="2292">
        <f ca="1">D59</f>
        <v>0</v>
      </c>
      <c r="N55" s="700" t="str">
        <f>E59</f>
        <v>差额计税</v>
      </c>
      <c r="O55" s="2293">
        <f>F59</f>
        <v>0.01</v>
      </c>
    </row>
    <row r="56" spans="1:35" ht="24.75">
      <c r="A56" s="3343" t="s">
        <v>814</v>
      </c>
      <c r="B56" s="3337"/>
      <c r="C56" s="3337"/>
      <c r="D56" s="1824" t="e">
        <f ca="1">IF(H56="个人住宅",D57,D58)</f>
        <v>#DIV/0!</v>
      </c>
      <c r="E56" s="1725" t="s">
        <v>815</v>
      </c>
      <c r="F56" s="2253" t="str">
        <f>IF(H56="正常",F58,"免征")</f>
        <v>免征</v>
      </c>
      <c r="G56" s="2256" t="s">
        <v>816</v>
      </c>
      <c r="H56" s="2257"/>
      <c r="I56" s="2266"/>
      <c r="J56" s="2284" t="str">
        <f>IF(项目基本情况!K6="上海银行",IF(J55="",4,J55+1),"")</f>
        <v/>
      </c>
      <c r="K56" s="3356" t="str">
        <f>IF(项目基本情况!K6="上海银行","其他处置费用","")</f>
        <v/>
      </c>
      <c r="L56" s="3357"/>
      <c r="M56" s="2288" t="str">
        <f>IF(项目基本情况!K6="上海银行",M69,"")</f>
        <v/>
      </c>
      <c r="N56" s="3356" t="str">
        <f>IF(项目基本情况!K6="上海银行","包含处置中涉及的律师、诉讼、拍卖、评估等费用","")</f>
        <v/>
      </c>
      <c r="O56" s="3358"/>
    </row>
    <row r="57" spans="1:35" ht="12.75">
      <c r="A57" s="2252" t="s">
        <v>787</v>
      </c>
      <c r="B57" s="3341" t="s">
        <v>817</v>
      </c>
      <c r="C57" s="3342"/>
      <c r="D57" s="2245">
        <v>0</v>
      </c>
      <c r="E57" s="1731" t="s">
        <v>789</v>
      </c>
      <c r="F57" s="1671"/>
      <c r="G57" s="2254"/>
      <c r="H57" s="2258"/>
      <c r="I57" s="2266"/>
      <c r="J57" s="3340">
        <f>IF(AND(J55="",J56=""),4,IF(项目基本情况!K6="上海银行",结果表!J56+1,结果表!J55+1))</f>
        <v>5</v>
      </c>
      <c r="K57" s="3340" t="s">
        <v>818</v>
      </c>
      <c r="L57" s="2294" t="s">
        <v>819</v>
      </c>
      <c r="M57" s="2295"/>
      <c r="N57" s="2296">
        <f ca="1">SUMIF(M52:M56,"&lt;9e307")</f>
        <v>0</v>
      </c>
      <c r="O57" s="2297"/>
      <c r="P57" s="2298">
        <f ca="1">N57/M49</f>
        <v>0</v>
      </c>
    </row>
    <row r="58" spans="1:35" ht="24.75">
      <c r="A58" s="2252" t="s">
        <v>801</v>
      </c>
      <c r="B58" s="3341" t="s">
        <v>820</v>
      </c>
      <c r="C58" s="3339"/>
      <c r="D58" s="1824" t="e">
        <f ca="1">IF(H58="转让取得",C81,C97)</f>
        <v>#DIV/0!</v>
      </c>
      <c r="E58" s="1725" t="s">
        <v>815</v>
      </c>
      <c r="F58" s="1671" t="s">
        <v>124</v>
      </c>
      <c r="G58" s="2254"/>
      <c r="H58" s="2257"/>
      <c r="I58" s="2266"/>
      <c r="J58" s="3340"/>
      <c r="K58" s="3340"/>
      <c r="L58" s="2294" t="s">
        <v>821</v>
      </c>
      <c r="M58" s="2299"/>
      <c r="N58" s="2300" t="str">
        <f ca="1">NUMBERSTRING(INT(N57*10000),2)&amp;"元整"</f>
        <v>零元整</v>
      </c>
      <c r="O58" s="2301"/>
    </row>
    <row r="59" spans="1:35" ht="24">
      <c r="A59" s="3359" t="s">
        <v>822</v>
      </c>
      <c r="B59" s="3360"/>
      <c r="C59" s="3360"/>
      <c r="D59" s="2259">
        <f ca="1">IF(H59="非个人房产","——",IF(H59="个人住宅（满五唯一有凭证）",0,IF(H59="个人其他（无凭证）",ROUND(D45*F59,0),ROUND(C67*F59,0))))</f>
        <v>0</v>
      </c>
      <c r="E59" s="2260" t="str">
        <f>IF(H59="非个人房产","——",IF(H59="个人其他（无凭证）","销售额×税（费）率",IF(H59="个人住宅（满五唯一有凭证）","免征","差额计税")))</f>
        <v>差额计税</v>
      </c>
      <c r="F59" s="2261">
        <f>IF(OR(H59="非个人房产",H59="个人住宅（满五唯一有凭证）"),"——",IF(H59="个人其他（有凭证）",20%,1%))</f>
        <v>0.01</v>
      </c>
      <c r="G59" s="2262" t="s">
        <v>816</v>
      </c>
      <c r="H59" s="2263"/>
      <c r="I59" s="2302" t="s">
        <v>823</v>
      </c>
      <c r="J59" s="3362">
        <f>J57+1</f>
        <v>6</v>
      </c>
      <c r="K59" s="3340" t="s">
        <v>824</v>
      </c>
      <c r="L59" s="2284" t="s">
        <v>819</v>
      </c>
      <c r="M59" s="2303"/>
      <c r="N59" s="2304">
        <f ca="1">M49-N57</f>
        <v>3</v>
      </c>
      <c r="O59" s="2305"/>
    </row>
    <row r="60" spans="1:35" ht="12" customHeight="1">
      <c r="A60" s="2264"/>
      <c r="B60" s="2136"/>
      <c r="C60" s="2136"/>
      <c r="D60" s="2136"/>
      <c r="E60" s="2265"/>
      <c r="F60" s="2266"/>
      <c r="G60" s="2266"/>
      <c r="H60" s="2267"/>
      <c r="I60" s="370"/>
      <c r="J60" s="3363"/>
      <c r="K60" s="3340"/>
      <c r="L60" s="2294" t="s">
        <v>821</v>
      </c>
      <c r="M60" s="2299"/>
      <c r="N60" s="2300" t="str">
        <f ca="1">NUMBERSTRING(INT(N59*10000),2)&amp;"元整"</f>
        <v>叁万元整</v>
      </c>
      <c r="O60" s="2301"/>
    </row>
    <row r="61" spans="1:35" ht="12.75">
      <c r="A61" s="3361" t="s">
        <v>825</v>
      </c>
      <c r="B61" s="3361"/>
      <c r="C61" s="3361"/>
      <c r="D61" s="3361"/>
      <c r="E61" s="3361"/>
      <c r="F61" s="2266"/>
      <c r="G61" s="2266"/>
      <c r="H61" s="2267"/>
      <c r="I61" s="370"/>
      <c r="J61" s="2284">
        <f>J59+1</f>
        <v>7</v>
      </c>
      <c r="K61" s="3340" t="s">
        <v>826</v>
      </c>
      <c r="L61" s="3340"/>
      <c r="M61" s="2306"/>
      <c r="N61" s="2307">
        <f ca="1">ROUND(N59*10000/'数据-汇总表'!E3,0)</f>
        <v>30000</v>
      </c>
      <c r="O61" s="2308"/>
    </row>
    <row r="62" spans="1:35" ht="12.75">
      <c r="A62" s="3349" t="s">
        <v>827</v>
      </c>
      <c r="B62" s="3350"/>
      <c r="C62" s="679"/>
      <c r="D62" s="679" t="s">
        <v>828</v>
      </c>
      <c r="E62" s="2268" t="s">
        <v>782</v>
      </c>
      <c r="F62" s="2266"/>
      <c r="G62" s="2266"/>
      <c r="H62" s="2267"/>
      <c r="I62" s="370"/>
    </row>
    <row r="63" spans="1:35" ht="12.75">
      <c r="A63" s="2269" t="s">
        <v>829</v>
      </c>
      <c r="B63" s="2270" t="s">
        <v>830</v>
      </c>
      <c r="C63" s="2271">
        <f ca="1">ROUND((C64+C65)/(1+'数据-取费表'!C42),0)</f>
        <v>3</v>
      </c>
      <c r="D63" s="2270"/>
      <c r="E63" s="2272"/>
      <c r="F63" s="2266"/>
      <c r="G63" s="2266"/>
      <c r="H63" s="2267"/>
      <c r="I63" s="370"/>
      <c r="J63" s="3396" t="s">
        <v>831</v>
      </c>
      <c r="K63" s="2309" t="s">
        <v>832</v>
      </c>
      <c r="L63" s="2309">
        <f ca="1">IF(M49&gt;10000,M49*0.5%,IF(AND(M49&gt;1000,M49&lt;=10000),M49*1%,IF(AND(M49&gt;100,M49&lt;=1000),M49*3%,IF(AND(M49&gt;10,M49&lt;=100),M49*5%,M49*8%))))</f>
        <v>0.24</v>
      </c>
      <c r="M63" s="1671">
        <f ca="1">ROUND(L63,1)</f>
        <v>0.2</v>
      </c>
      <c r="N63" s="2310"/>
      <c r="Z63" s="2133"/>
      <c r="AI63" s="2134"/>
    </row>
    <row r="64" spans="1:35" ht="14.25" customHeight="1">
      <c r="A64" s="2273" t="s">
        <v>833</v>
      </c>
      <c r="B64" s="666" t="s">
        <v>834</v>
      </c>
      <c r="C64" s="2274">
        <f ca="1">D45</f>
        <v>3</v>
      </c>
      <c r="D64" s="666" t="s">
        <v>124</v>
      </c>
      <c r="E64" s="2275"/>
      <c r="F64" s="2266"/>
      <c r="G64" s="2266"/>
      <c r="H64" s="2267"/>
      <c r="I64" s="370"/>
      <c r="J64" s="3396"/>
      <c r="K64" s="2309" t="s">
        <v>835</v>
      </c>
      <c r="L64" s="2309">
        <f ca="1">IF(M49&gt;2000,M49*0.5%,IF(AND(M49&gt;1000,M49&lt;=2000),M49*0.6%,IF(AND(M49&gt;500,M49&lt;=1000),M49*0.7%,IF(AND(M49&gt;200,M49&lt;=500),M49*0.8%,IF(AND(M49&gt;100,M49&lt;=200),M49*0.9%,IF(AND(M49&gt;50,M49&lt;=100),M49*1%,IF(AND(M49&gt;20,M49&lt;=50),M49*1.5%,IF(AND(M49&gt;10,M49&lt;=20),M49*2%,IF(AND(M49&gt;1,M49&lt;=10),M49*2.5%)))))))))</f>
        <v>7.5000000000000011E-2</v>
      </c>
      <c r="M64" s="1671">
        <f t="shared" ref="M64:M65" ca="1" si="1">ROUND(L64,1)</f>
        <v>0.1</v>
      </c>
      <c r="N64" s="1839" t="s">
        <v>836</v>
      </c>
      <c r="Z64" s="2133"/>
      <c r="AI64" s="2134"/>
    </row>
    <row r="65" spans="1:35" ht="14.25" customHeight="1">
      <c r="A65" s="2273" t="s">
        <v>837</v>
      </c>
      <c r="B65" s="666" t="s">
        <v>838</v>
      </c>
      <c r="C65" s="2312"/>
      <c r="D65" s="666"/>
      <c r="E65" s="2275"/>
      <c r="F65" s="2266"/>
      <c r="G65" s="2266"/>
      <c r="H65" s="2267"/>
      <c r="I65" s="370"/>
      <c r="J65" s="3396"/>
      <c r="K65" s="2309" t="s">
        <v>839</v>
      </c>
      <c r="L65" s="2309">
        <f ca="1">IF(M49&gt;1000,M49*0.1%,IF(AND(M49&gt;500,M49&lt;=1000),M49*0.5%,IF(AND(M49&gt;50,M49&lt;=500),M49*1%,IF(AND(M49&gt;1,M49&lt;=50),M49*1.5%))))</f>
        <v>4.4999999999999998E-2</v>
      </c>
      <c r="M65" s="1671">
        <f t="shared" ca="1" si="1"/>
        <v>0</v>
      </c>
      <c r="N65" s="1839" t="s">
        <v>836</v>
      </c>
      <c r="Z65" s="2133"/>
      <c r="AI65" s="2134"/>
    </row>
    <row r="66" spans="1:35" ht="14.25" customHeight="1">
      <c r="A66" s="2269" t="s">
        <v>840</v>
      </c>
      <c r="B66" s="2313" t="s">
        <v>841</v>
      </c>
      <c r="C66" s="2314"/>
      <c r="D66" s="2313" t="s">
        <v>124</v>
      </c>
      <c r="E66" s="2315" t="s">
        <v>842</v>
      </c>
      <c r="F66" s="2266"/>
      <c r="G66" s="2266"/>
      <c r="H66" s="2267"/>
      <c r="I66" s="370"/>
      <c r="J66" s="3396"/>
      <c r="K66" s="2309" t="s">
        <v>843</v>
      </c>
      <c r="L66" s="2309">
        <f ca="1">M49*0.5%</f>
        <v>1.4999999999999999E-2</v>
      </c>
      <c r="M66" s="1671">
        <f ca="1">IF(L66&gt;0.5,0.5,ROUND(L66,0))</f>
        <v>0</v>
      </c>
      <c r="N66" s="1839" t="s">
        <v>844</v>
      </c>
      <c r="Z66" s="2133"/>
      <c r="AI66" s="2134"/>
    </row>
    <row r="67" spans="1:35" ht="14.25" customHeight="1">
      <c r="A67" s="2269" t="s">
        <v>845</v>
      </c>
      <c r="B67" s="2313" t="s">
        <v>846</v>
      </c>
      <c r="C67" s="2316">
        <f ca="1">C63-C66</f>
        <v>3</v>
      </c>
      <c r="D67" s="666" t="s">
        <v>124</v>
      </c>
      <c r="E67" s="2275"/>
      <c r="F67" s="2266"/>
      <c r="G67" s="2266"/>
      <c r="H67" s="2267"/>
      <c r="I67" s="370"/>
      <c r="J67" s="3396"/>
      <c r="K67" s="2309" t="s">
        <v>847</v>
      </c>
      <c r="L67" s="2309">
        <f ca="1">IF(M49&gt;=10000,(8.25+(M49-10000)*0.01%),IF(AND(M49&gt;=8000,M49&lt;10000),(7.85+(M49-8000)*0.02%),IF(AND(M49&gt;=5000,M49&lt;8000),(6.65+(M49-5000)*0.04%),IF(AND(M49&gt;=2000,M49&lt;5000),(4.25+(PM49-2000)*0.08%),IF(AND(M49&gt;=1000,M49&lt;2000),(2.75+(M49-1000)*0.15%),IF(AND(M49&gt;=100,M49&lt;1000),(0.5+(M49-100)*0.25%),IF(AND(M49&gt;0,M49&lt;100),M49*0.5%)))))))</f>
        <v>1.4999999999999999E-2</v>
      </c>
      <c r="M67" s="1671">
        <f ca="1">ROUND(L67*0.9,1)</f>
        <v>0</v>
      </c>
      <c r="N67" s="2310"/>
      <c r="Z67" s="2133"/>
      <c r="AI67" s="2134"/>
    </row>
    <row r="68" spans="1:35" ht="14.25" customHeight="1">
      <c r="A68" s="2317" t="s">
        <v>848</v>
      </c>
      <c r="B68" s="2318" t="s">
        <v>849</v>
      </c>
      <c r="C68" s="2319">
        <f ca="1">IF(C67&lt;=0,0,ROUND(C67*D68,0))</f>
        <v>0</v>
      </c>
      <c r="D68" s="2320">
        <f>'数据-取费表'!B41</f>
        <v>5.6000000000000001E-2</v>
      </c>
      <c r="E68" s="2321"/>
      <c r="F68" s="2266"/>
      <c r="G68" s="2266"/>
      <c r="H68" s="2267"/>
      <c r="I68" s="370"/>
      <c r="J68" s="3396"/>
      <c r="K68" s="2309" t="s">
        <v>850</v>
      </c>
      <c r="L68" s="2309">
        <f ca="1">IF(M49&gt;10000,M49*0.5%,IF(AND(M49&gt;5000,M49&lt;=10000),M49*1%,IF(AND(M49&gt;1000,M49&lt;=5000),M49*2%,IF(AND(M49&gt;200,M49&lt;=1000),M49*3%,M49*5%))))</f>
        <v>0.15000000000000002</v>
      </c>
      <c r="M68" s="1671">
        <f ca="1">ROUND(L68,1)</f>
        <v>0.2</v>
      </c>
      <c r="N68" s="2310"/>
      <c r="Z68" s="2133"/>
      <c r="AI68" s="2134"/>
    </row>
    <row r="69" spans="1:35" s="2131" customFormat="1" ht="16.5" customHeight="1">
      <c r="A69" s="2322"/>
      <c r="B69" s="2323"/>
      <c r="C69" s="2324"/>
      <c r="D69" s="817"/>
      <c r="E69" s="2325"/>
      <c r="F69" s="2265"/>
      <c r="G69" s="2265"/>
      <c r="H69" s="2225"/>
      <c r="I69" s="2136"/>
      <c r="J69" s="3396"/>
      <c r="K69" s="2309" t="s">
        <v>851</v>
      </c>
      <c r="L69" s="2309"/>
      <c r="M69" s="1671">
        <f ca="1">ROUND(SUM(M63:M68),0)</f>
        <v>1</v>
      </c>
      <c r="N69" s="2388">
        <f ca="1">M69/M49</f>
        <v>0.33333333333333331</v>
      </c>
      <c r="O69" s="327"/>
      <c r="P69" s="327"/>
      <c r="Q69" s="327"/>
      <c r="R69" s="327"/>
      <c r="S69" s="327"/>
      <c r="T69" s="327"/>
      <c r="U69" s="327"/>
      <c r="V69" s="327"/>
      <c r="W69" s="327"/>
      <c r="X69" s="327"/>
      <c r="Y69" s="327"/>
      <c r="Z69" s="2133"/>
      <c r="AA69" s="2133"/>
      <c r="AB69" s="2133"/>
      <c r="AC69" s="2133"/>
      <c r="AD69" s="2133"/>
      <c r="AE69" s="2133"/>
      <c r="AF69" s="2133"/>
      <c r="AG69" s="2133"/>
      <c r="AH69" s="2133"/>
    </row>
    <row r="70" spans="1:35" s="2132" customFormat="1" ht="14.25">
      <c r="A70" s="3347" t="s">
        <v>852</v>
      </c>
      <c r="B70" s="3348"/>
      <c r="C70" s="3348"/>
      <c r="D70" s="3348"/>
      <c r="E70" s="3348"/>
      <c r="F70" s="3348"/>
      <c r="G70" s="3348"/>
      <c r="H70" s="3348"/>
      <c r="I70" s="2389"/>
      <c r="J70" s="2390"/>
      <c r="K70" s="2390"/>
      <c r="L70" s="2390"/>
      <c r="M70" s="2390"/>
      <c r="N70" s="2391"/>
      <c r="O70" s="2391"/>
      <c r="P70" s="2391"/>
      <c r="Q70" s="2391"/>
      <c r="R70" s="2391"/>
      <c r="S70" s="2391"/>
      <c r="T70" s="2391"/>
      <c r="U70" s="2391"/>
      <c r="V70" s="2391"/>
      <c r="W70" s="2391"/>
      <c r="X70" s="2391"/>
      <c r="Y70" s="2391"/>
      <c r="Z70" s="2391"/>
      <c r="AA70" s="2397"/>
      <c r="AB70" s="2397"/>
      <c r="AC70" s="2397"/>
      <c r="AD70" s="2397"/>
      <c r="AE70" s="2397"/>
      <c r="AF70" s="2397"/>
      <c r="AG70" s="2397"/>
      <c r="AH70" s="2397"/>
      <c r="AI70" s="2397"/>
    </row>
    <row r="71" spans="1:35" s="2132" customFormat="1" ht="14.25">
      <c r="A71" s="3349" t="s">
        <v>827</v>
      </c>
      <c r="B71" s="3350"/>
      <c r="C71" s="679"/>
      <c r="D71" s="679" t="s">
        <v>828</v>
      </c>
      <c r="E71" s="2326" t="s">
        <v>782</v>
      </c>
      <c r="F71" s="2327"/>
      <c r="G71" s="2327"/>
      <c r="H71" s="2328"/>
      <c r="I71" s="2392"/>
      <c r="J71" s="2390"/>
      <c r="K71" s="2390"/>
      <c r="L71" s="2390"/>
      <c r="M71" s="2390"/>
      <c r="N71" s="2391"/>
      <c r="O71" s="2391"/>
      <c r="P71" s="2391"/>
      <c r="Q71" s="2391"/>
      <c r="R71" s="2391"/>
      <c r="S71" s="2391"/>
      <c r="T71" s="2391"/>
      <c r="U71" s="2391"/>
      <c r="V71" s="2391"/>
      <c r="W71" s="2391"/>
      <c r="X71" s="2391"/>
      <c r="Y71" s="2391"/>
      <c r="Z71" s="2391"/>
      <c r="AA71" s="2397"/>
      <c r="AB71" s="2397"/>
      <c r="AC71" s="2397"/>
      <c r="AD71" s="2397"/>
      <c r="AE71" s="2397"/>
      <c r="AF71" s="2397"/>
      <c r="AG71" s="2397"/>
      <c r="AH71" s="2397"/>
      <c r="AI71" s="2397"/>
    </row>
    <row r="72" spans="1:35" s="2132" customFormat="1" ht="14.25">
      <c r="A72" s="2269" t="s">
        <v>829</v>
      </c>
      <c r="B72" s="2313" t="s">
        <v>853</v>
      </c>
      <c r="C72" s="2316">
        <f ca="1">ROUND(D45/(1+'数据-取费表'!C42),0)</f>
        <v>3</v>
      </c>
      <c r="D72" s="666" t="s">
        <v>124</v>
      </c>
      <c r="E72" s="1702"/>
      <c r="F72" s="1703"/>
      <c r="G72" s="1703"/>
      <c r="H72" s="2329"/>
      <c r="I72" s="2392"/>
      <c r="J72" s="2390"/>
      <c r="K72" s="2390"/>
      <c r="L72" s="2390"/>
      <c r="M72" s="2390"/>
      <c r="N72" s="2391"/>
      <c r="O72" s="2391"/>
      <c r="P72" s="2391"/>
      <c r="Q72" s="2391"/>
      <c r="R72" s="2391"/>
      <c r="S72" s="2391"/>
      <c r="T72" s="2391"/>
      <c r="U72" s="2391"/>
      <c r="V72" s="2391"/>
      <c r="W72" s="2391"/>
      <c r="X72" s="2391"/>
      <c r="Y72" s="2391"/>
      <c r="Z72" s="2391"/>
      <c r="AA72" s="2397"/>
      <c r="AB72" s="2397"/>
      <c r="AC72" s="2397"/>
      <c r="AD72" s="2397"/>
      <c r="AE72" s="2397"/>
      <c r="AF72" s="2397"/>
      <c r="AG72" s="2397"/>
      <c r="AH72" s="2397"/>
      <c r="AI72" s="2397"/>
    </row>
    <row r="73" spans="1:35" s="2132" customFormat="1" ht="14.25">
      <c r="A73" s="2269" t="s">
        <v>840</v>
      </c>
      <c r="B73" s="2238" t="s">
        <v>854</v>
      </c>
      <c r="C73" s="2316">
        <f ca="1">C74+C78</f>
        <v>0</v>
      </c>
      <c r="D73" s="666" t="s">
        <v>124</v>
      </c>
      <c r="E73" s="1702"/>
      <c r="F73" s="1703"/>
      <c r="G73" s="1703"/>
      <c r="H73" s="2329"/>
      <c r="I73" s="2392"/>
      <c r="J73" s="2391"/>
      <c r="K73" s="2391"/>
      <c r="L73" s="2391"/>
      <c r="M73" s="2391"/>
      <c r="N73" s="2391"/>
      <c r="O73" s="2391"/>
      <c r="P73" s="2391"/>
      <c r="Q73" s="2391"/>
      <c r="R73" s="2391"/>
      <c r="S73" s="2391"/>
      <c r="T73" s="2391"/>
      <c r="U73" s="2391"/>
      <c r="V73" s="2391"/>
      <c r="W73" s="2391"/>
      <c r="X73" s="2391"/>
      <c r="Y73" s="2391"/>
      <c r="Z73" s="2391"/>
      <c r="AA73" s="2397"/>
      <c r="AB73" s="2397"/>
      <c r="AC73" s="2397"/>
      <c r="AD73" s="2397"/>
      <c r="AE73" s="2397"/>
      <c r="AF73" s="2397"/>
      <c r="AG73" s="2397"/>
      <c r="AH73" s="2397"/>
      <c r="AI73" s="2397"/>
    </row>
    <row r="74" spans="1:35" s="2132" customFormat="1" ht="24">
      <c r="A74" s="2273" t="s">
        <v>833</v>
      </c>
      <c r="B74" s="666" t="s">
        <v>855</v>
      </c>
      <c r="C74" s="666">
        <f>ROUND(IF(G77="2016年5月1日后购买",C75/(1+'数据-取费表'!C42)+C76+C77,C75+C76+C77),0)</f>
        <v>0</v>
      </c>
      <c r="D74" s="666" t="s">
        <v>124</v>
      </c>
      <c r="E74" s="1702"/>
      <c r="F74" s="1703"/>
      <c r="G74" s="1703"/>
      <c r="H74" s="2329"/>
      <c r="I74" s="2392"/>
      <c r="J74" s="2391"/>
      <c r="K74" s="2391"/>
      <c r="L74" s="2391"/>
      <c r="M74" s="2391"/>
      <c r="N74" s="2391"/>
      <c r="O74" s="2391"/>
      <c r="P74" s="2391"/>
      <c r="Q74" s="2391"/>
      <c r="R74" s="2391"/>
      <c r="S74" s="2391"/>
      <c r="T74" s="2391"/>
      <c r="U74" s="2391"/>
      <c r="V74" s="2391"/>
      <c r="W74" s="2391"/>
      <c r="X74" s="2391"/>
      <c r="Y74" s="2391"/>
      <c r="Z74" s="2391"/>
      <c r="AA74" s="2397"/>
      <c r="AB74" s="2397"/>
      <c r="AC74" s="2397"/>
      <c r="AD74" s="2397"/>
      <c r="AE74" s="2397"/>
      <c r="AF74" s="2397"/>
      <c r="AG74" s="2397"/>
      <c r="AH74" s="2397"/>
      <c r="AI74" s="2397"/>
    </row>
    <row r="75" spans="1:35" s="2132" customFormat="1" ht="14.25">
      <c r="A75" s="2273" t="s">
        <v>856</v>
      </c>
      <c r="B75" s="666" t="s">
        <v>857</v>
      </c>
      <c r="C75" s="2330"/>
      <c r="D75" s="666" t="s">
        <v>124</v>
      </c>
      <c r="E75" s="2331" t="s">
        <v>858</v>
      </c>
      <c r="F75" s="2332"/>
      <c r="G75" s="2331" t="s">
        <v>859</v>
      </c>
      <c r="H75" s="2333"/>
      <c r="I75" s="904"/>
      <c r="J75" s="2391"/>
      <c r="K75" s="2391"/>
      <c r="L75" s="2391"/>
      <c r="M75" s="2391"/>
      <c r="N75" s="2391"/>
      <c r="O75" s="2391"/>
      <c r="P75" s="2391"/>
      <c r="Q75" s="2391"/>
      <c r="R75" s="2391"/>
      <c r="S75" s="2391"/>
      <c r="T75" s="2391"/>
      <c r="U75" s="2391"/>
      <c r="V75" s="2391"/>
      <c r="W75" s="2391"/>
      <c r="X75" s="2391"/>
      <c r="Y75" s="2391"/>
      <c r="Z75" s="2391"/>
      <c r="AA75" s="2397"/>
      <c r="AB75" s="2397"/>
      <c r="AC75" s="2397"/>
      <c r="AD75" s="2397"/>
      <c r="AE75" s="2397"/>
      <c r="AF75" s="2397"/>
      <c r="AG75" s="2397"/>
      <c r="AH75" s="2397"/>
      <c r="AI75" s="2397"/>
    </row>
    <row r="76" spans="1:35" s="2132" customFormat="1" ht="24.75" customHeight="1">
      <c r="A76" s="2273" t="s">
        <v>860</v>
      </c>
      <c r="B76" s="2334" t="s">
        <v>861</v>
      </c>
      <c r="C76" s="666">
        <f>IF(F75="购房发票",ROUND(C75*H75*D76,0),0)</f>
        <v>0</v>
      </c>
      <c r="D76" s="2335">
        <v>0.05</v>
      </c>
      <c r="E76" s="3341" t="s">
        <v>862</v>
      </c>
      <c r="F76" s="3339"/>
      <c r="G76" s="3339"/>
      <c r="H76" s="3395"/>
      <c r="I76" s="2392"/>
      <c r="J76" s="2391"/>
      <c r="K76" s="2391"/>
      <c r="L76" s="2391"/>
      <c r="M76" s="2391"/>
      <c r="N76" s="2391"/>
      <c r="O76" s="2391"/>
      <c r="P76" s="2391"/>
      <c r="Q76" s="2391"/>
      <c r="R76" s="2391"/>
      <c r="S76" s="2391"/>
      <c r="T76" s="2391"/>
      <c r="U76" s="2391"/>
      <c r="V76" s="2391"/>
      <c r="W76" s="2391"/>
      <c r="X76" s="2391"/>
      <c r="Y76" s="2391"/>
      <c r="Z76" s="2391"/>
      <c r="AA76" s="2397"/>
      <c r="AB76" s="2397"/>
      <c r="AC76" s="2397"/>
      <c r="AD76" s="2397"/>
      <c r="AE76" s="2397"/>
      <c r="AF76" s="2397"/>
      <c r="AG76" s="2397"/>
      <c r="AH76" s="2397"/>
      <c r="AI76" s="2397"/>
    </row>
    <row r="77" spans="1:35" s="2132" customFormat="1" ht="24.75" customHeight="1">
      <c r="A77" s="2273" t="s">
        <v>863</v>
      </c>
      <c r="B77" s="666" t="s">
        <v>864</v>
      </c>
      <c r="C77" s="666">
        <f>ROUND(IF(G77="个人住宅",0,IF(G77="2016年5月1日前购买",C75*D77,C75*D77/(1+'数据-取费表'!C42))),0)</f>
        <v>0</v>
      </c>
      <c r="D77" s="2337">
        <f>'数据-取费表'!B48+'数据-取费表'!B49</f>
        <v>0</v>
      </c>
      <c r="E77" s="1824" t="s">
        <v>865</v>
      </c>
      <c r="F77" s="2338"/>
      <c r="G77" s="2339"/>
      <c r="H77" s="2336" t="str">
        <f>IF(G77="个人买卖住房","免征印花税"," ")</f>
        <v/>
      </c>
      <c r="I77" s="2392"/>
      <c r="J77" s="2391"/>
      <c r="K77" s="2391"/>
      <c r="L77" s="2391"/>
      <c r="M77" s="2391"/>
      <c r="N77" s="2391"/>
      <c r="O77" s="2391"/>
      <c r="P77" s="2391"/>
      <c r="Q77" s="2391"/>
      <c r="R77" s="2391"/>
      <c r="S77" s="2391"/>
      <c r="T77" s="2391"/>
      <c r="U77" s="2391"/>
      <c r="V77" s="2391"/>
      <c r="W77" s="2391"/>
      <c r="X77" s="2391"/>
      <c r="Y77" s="2391"/>
      <c r="Z77" s="2391"/>
      <c r="AA77" s="2397"/>
      <c r="AB77" s="2397"/>
      <c r="AC77" s="2397"/>
      <c r="AD77" s="2397"/>
      <c r="AE77" s="2397"/>
      <c r="AF77" s="2397"/>
      <c r="AG77" s="2397"/>
      <c r="AH77" s="2397"/>
      <c r="AI77" s="2397"/>
    </row>
    <row r="78" spans="1:35" s="2132" customFormat="1" ht="24.75" customHeight="1">
      <c r="A78" s="2273" t="s">
        <v>837</v>
      </c>
      <c r="B78" s="666" t="s">
        <v>866</v>
      </c>
      <c r="C78" s="2340">
        <f ca="1">ROUND(D45*D78/(1+'数据-取费表'!C42),0)</f>
        <v>0</v>
      </c>
      <c r="D78" s="2341">
        <f>'数据-取费表'!B43</f>
        <v>6.0000000000000001E-3</v>
      </c>
      <c r="E78" s="3353" t="s">
        <v>867</v>
      </c>
      <c r="F78" s="3354"/>
      <c r="G78" s="3354"/>
      <c r="H78" s="3355"/>
      <c r="I78" s="2393"/>
      <c r="J78" s="2391"/>
      <c r="K78" s="2391"/>
      <c r="L78" s="2391"/>
      <c r="M78" s="2391"/>
      <c r="N78" s="2391"/>
      <c r="O78" s="2391"/>
      <c r="P78" s="2391"/>
      <c r="Q78" s="2391"/>
      <c r="R78" s="2391"/>
      <c r="S78" s="2391"/>
      <c r="T78" s="2391"/>
      <c r="U78" s="2391"/>
      <c r="V78" s="2391"/>
      <c r="W78" s="2391"/>
      <c r="X78" s="2391"/>
      <c r="Y78" s="2391"/>
      <c r="Z78" s="2391"/>
      <c r="AA78" s="2397"/>
      <c r="AB78" s="2397"/>
      <c r="AC78" s="2397"/>
      <c r="AD78" s="2397"/>
      <c r="AE78" s="2397"/>
      <c r="AF78" s="2397"/>
      <c r="AG78" s="2397"/>
      <c r="AH78" s="2397"/>
      <c r="AI78" s="2397"/>
    </row>
    <row r="79" spans="1:35" s="2132" customFormat="1" ht="14.25">
      <c r="A79" s="2269" t="s">
        <v>845</v>
      </c>
      <c r="B79" s="2313" t="s">
        <v>868</v>
      </c>
      <c r="C79" s="2316">
        <f ca="1">C72-C73</f>
        <v>3</v>
      </c>
      <c r="D79" s="666" t="s">
        <v>124</v>
      </c>
      <c r="E79" s="1702"/>
      <c r="F79" s="1703"/>
      <c r="G79" s="1703"/>
      <c r="H79" s="2329"/>
      <c r="I79" s="2392"/>
      <c r="J79" s="2391"/>
      <c r="K79" s="2391"/>
      <c r="L79" s="2391"/>
      <c r="M79" s="2391"/>
      <c r="N79" s="2391"/>
      <c r="O79" s="2391"/>
      <c r="P79" s="2391"/>
      <c r="Q79" s="2391"/>
      <c r="R79" s="2391"/>
      <c r="S79" s="2391"/>
      <c r="T79" s="2391"/>
      <c r="U79" s="2391"/>
      <c r="V79" s="2391"/>
      <c r="W79" s="2391"/>
      <c r="X79" s="2391"/>
      <c r="Y79" s="2391"/>
      <c r="Z79" s="2391"/>
      <c r="AA79" s="2397"/>
      <c r="AB79" s="2397"/>
      <c r="AC79" s="2397"/>
      <c r="AD79" s="2397"/>
      <c r="AE79" s="2397"/>
      <c r="AF79" s="2397"/>
      <c r="AG79" s="2397"/>
      <c r="AH79" s="2397"/>
      <c r="AI79" s="2397"/>
    </row>
    <row r="80" spans="1:35" s="2132" customFormat="1" ht="24">
      <c r="A80" s="2269" t="s">
        <v>848</v>
      </c>
      <c r="B80" s="2313" t="s">
        <v>869</v>
      </c>
      <c r="C80" s="2345" t="e">
        <f ca="1">IF(C79&lt;=0,0,C79/C73)</f>
        <v>#DIV/0!</v>
      </c>
      <c r="D80" s="666" t="s">
        <v>124</v>
      </c>
      <c r="E80" s="1824" t="e">
        <f ca="1">IF(C80&gt;=200%,"增值额超过扣除项目金额200%",IF(C80&gt;=100%,"增值额超过扣除项目金额100%，未超过200%",IF(C80&gt;=50%,"增值额超过扣除项目金额50%，未超过100%",IF(C80&lt;50%,"增值额未超过扣除项目金额50%"))))</f>
        <v>#DIV/0!</v>
      </c>
      <c r="F80" s="1703"/>
      <c r="G80" s="1703"/>
      <c r="H80" s="2329"/>
      <c r="I80" s="2392"/>
      <c r="J80" s="2391"/>
      <c r="K80" s="2391"/>
      <c r="L80" s="2391"/>
      <c r="M80" s="2391"/>
      <c r="N80" s="2391"/>
      <c r="O80" s="2391"/>
      <c r="P80" s="2391"/>
      <c r="Q80" s="2391"/>
      <c r="R80" s="2391"/>
      <c r="S80" s="2391"/>
      <c r="T80" s="2391"/>
      <c r="U80" s="2391"/>
      <c r="V80" s="2391"/>
      <c r="W80" s="2391"/>
      <c r="X80" s="2391"/>
      <c r="Y80" s="2391"/>
      <c r="Z80" s="2391"/>
      <c r="AA80" s="2397"/>
      <c r="AB80" s="2397"/>
      <c r="AC80" s="2397"/>
      <c r="AD80" s="2397"/>
      <c r="AE80" s="2397"/>
      <c r="AF80" s="2397"/>
      <c r="AG80" s="2397"/>
      <c r="AH80" s="2397"/>
      <c r="AI80" s="2397"/>
    </row>
    <row r="81" spans="1:35" s="2132" customFormat="1" ht="24">
      <c r="A81" s="2317" t="s">
        <v>870</v>
      </c>
      <c r="B81" s="2318" t="s">
        <v>871</v>
      </c>
      <c r="C81" s="2346" t="e">
        <f ca="1">ROUND(IF(C79&lt;=0,0,IF(C80&gt;=200%,C79*60%-C73*35%,IF(C80&gt;=100%,C79*50%-C73*15%,IF(C80&gt;=50%,C79*40%-C73*5%,IF(C80&lt;50%,C79*30%,0))))),0)</f>
        <v>#DIV/0!</v>
      </c>
      <c r="D81" s="2347" t="s">
        <v>124</v>
      </c>
      <c r="E81" s="23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49"/>
      <c r="G81" s="2349"/>
      <c r="H81" s="2350"/>
      <c r="I81" s="2392"/>
      <c r="J81" s="2391"/>
      <c r="K81" s="2391"/>
      <c r="L81" s="2391"/>
      <c r="M81" s="2391"/>
      <c r="N81" s="2391"/>
      <c r="O81" s="2391"/>
      <c r="P81" s="2391"/>
      <c r="Q81" s="2391"/>
      <c r="R81" s="2391"/>
      <c r="S81" s="2391"/>
      <c r="T81" s="2391"/>
      <c r="U81" s="2391"/>
      <c r="V81" s="2391"/>
      <c r="W81" s="2391"/>
      <c r="X81" s="2391"/>
      <c r="Y81" s="2391"/>
      <c r="Z81" s="2391"/>
      <c r="AA81" s="2397"/>
      <c r="AB81" s="2397"/>
      <c r="AC81" s="2397"/>
      <c r="AD81" s="2397"/>
      <c r="AE81" s="2397"/>
      <c r="AF81" s="2397"/>
      <c r="AG81" s="2397"/>
      <c r="AH81" s="2397"/>
      <c r="AI81" s="2397"/>
    </row>
    <row r="82" spans="1:35" s="2132" customFormat="1" ht="7.5" customHeight="1">
      <c r="A82" s="2351"/>
      <c r="B82" s="2352"/>
      <c r="C82" s="801"/>
      <c r="D82" s="801"/>
      <c r="E82" s="2352"/>
      <c r="F82" s="2352"/>
      <c r="G82" s="2352"/>
      <c r="H82" s="2353"/>
      <c r="I82" s="2393"/>
      <c r="J82" s="2391"/>
      <c r="K82" s="2391"/>
      <c r="L82" s="2391"/>
      <c r="M82" s="2391"/>
      <c r="N82" s="2391"/>
      <c r="O82" s="2391"/>
      <c r="P82" s="2391"/>
      <c r="Q82" s="2391"/>
      <c r="R82" s="2391"/>
      <c r="S82" s="2391"/>
      <c r="T82" s="2391"/>
      <c r="U82" s="2391"/>
      <c r="V82" s="2391"/>
      <c r="W82" s="2391"/>
      <c r="X82" s="2391"/>
      <c r="Y82" s="2391"/>
      <c r="Z82" s="2391"/>
      <c r="AA82" s="2397"/>
      <c r="AB82" s="2397"/>
      <c r="AC82" s="2397"/>
      <c r="AD82" s="2397"/>
      <c r="AE82" s="2397"/>
      <c r="AF82" s="2397"/>
      <c r="AG82" s="2397"/>
      <c r="AH82" s="2397"/>
      <c r="AI82" s="2397"/>
    </row>
    <row r="83" spans="1:35" s="2132" customFormat="1" ht="14.25">
      <c r="A83" s="3347" t="s">
        <v>872</v>
      </c>
      <c r="B83" s="3348"/>
      <c r="C83" s="3348"/>
      <c r="D83" s="3348"/>
      <c r="E83" s="3348"/>
      <c r="F83" s="3348"/>
      <c r="G83" s="3348"/>
      <c r="H83" s="3348"/>
      <c r="I83" s="904"/>
      <c r="J83" s="2391"/>
      <c r="K83" s="2391"/>
      <c r="L83" s="2391"/>
      <c r="M83" s="2391"/>
      <c r="N83" s="2391"/>
      <c r="O83" s="2391"/>
      <c r="P83" s="2391"/>
      <c r="Q83" s="2391"/>
      <c r="R83" s="2391"/>
      <c r="S83" s="2391"/>
      <c r="T83" s="2391"/>
      <c r="U83" s="2391"/>
      <c r="V83" s="2391"/>
      <c r="W83" s="2391"/>
      <c r="X83" s="2391"/>
      <c r="Y83" s="2391"/>
      <c r="Z83" s="2391"/>
      <c r="AA83" s="2397"/>
      <c r="AB83" s="2397"/>
      <c r="AC83" s="2397"/>
      <c r="AD83" s="2397"/>
      <c r="AE83" s="2397"/>
      <c r="AF83" s="2397"/>
      <c r="AG83" s="2397"/>
      <c r="AH83" s="2397"/>
      <c r="AI83" s="2397"/>
    </row>
    <row r="84" spans="1:35" s="2132" customFormat="1" ht="14.25">
      <c r="A84" s="3349" t="s">
        <v>827</v>
      </c>
      <c r="B84" s="3350"/>
      <c r="C84" s="679"/>
      <c r="D84" s="679" t="s">
        <v>828</v>
      </c>
      <c r="E84" s="2326" t="s">
        <v>782</v>
      </c>
      <c r="F84" s="2327"/>
      <c r="G84" s="2327"/>
      <c r="H84" s="2354"/>
      <c r="I84" s="904"/>
      <c r="J84" s="2391"/>
      <c r="K84" s="2391"/>
      <c r="L84" s="2391"/>
      <c r="M84" s="2391"/>
      <c r="N84" s="2391"/>
      <c r="O84" s="2391"/>
      <c r="P84" s="2391"/>
      <c r="Q84" s="2391"/>
      <c r="R84" s="2391"/>
      <c r="S84" s="2391"/>
      <c r="T84" s="2391"/>
      <c r="U84" s="2391"/>
      <c r="V84" s="2391"/>
      <c r="W84" s="2391"/>
      <c r="X84" s="2391"/>
      <c r="Y84" s="2391"/>
      <c r="Z84" s="2391"/>
      <c r="AA84" s="2397"/>
      <c r="AB84" s="2397"/>
      <c r="AC84" s="2397"/>
      <c r="AD84" s="2397"/>
      <c r="AE84" s="2397"/>
      <c r="AF84" s="2397"/>
      <c r="AG84" s="2397"/>
      <c r="AH84" s="2397"/>
      <c r="AI84" s="2397"/>
    </row>
    <row r="85" spans="1:35" s="2132" customFormat="1" ht="14.25">
      <c r="A85" s="2269" t="s">
        <v>829</v>
      </c>
      <c r="B85" s="2313" t="s">
        <v>853</v>
      </c>
      <c r="C85" s="2316">
        <f ca="1">ROUND(D45/(1+'数据-取费表'!C42),0)</f>
        <v>3</v>
      </c>
      <c r="D85" s="666" t="s">
        <v>124</v>
      </c>
      <c r="E85" s="1702"/>
      <c r="F85" s="1703"/>
      <c r="G85" s="1703"/>
      <c r="H85" s="2355"/>
      <c r="I85" s="904"/>
      <c r="J85" s="2391"/>
      <c r="K85" s="2391"/>
      <c r="L85" s="2391"/>
      <c r="M85" s="2391"/>
      <c r="N85" s="2391"/>
      <c r="O85" s="2391"/>
      <c r="P85" s="2391"/>
      <c r="Q85" s="2391"/>
      <c r="R85" s="2391"/>
      <c r="S85" s="2391"/>
      <c r="T85" s="2391"/>
      <c r="U85" s="2391"/>
      <c r="V85" s="2391"/>
      <c r="W85" s="2391"/>
      <c r="X85" s="2391"/>
      <c r="Y85" s="2391"/>
      <c r="Z85" s="2391"/>
      <c r="AA85" s="2397"/>
      <c r="AB85" s="2397"/>
      <c r="AC85" s="2397"/>
      <c r="AD85" s="2397"/>
      <c r="AE85" s="2397"/>
      <c r="AF85" s="2397"/>
      <c r="AG85" s="2397"/>
      <c r="AH85" s="2397"/>
      <c r="AI85" s="2397"/>
    </row>
    <row r="86" spans="1:35" s="2132" customFormat="1" ht="14.25">
      <c r="A86" s="2269" t="s">
        <v>840</v>
      </c>
      <c r="B86" s="2238" t="s">
        <v>854</v>
      </c>
      <c r="C86" s="2316">
        <f ca="1">IF(H88="仅含出让金",C87+C90+C91+C92+C93+C94,C87+C91+C92+C93+C94)</f>
        <v>0</v>
      </c>
      <c r="D86" s="2356"/>
      <c r="E86" s="1702"/>
      <c r="F86" s="1703"/>
      <c r="G86" s="1703"/>
      <c r="H86" s="2355"/>
      <c r="I86" s="904"/>
      <c r="J86" s="2391"/>
      <c r="K86" s="2391"/>
      <c r="L86" s="2391"/>
      <c r="M86" s="2391"/>
      <c r="N86" s="2391"/>
      <c r="O86" s="2391"/>
      <c r="P86" s="2391"/>
      <c r="Q86" s="2391"/>
      <c r="R86" s="2391"/>
      <c r="S86" s="2391"/>
      <c r="T86" s="2391"/>
      <c r="U86" s="2391"/>
      <c r="V86" s="2391"/>
      <c r="W86" s="2391"/>
      <c r="X86" s="2391"/>
      <c r="Y86" s="2391"/>
      <c r="Z86" s="2391"/>
      <c r="AA86" s="2397"/>
      <c r="AB86" s="2397"/>
      <c r="AC86" s="2397"/>
      <c r="AD86" s="2397"/>
      <c r="AE86" s="2397"/>
      <c r="AF86" s="2397"/>
      <c r="AG86" s="2397"/>
      <c r="AH86" s="2397"/>
      <c r="AI86" s="2397"/>
    </row>
    <row r="87" spans="1:35" s="2132" customFormat="1" ht="14.25">
      <c r="A87" s="2273" t="s">
        <v>833</v>
      </c>
      <c r="B87" s="666" t="s">
        <v>873</v>
      </c>
      <c r="C87" s="2340">
        <f>C88+C89</f>
        <v>0</v>
      </c>
      <c r="D87" s="2341"/>
      <c r="E87" s="2342"/>
      <c r="F87" s="2343"/>
      <c r="G87" s="2343"/>
      <c r="H87" s="2344"/>
      <c r="I87" s="904"/>
      <c r="J87" s="2391"/>
      <c r="K87" s="2391"/>
      <c r="L87" s="2391"/>
      <c r="M87" s="2391"/>
      <c r="N87" s="2391"/>
      <c r="O87" s="2391"/>
      <c r="P87" s="2391"/>
      <c r="Q87" s="2391"/>
      <c r="R87" s="2391"/>
      <c r="S87" s="2391"/>
      <c r="T87" s="2391"/>
      <c r="U87" s="2391"/>
      <c r="V87" s="2391"/>
      <c r="W87" s="2391"/>
      <c r="X87" s="2391"/>
      <c r="Y87" s="2391"/>
      <c r="Z87" s="2391"/>
      <c r="AA87" s="2397"/>
      <c r="AB87" s="2397"/>
      <c r="AC87" s="2397"/>
      <c r="AD87" s="2397"/>
      <c r="AE87" s="2397"/>
      <c r="AF87" s="2397"/>
      <c r="AG87" s="2397"/>
      <c r="AH87" s="2397"/>
      <c r="AI87" s="2397"/>
    </row>
    <row r="88" spans="1:35" s="2132" customFormat="1" ht="14.25">
      <c r="A88" s="2273" t="s">
        <v>856</v>
      </c>
      <c r="B88" s="666" t="s">
        <v>874</v>
      </c>
      <c r="C88" s="2357"/>
      <c r="D88" s="2341"/>
      <c r="E88" s="2358" t="s">
        <v>875</v>
      </c>
      <c r="F88" s="2343"/>
      <c r="G88" s="2359" t="s">
        <v>876</v>
      </c>
      <c r="H88" s="2360"/>
      <c r="I88" s="904"/>
      <c r="J88" s="2394" t="s">
        <v>877</v>
      </c>
      <c r="K88" s="2391"/>
      <c r="L88" s="2391"/>
      <c r="M88" s="2391"/>
      <c r="N88" s="2391"/>
      <c r="O88" s="2391"/>
      <c r="P88" s="2391"/>
      <c r="Q88" s="2391"/>
      <c r="R88" s="2391"/>
      <c r="S88" s="2391"/>
      <c r="T88" s="2391"/>
      <c r="U88" s="2391"/>
      <c r="V88" s="2391"/>
      <c r="W88" s="2391"/>
      <c r="X88" s="2391"/>
      <c r="Y88" s="2391"/>
      <c r="Z88" s="2391"/>
      <c r="AA88" s="2397"/>
      <c r="AB88" s="2397"/>
      <c r="AC88" s="2397"/>
      <c r="AD88" s="2397"/>
      <c r="AE88" s="2397"/>
      <c r="AF88" s="2397"/>
      <c r="AG88" s="2397"/>
      <c r="AH88" s="2397"/>
      <c r="AI88" s="2397"/>
    </row>
    <row r="89" spans="1:35" s="2132" customFormat="1" ht="14.25">
      <c r="A89" s="2273" t="s">
        <v>860</v>
      </c>
      <c r="B89" s="666" t="s">
        <v>864</v>
      </c>
      <c r="C89" s="2340">
        <f>ROUND(C88*D89,0)</f>
        <v>0</v>
      </c>
      <c r="D89" s="2341">
        <f>'数据-取费表'!B48+'数据-取费表'!B49</f>
        <v>0</v>
      </c>
      <c r="E89" s="2358" t="s">
        <v>878</v>
      </c>
      <c r="F89" s="2343"/>
      <c r="G89" s="2343"/>
      <c r="H89" s="2344"/>
      <c r="I89" s="904"/>
      <c r="J89" s="2391"/>
      <c r="K89" s="2391"/>
      <c r="L89" s="2391"/>
      <c r="M89" s="2391"/>
      <c r="N89" s="2391"/>
      <c r="O89" s="2391"/>
      <c r="P89" s="2391"/>
      <c r="Q89" s="2391"/>
      <c r="R89" s="2391"/>
      <c r="S89" s="2391"/>
      <c r="T89" s="2391"/>
      <c r="U89" s="2391"/>
      <c r="V89" s="2391"/>
      <c r="W89" s="2391"/>
      <c r="X89" s="2391"/>
      <c r="Y89" s="2391"/>
      <c r="Z89" s="2391"/>
      <c r="AA89" s="2397"/>
      <c r="AB89" s="2397"/>
      <c r="AC89" s="2397"/>
      <c r="AD89" s="2397"/>
      <c r="AE89" s="2397"/>
      <c r="AF89" s="2397"/>
      <c r="AG89" s="2397"/>
      <c r="AH89" s="2397"/>
      <c r="AI89" s="2397"/>
    </row>
    <row r="90" spans="1:35" s="2132" customFormat="1" ht="14.25">
      <c r="A90" s="2273" t="s">
        <v>837</v>
      </c>
      <c r="B90" s="666" t="s">
        <v>879</v>
      </c>
      <c r="C90" s="2357"/>
      <c r="D90" s="2341"/>
      <c r="E90" s="2358" t="str">
        <f>IF(H88="-","土地取得成本中已包含该笔费用"," ")</f>
        <v/>
      </c>
      <c r="F90" s="2343"/>
      <c r="G90" s="3351" t="s">
        <v>880</v>
      </c>
      <c r="H90" s="3352"/>
      <c r="I90" s="904"/>
      <c r="J90" s="2394" t="s">
        <v>881</v>
      </c>
      <c r="K90" s="2391"/>
      <c r="L90" s="2391"/>
      <c r="M90" s="2391"/>
      <c r="N90" s="2391"/>
      <c r="O90" s="2391"/>
      <c r="P90" s="2391"/>
      <c r="Q90" s="2391"/>
      <c r="R90" s="2391"/>
      <c r="S90" s="2391"/>
      <c r="T90" s="2391"/>
      <c r="U90" s="2391"/>
      <c r="V90" s="2391"/>
      <c r="W90" s="2391"/>
      <c r="X90" s="2391"/>
      <c r="Y90" s="2391"/>
      <c r="Z90" s="2391"/>
      <c r="AA90" s="2397"/>
      <c r="AB90" s="2397"/>
      <c r="AC90" s="2397"/>
      <c r="AD90" s="2397"/>
      <c r="AE90" s="2397"/>
      <c r="AF90" s="2397"/>
      <c r="AG90" s="2397"/>
      <c r="AH90" s="2397"/>
      <c r="AI90" s="2397"/>
    </row>
    <row r="91" spans="1:35" s="2132" customFormat="1" ht="27.75" customHeight="1">
      <c r="A91" s="2273" t="s">
        <v>882</v>
      </c>
      <c r="B91" s="666" t="s">
        <v>883</v>
      </c>
      <c r="C91" s="2340">
        <f>IF(H91="——",出让金加利息利润!C33,I91)</f>
        <v>0</v>
      </c>
      <c r="D91" s="2341"/>
      <c r="E91" s="3353" t="s">
        <v>884</v>
      </c>
      <c r="F91" s="3354"/>
      <c r="G91" s="3354"/>
      <c r="H91" s="2361"/>
      <c r="I91" s="2395"/>
      <c r="J91" s="2391"/>
      <c r="K91" s="2391"/>
      <c r="L91" s="2391"/>
      <c r="M91" s="2391"/>
      <c r="N91" s="2391"/>
      <c r="O91" s="2391"/>
      <c r="P91" s="2391"/>
      <c r="Q91" s="2391"/>
      <c r="R91" s="2391"/>
      <c r="S91" s="2391"/>
      <c r="T91" s="2391"/>
      <c r="U91" s="2391"/>
      <c r="V91" s="2391"/>
      <c r="W91" s="2391"/>
      <c r="X91" s="2391"/>
      <c r="Y91" s="2391"/>
      <c r="Z91" s="2391"/>
      <c r="AA91" s="2397"/>
      <c r="AB91" s="2397"/>
      <c r="AC91" s="2397"/>
      <c r="AD91" s="2397"/>
      <c r="AE91" s="2397"/>
      <c r="AF91" s="2397"/>
      <c r="AG91" s="2397"/>
      <c r="AH91" s="2397"/>
      <c r="AI91" s="2397"/>
    </row>
    <row r="92" spans="1:35" s="2132" customFormat="1" ht="25.5" customHeight="1">
      <c r="A92" s="2273" t="s">
        <v>885</v>
      </c>
      <c r="B92" s="666" t="s">
        <v>886</v>
      </c>
      <c r="C92" s="2340">
        <f>ROUND((C87+C90+C91)*D92,0)</f>
        <v>0</v>
      </c>
      <c r="D92" s="2362"/>
      <c r="E92" s="3353" t="s">
        <v>887</v>
      </c>
      <c r="F92" s="3354"/>
      <c r="G92" s="3354"/>
      <c r="H92" s="3355"/>
      <c r="I92" s="904"/>
      <c r="J92" s="2396" t="s">
        <v>888</v>
      </c>
      <c r="K92" s="2391"/>
      <c r="L92" s="2391"/>
      <c r="M92" s="2391"/>
      <c r="N92" s="2391"/>
      <c r="O92" s="2391"/>
      <c r="P92" s="2391"/>
      <c r="Q92" s="2391"/>
      <c r="R92" s="2391"/>
      <c r="S92" s="2391"/>
      <c r="T92" s="2391"/>
      <c r="U92" s="2391"/>
      <c r="V92" s="2391"/>
      <c r="W92" s="2391"/>
      <c r="X92" s="2391"/>
      <c r="Y92" s="2391"/>
      <c r="Z92" s="2391"/>
      <c r="AA92" s="2397"/>
      <c r="AB92" s="2397"/>
      <c r="AC92" s="2397"/>
      <c r="AD92" s="2397"/>
      <c r="AE92" s="2397"/>
      <c r="AF92" s="2397"/>
      <c r="AG92" s="2397"/>
      <c r="AH92" s="2397"/>
      <c r="AI92" s="2397"/>
    </row>
    <row r="93" spans="1:35" s="2132" customFormat="1" ht="25.5" customHeight="1">
      <c r="A93" s="2273" t="s">
        <v>889</v>
      </c>
      <c r="B93" s="666" t="s">
        <v>866</v>
      </c>
      <c r="C93" s="2340">
        <f ca="1">ROUND(D45*D93/(1+'数据-取费表'!C42),0)</f>
        <v>0</v>
      </c>
      <c r="D93" s="2341">
        <f>'数据-取费表'!B43</f>
        <v>6.0000000000000001E-3</v>
      </c>
      <c r="E93" s="3353" t="s">
        <v>867</v>
      </c>
      <c r="F93" s="3354"/>
      <c r="G93" s="3354"/>
      <c r="H93" s="3355"/>
      <c r="I93" s="904"/>
      <c r="J93" s="2391"/>
      <c r="K93" s="2391"/>
      <c r="L93" s="2391"/>
      <c r="M93" s="2391"/>
      <c r="N93" s="2391"/>
      <c r="O93" s="2391"/>
      <c r="P93" s="2391"/>
      <c r="Q93" s="2391"/>
      <c r="R93" s="2391"/>
      <c r="S93" s="2391"/>
      <c r="T93" s="2391"/>
      <c r="U93" s="2391"/>
      <c r="V93" s="2391"/>
      <c r="W93" s="2391"/>
      <c r="X93" s="2391"/>
      <c r="Y93" s="2391"/>
      <c r="Z93" s="2391"/>
      <c r="AA93" s="2397"/>
      <c r="AB93" s="2397"/>
      <c r="AC93" s="2397"/>
      <c r="AD93" s="2397"/>
      <c r="AE93" s="2397"/>
      <c r="AF93" s="2397"/>
      <c r="AG93" s="2397"/>
      <c r="AH93" s="2397"/>
      <c r="AI93" s="2397"/>
    </row>
    <row r="94" spans="1:35" s="2132" customFormat="1" ht="36.75" customHeight="1">
      <c r="A94" s="2273" t="s">
        <v>890</v>
      </c>
      <c r="B94" s="666" t="s">
        <v>891</v>
      </c>
      <c r="C94" s="2357">
        <f>ROUND((C87+C90+C91)*D94,0)</f>
        <v>0</v>
      </c>
      <c r="D94" s="2341">
        <v>0.2</v>
      </c>
      <c r="E94" s="3380" t="s">
        <v>892</v>
      </c>
      <c r="F94" s="3381"/>
      <c r="G94" s="3381"/>
      <c r="H94" s="3382"/>
      <c r="I94" s="904"/>
      <c r="J94" s="2391"/>
      <c r="K94" s="2391"/>
      <c r="L94" s="2391"/>
      <c r="M94" s="2391"/>
      <c r="N94" s="2391"/>
      <c r="O94" s="2391"/>
      <c r="P94" s="2391"/>
      <c r="Q94" s="2391"/>
      <c r="R94" s="2391"/>
      <c r="S94" s="2391"/>
      <c r="T94" s="2391"/>
      <c r="U94" s="2391"/>
      <c r="V94" s="2391"/>
      <c r="W94" s="2391"/>
      <c r="X94" s="2391"/>
      <c r="Y94" s="2391"/>
      <c r="Z94" s="2391"/>
      <c r="AA94" s="2397"/>
      <c r="AB94" s="2397"/>
      <c r="AC94" s="2397"/>
      <c r="AD94" s="2397"/>
      <c r="AE94" s="2397"/>
      <c r="AF94" s="2397"/>
      <c r="AG94" s="2397"/>
      <c r="AH94" s="2397"/>
      <c r="AI94" s="2397"/>
    </row>
    <row r="95" spans="1:35" s="2132" customFormat="1" ht="14.25">
      <c r="A95" s="2269" t="s">
        <v>845</v>
      </c>
      <c r="B95" s="2313" t="s">
        <v>868</v>
      </c>
      <c r="C95" s="2316">
        <f ca="1">ROUND(C85-C86,0)</f>
        <v>3</v>
      </c>
      <c r="D95" s="666" t="s">
        <v>124</v>
      </c>
      <c r="E95" s="1702"/>
      <c r="F95" s="1703"/>
      <c r="G95" s="1703"/>
      <c r="H95" s="2355"/>
      <c r="I95" s="904"/>
      <c r="J95" s="2391"/>
      <c r="K95" s="2391"/>
      <c r="L95" s="2391"/>
      <c r="M95" s="2391"/>
      <c r="N95" s="2391"/>
      <c r="O95" s="2391"/>
      <c r="P95" s="2391"/>
      <c r="Q95" s="2391"/>
      <c r="R95" s="2391"/>
      <c r="S95" s="2391"/>
      <c r="T95" s="2391"/>
      <c r="U95" s="2391"/>
      <c r="V95" s="2391"/>
      <c r="W95" s="2391"/>
      <c r="X95" s="2391"/>
      <c r="Y95" s="2391"/>
      <c r="Z95" s="2391"/>
      <c r="AA95" s="2397"/>
      <c r="AB95" s="2397"/>
      <c r="AC95" s="2397"/>
      <c r="AD95" s="2397"/>
      <c r="AE95" s="2397"/>
      <c r="AF95" s="2397"/>
      <c r="AG95" s="2397"/>
      <c r="AH95" s="2397"/>
      <c r="AI95" s="2397"/>
    </row>
    <row r="96" spans="1:35" s="2132" customFormat="1" ht="24">
      <c r="A96" s="2269" t="s">
        <v>848</v>
      </c>
      <c r="B96" s="2313" t="s">
        <v>869</v>
      </c>
      <c r="C96" s="2345" t="e">
        <f ca="1">IF(C95&lt;=0,0,C95/C86)</f>
        <v>#DIV/0!</v>
      </c>
      <c r="D96" s="666" t="s">
        <v>124</v>
      </c>
      <c r="E96" s="1824" t="e">
        <f ca="1">IF(C96&gt;=200%,"增值额超过扣除项目金额200%",IF(C96&gt;=100%,"增值额超过扣除项目金额100%，未超过200%",IF(C96&gt;=50%,"增值额超过扣除项目金额50%，未超过100%",IF(C96&lt;50%,"增值额未超过扣除项目金额50%"))))</f>
        <v>#DIV/0!</v>
      </c>
      <c r="F96" s="1703"/>
      <c r="G96" s="1703"/>
      <c r="H96" s="2355"/>
      <c r="I96" s="904"/>
      <c r="J96" s="2391"/>
      <c r="K96" s="2391"/>
      <c r="L96" s="2391"/>
      <c r="M96" s="2391"/>
      <c r="N96" s="2391"/>
      <c r="O96" s="2391"/>
      <c r="P96" s="2391"/>
      <c r="Q96" s="2391"/>
      <c r="R96" s="2391"/>
      <c r="S96" s="2391"/>
      <c r="T96" s="2391"/>
      <c r="U96" s="2391"/>
      <c r="V96" s="2391"/>
      <c r="W96" s="2391"/>
      <c r="X96" s="2391"/>
      <c r="Y96" s="2391"/>
      <c r="Z96" s="2391"/>
      <c r="AA96" s="2397"/>
      <c r="AB96" s="2397"/>
      <c r="AC96" s="2397"/>
      <c r="AD96" s="2397"/>
      <c r="AE96" s="2397"/>
      <c r="AF96" s="2397"/>
      <c r="AG96" s="2397"/>
      <c r="AH96" s="2397"/>
      <c r="AI96" s="2397"/>
    </row>
    <row r="97" spans="1:35" s="2132" customFormat="1" ht="24">
      <c r="A97" s="2317" t="s">
        <v>870</v>
      </c>
      <c r="B97" s="2318" t="s">
        <v>871</v>
      </c>
      <c r="C97" s="2346" t="e">
        <f ca="1">ROUND(IF(C95&lt;=0,0,IF(C96&gt;=200%,C95*60%-C86*35%,IF(C96&gt;=100%,C95*50%-C86*15%,IF(C96&gt;=50%,C95*40%-C86*5%,IF(C96&lt;50%,C95*30%,0))))),0)</f>
        <v>#DIV/0!</v>
      </c>
      <c r="D97" s="2347" t="s">
        <v>124</v>
      </c>
      <c r="E97" s="23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49"/>
      <c r="G97" s="2349"/>
      <c r="H97" s="2363"/>
      <c r="I97" s="904"/>
      <c r="J97" s="2391"/>
      <c r="K97" s="2391"/>
      <c r="L97" s="2391"/>
      <c r="M97" s="2391"/>
      <c r="N97" s="2391"/>
      <c r="O97" s="2391"/>
      <c r="P97" s="2391"/>
      <c r="Q97" s="2391"/>
      <c r="R97" s="2391"/>
      <c r="S97" s="2391"/>
      <c r="T97" s="2391"/>
      <c r="U97" s="2391"/>
      <c r="V97" s="2391"/>
      <c r="W97" s="2391"/>
      <c r="X97" s="2391"/>
      <c r="Y97" s="2391"/>
      <c r="Z97" s="2391"/>
      <c r="AA97" s="2397"/>
      <c r="AB97" s="2397"/>
      <c r="AC97" s="2397"/>
      <c r="AD97" s="2397"/>
      <c r="AE97" s="2397"/>
      <c r="AF97" s="2397"/>
      <c r="AG97" s="2397"/>
      <c r="AH97" s="2397"/>
      <c r="AI97" s="2397"/>
    </row>
    <row r="98" spans="1:35" ht="21.75" customHeight="1">
      <c r="A98" s="2264"/>
      <c r="B98" s="2136"/>
      <c r="C98" s="2136"/>
      <c r="D98" s="2136"/>
      <c r="E98" s="2265"/>
      <c r="F98" s="2265"/>
      <c r="G98" s="2265"/>
      <c r="H98" s="2225"/>
      <c r="I98" s="370"/>
    </row>
    <row r="99" spans="1:35" ht="21.75" customHeight="1">
      <c r="A99" s="2227" t="s">
        <v>893</v>
      </c>
      <c r="B99" s="2136"/>
      <c r="C99" s="2136"/>
      <c r="D99" s="2136"/>
      <c r="E99" s="2265"/>
      <c r="F99" s="2265"/>
      <c r="G99" s="2265"/>
      <c r="H99" s="2225"/>
      <c r="I99" s="370"/>
    </row>
    <row r="100" spans="1:35" ht="18.75" customHeight="1">
      <c r="A100" s="3309" t="s">
        <v>894</v>
      </c>
      <c r="B100" s="3310"/>
      <c r="C100" s="3310"/>
      <c r="D100" s="3383"/>
      <c r="E100" s="3310" t="s">
        <v>895</v>
      </c>
      <c r="F100" s="3310"/>
      <c r="G100" s="3310"/>
      <c r="H100" s="3383"/>
      <c r="I100" s="370"/>
    </row>
    <row r="101" spans="1:35" ht="18.75" customHeight="1">
      <c r="A101" s="3384" t="s">
        <v>896</v>
      </c>
      <c r="B101" s="3385"/>
      <c r="C101" s="2365" t="str">
        <f>C4</f>
        <v>成本法-共产划拨</v>
      </c>
      <c r="D101" s="2366" t="str">
        <f>D4</f>
        <v>比较法-共产出让</v>
      </c>
      <c r="E101" s="3402" t="s">
        <v>897</v>
      </c>
      <c r="F101" s="3398"/>
      <c r="G101" s="2368" t="s">
        <v>898</v>
      </c>
      <c r="H101" s="2369">
        <f ca="1">H118</f>
        <v>3</v>
      </c>
      <c r="I101" s="370"/>
    </row>
    <row r="102" spans="1:35" ht="18.75" customHeight="1">
      <c r="A102" s="3409" t="s">
        <v>899</v>
      </c>
      <c r="B102" s="2370" t="s">
        <v>898</v>
      </c>
      <c r="C102" s="2365">
        <f ca="1">C19</f>
        <v>2</v>
      </c>
      <c r="D102" s="2366">
        <f ca="1">D19</f>
        <v>4</v>
      </c>
      <c r="E102" s="3402"/>
      <c r="F102" s="3398"/>
      <c r="G102" s="2368" t="s">
        <v>99</v>
      </c>
      <c r="H102" s="2254">
        <f ca="1">I118</f>
        <v>27066</v>
      </c>
      <c r="I102" s="370"/>
    </row>
    <row r="103" spans="1:35" ht="42.75" customHeight="1">
      <c r="A103" s="3409"/>
      <c r="B103" s="2370" t="s">
        <v>99</v>
      </c>
      <c r="C103" s="2371">
        <f ca="1">C20</f>
        <v>23182</v>
      </c>
      <c r="D103" s="2372">
        <f ca="1">D20</f>
        <v>29655</v>
      </c>
      <c r="E103" s="3386" t="s">
        <v>900</v>
      </c>
      <c r="F103" s="3387"/>
      <c r="G103" s="2373" t="s">
        <v>102</v>
      </c>
      <c r="H103" s="2369">
        <f>IF(D36="正常操作",H104+H105+H106,H105+H106)</f>
        <v>0</v>
      </c>
      <c r="I103" s="370"/>
    </row>
    <row r="104" spans="1:35" ht="18.75" customHeight="1">
      <c r="A104" s="3409" t="s">
        <v>901</v>
      </c>
      <c r="B104" s="2374" t="s">
        <v>898</v>
      </c>
      <c r="C104" s="2375">
        <f ca="1">H118</f>
        <v>3</v>
      </c>
      <c r="D104" s="2376"/>
      <c r="E104" s="2210" t="s">
        <v>902</v>
      </c>
      <c r="F104" s="2377"/>
      <c r="G104" s="2373" t="s">
        <v>102</v>
      </c>
      <c r="H104" s="2378">
        <f>IF(D36="同一抵押权人同一抵押物续贷",C36&amp;"（续贷，未扣减，详见特别提示）",C36)</f>
        <v>0</v>
      </c>
      <c r="I104" s="370"/>
    </row>
    <row r="105" spans="1:35" ht="18.75" customHeight="1">
      <c r="A105" s="3410"/>
      <c r="B105" s="2379" t="s">
        <v>99</v>
      </c>
      <c r="C105" s="2380">
        <f ca="1">I118</f>
        <v>27066</v>
      </c>
      <c r="D105" s="2381"/>
      <c r="E105" s="2210" t="s">
        <v>903</v>
      </c>
      <c r="F105" s="2377"/>
      <c r="G105" s="2373" t="s">
        <v>102</v>
      </c>
      <c r="H105" s="2382">
        <f>C37</f>
        <v>0</v>
      </c>
      <c r="I105" s="370"/>
    </row>
    <row r="106" spans="1:35" ht="18.75" customHeight="1">
      <c r="A106" s="2136" t="s">
        <v>904</v>
      </c>
      <c r="B106" s="2136"/>
      <c r="C106" s="2136"/>
      <c r="D106" s="2136"/>
      <c r="E106" s="2383" t="s">
        <v>905</v>
      </c>
      <c r="F106" s="2377"/>
      <c r="G106" s="2373" t="s">
        <v>102</v>
      </c>
      <c r="H106" s="2382">
        <f>C38</f>
        <v>0</v>
      </c>
      <c r="I106" s="370"/>
    </row>
    <row r="107" spans="1:35" ht="18.75" customHeight="1">
      <c r="A107" s="370"/>
      <c r="B107" s="370"/>
      <c r="C107" s="370"/>
      <c r="D107" s="370"/>
      <c r="E107" s="3397" t="str">
        <f>IF(项目基本情况!E8="已注销","——","3.房地产抵押价值")</f>
        <v>——</v>
      </c>
      <c r="F107" s="3398"/>
      <c r="G107" s="2368" t="s">
        <v>898</v>
      </c>
      <c r="H107" s="2369" t="str">
        <f>IF(E107="——","——",H101-H103)</f>
        <v>——</v>
      </c>
      <c r="I107" s="370"/>
    </row>
    <row r="108" spans="1:35" ht="18.75" customHeight="1">
      <c r="A108" s="370"/>
      <c r="B108" s="370"/>
      <c r="C108" s="370"/>
      <c r="D108" s="370"/>
      <c r="E108" s="3397"/>
      <c r="F108" s="3398"/>
      <c r="G108" s="2368" t="s">
        <v>99</v>
      </c>
      <c r="H108" s="2254" t="e">
        <f>ROUND(H107*10000/'数据-汇总表'!E3,0)</f>
        <v>#VALUE!</v>
      </c>
      <c r="I108" s="370"/>
    </row>
    <row r="109" spans="1:35" ht="18.75" customHeight="1">
      <c r="A109" s="370"/>
      <c r="B109" s="370"/>
      <c r="C109" s="370"/>
      <c r="D109" s="370"/>
      <c r="E109" s="3397" t="str">
        <f>IF(项目基本情况!E8="已注销及未注销","4.抵押担保权已注销时的房地产抵押价值",IF(项目基本情况!E8="已注销","3.抵押担保权已注销时的房地产抵押价值","——"))</f>
        <v>3.抵押担保权已注销时的房地产抵押价值</v>
      </c>
      <c r="F109" s="3398"/>
      <c r="G109" s="2368" t="s">
        <v>898</v>
      </c>
      <c r="H109" s="2384">
        <f ca="1">IF(E109="——","——",H101-H105-H106)</f>
        <v>3</v>
      </c>
      <c r="I109" s="370"/>
    </row>
    <row r="110" spans="1:35" ht="18.75" customHeight="1">
      <c r="A110" s="370"/>
      <c r="B110" s="370"/>
      <c r="C110" s="370"/>
      <c r="D110" s="370"/>
      <c r="E110" s="3397"/>
      <c r="F110" s="3398"/>
      <c r="G110" s="2368" t="s">
        <v>99</v>
      </c>
      <c r="H110" s="2254">
        <f ca="1">IF(H109="——","——",ROUND(H109*10000/'数据-汇总表'!E3,0))</f>
        <v>30000</v>
      </c>
      <c r="I110" s="370"/>
    </row>
    <row r="111" spans="1:35" ht="18.75" customHeight="1">
      <c r="A111" s="370"/>
      <c r="B111" s="370"/>
      <c r="C111" s="370"/>
      <c r="D111" s="370"/>
      <c r="E111" s="3399" t="str">
        <f>IF(项目基本情况!E9="抵押净值",IF(OR(项目基本情况!E8="已注销",项目基本情况!E8="房地产抵押价值"),"4.抵押净值","5.抵押净值"),"——")</f>
        <v>——</v>
      </c>
      <c r="F111" s="3364"/>
      <c r="G111" s="2368" t="s">
        <v>898</v>
      </c>
      <c r="H111" s="2369" t="str">
        <f>IF(E111="——","——",N59)</f>
        <v>——</v>
      </c>
      <c r="I111" s="370"/>
    </row>
    <row r="112" spans="1:35" ht="18.75" customHeight="1">
      <c r="A112" s="370"/>
      <c r="B112" s="370"/>
      <c r="C112" s="370"/>
      <c r="D112" s="370"/>
      <c r="E112" s="3400"/>
      <c r="F112" s="3401"/>
      <c r="G112" s="2385" t="s">
        <v>99</v>
      </c>
      <c r="H112" s="2386" t="str">
        <f>IF(E111="——","——",N61)</f>
        <v>——</v>
      </c>
      <c r="I112" s="370"/>
    </row>
    <row r="113" spans="1:27" ht="18.75" customHeight="1">
      <c r="A113" s="370"/>
      <c r="B113" s="370"/>
      <c r="C113" s="370"/>
      <c r="D113" s="370"/>
      <c r="E113" s="3388" t="s">
        <v>904</v>
      </c>
      <c r="F113" s="3388"/>
      <c r="G113" s="3388"/>
      <c r="H113" s="3388"/>
      <c r="I113" s="370"/>
    </row>
    <row r="114" spans="1:27" ht="3.75" customHeight="1">
      <c r="A114" s="2136"/>
      <c r="B114" s="2136"/>
      <c r="C114" s="2136"/>
      <c r="D114" s="2136"/>
      <c r="E114" s="2264"/>
      <c r="F114" s="2264"/>
      <c r="G114" s="2264"/>
      <c r="H114" s="2264"/>
      <c r="I114" s="2136"/>
    </row>
    <row r="115" spans="1:27" ht="18.75" customHeight="1">
      <c r="A115" s="3389" t="s">
        <v>906</v>
      </c>
      <c r="B115" s="3390"/>
      <c r="C115" s="3390"/>
      <c r="D115" s="3390"/>
      <c r="E115" s="3390"/>
      <c r="F115" s="3390"/>
      <c r="G115" s="3390"/>
      <c r="H115" s="3390"/>
      <c r="I115" s="3391"/>
    </row>
    <row r="116" spans="1:27" ht="27" customHeight="1">
      <c r="A116" s="3368" t="s">
        <v>907</v>
      </c>
      <c r="B116" s="3378" t="s">
        <v>908</v>
      </c>
      <c r="C116" s="3378" t="s">
        <v>909</v>
      </c>
      <c r="D116" s="3392" t="s">
        <v>910</v>
      </c>
      <c r="E116" s="3393"/>
      <c r="F116" s="3394" t="s">
        <v>911</v>
      </c>
      <c r="G116" s="3394"/>
      <c r="H116" s="3368" t="s">
        <v>912</v>
      </c>
      <c r="I116" s="3368"/>
    </row>
    <row r="117" spans="1:27" ht="18.75" customHeight="1">
      <c r="A117" s="3368"/>
      <c r="B117" s="3379"/>
      <c r="C117" s="3379"/>
      <c r="D117" s="2146" t="s">
        <v>913</v>
      </c>
      <c r="E117" s="2146" t="s">
        <v>739</v>
      </c>
      <c r="F117" s="2146" t="s">
        <v>913</v>
      </c>
      <c r="G117" s="2146" t="s">
        <v>739</v>
      </c>
      <c r="H117" s="2146" t="s">
        <v>913</v>
      </c>
      <c r="I117" s="2146" t="s">
        <v>739</v>
      </c>
    </row>
    <row r="118" spans="1:27" ht="24.75" customHeight="1">
      <c r="A118" s="2387" t="str">
        <f>项目基本情况!S2</f>
        <v>北京市房地产</v>
      </c>
      <c r="B118" s="2146">
        <f>M18</f>
        <v>1</v>
      </c>
      <c r="C118" s="2146">
        <f>M19</f>
        <v>0.39</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3</v>
      </c>
      <c r="I118" s="2146">
        <f ca="1">ROUND(IF(D32="楼面单价",C32,H118*10000/B118),0)</f>
        <v>27066</v>
      </c>
    </row>
    <row r="119" spans="1:27" ht="18.75" customHeight="1">
      <c r="A119" s="3368" t="s">
        <v>914</v>
      </c>
      <c r="B119" s="3368"/>
      <c r="C119" s="3368"/>
      <c r="D119" s="3369" t="str">
        <f>NUMBERSTRING(INT(D118*10000),2)&amp;"元整"</f>
        <v>零元整</v>
      </c>
      <c r="E119" s="3371"/>
      <c r="F119" s="3369" t="str">
        <f>NUMBERSTRING(INT(F118*10000),2)&amp;"元整"</f>
        <v>零元整</v>
      </c>
      <c r="G119" s="3371"/>
      <c r="H119" s="3369" t="str">
        <f ca="1">NUMBERSTRING(INT(H118*10000),2)&amp;"元整"</f>
        <v>叁万元整</v>
      </c>
      <c r="I119" s="3371"/>
    </row>
    <row r="120" spans="1:27" ht="18.75" customHeight="1">
      <c r="A120" s="3365" t="str">
        <f>IF(项目基本情况!B9="房地产市场价值","",MID(E103,3,LEN(E103)-2))</f>
        <v/>
      </c>
      <c r="B120" s="3366"/>
      <c r="C120" s="3367"/>
      <c r="D120" s="3365">
        <f>H103</f>
        <v>0</v>
      </c>
      <c r="E120" s="3366"/>
      <c r="F120" s="3366"/>
      <c r="G120" s="3366"/>
      <c r="H120" s="3366"/>
      <c r="I120" s="3367"/>
      <c r="J120" s="2133"/>
      <c r="K120" s="2133" t="str">
        <f>IF(D120=0,"故，本次评估不存在"&amp;A120,"故，本次评估"&amp;A120&amp;"为人民币"&amp;D120&amp;"万元整。")</f>
        <v>故，本次评估不存在</v>
      </c>
      <c r="L120" s="2133"/>
      <c r="M120" s="2133"/>
      <c r="N120" s="2133"/>
      <c r="O120" s="2133"/>
      <c r="P120" s="2133"/>
      <c r="Q120" s="2133"/>
      <c r="R120" s="2133"/>
      <c r="S120" s="2133"/>
    </row>
    <row r="121" spans="1:27" ht="18.75" customHeight="1">
      <c r="A121" s="3372" t="s">
        <v>914</v>
      </c>
      <c r="B121" s="3373"/>
      <c r="C121" s="3374"/>
      <c r="D121" s="3369" t="str">
        <f>IF(D120=0,"零元整",NUMBERSTRING(INT(D120*10000),2)&amp;"元整")</f>
        <v>零元整</v>
      </c>
      <c r="E121" s="3370"/>
      <c r="F121" s="3370"/>
      <c r="G121" s="3370"/>
      <c r="H121" s="3370"/>
      <c r="I121" s="3371"/>
      <c r="AA121" s="327"/>
    </row>
    <row r="122" spans="1:27" ht="18.75" customHeight="1">
      <c r="A122" s="3364" t="str">
        <f>IF(项目基本情况!B9="房地产市场价值","",MID(E107,3,LEN(E107)-2))</f>
        <v/>
      </c>
      <c r="B122" s="3364"/>
      <c r="C122" s="3364"/>
      <c r="D122" s="3365" t="str">
        <f>H107</f>
        <v>——</v>
      </c>
      <c r="E122" s="3366"/>
      <c r="F122" s="3366"/>
      <c r="G122" s="3366"/>
      <c r="H122" s="3366"/>
      <c r="I122" s="3367"/>
      <c r="AA122" s="327"/>
    </row>
    <row r="123" spans="1:27" ht="18.75" customHeight="1">
      <c r="A123" s="3368" t="s">
        <v>914</v>
      </c>
      <c r="B123" s="3368"/>
      <c r="C123" s="3368"/>
      <c r="D123" s="3369" t="e">
        <f>NUMBERSTRING(INT(D122*10000),2)&amp;"元整"</f>
        <v>#VALUE!</v>
      </c>
      <c r="E123" s="3370"/>
      <c r="F123" s="3370"/>
      <c r="G123" s="3370"/>
      <c r="H123" s="3370"/>
      <c r="I123" s="3371"/>
      <c r="AA123" s="327"/>
    </row>
    <row r="124" spans="1:27" ht="18.75" customHeight="1">
      <c r="A124" s="3364" t="str">
        <f>IF(项目基本情况!B9="房地产市场价值","",MID(E109,3,LEN(E109)-2))</f>
        <v/>
      </c>
      <c r="B124" s="3364"/>
      <c r="C124" s="3364"/>
      <c r="D124" s="3365">
        <f ca="1">H109</f>
        <v>3</v>
      </c>
      <c r="E124" s="3366"/>
      <c r="F124" s="3366"/>
      <c r="G124" s="3366"/>
      <c r="H124" s="3366"/>
      <c r="I124" s="3367"/>
      <c r="AA124" s="327"/>
    </row>
    <row r="125" spans="1:27" ht="18.75" customHeight="1">
      <c r="A125" s="3368" t="s">
        <v>914</v>
      </c>
      <c r="B125" s="3368"/>
      <c r="C125" s="3368"/>
      <c r="D125" s="3369" t="str">
        <f ca="1">NUMBERSTRING(INT(D124*10000),2)&amp;"元整"</f>
        <v>叁万元整</v>
      </c>
      <c r="E125" s="3370"/>
      <c r="F125" s="3370"/>
      <c r="G125" s="3370"/>
      <c r="H125" s="3370"/>
      <c r="I125" s="3371"/>
      <c r="AA125" s="327"/>
    </row>
    <row r="126" spans="1:27" ht="18.75" customHeight="1">
      <c r="A126" s="3364" t="str">
        <f>IF(项目基本情况!B9="房地产市场价值","",MID(E111,3,LEN(E111)-2))</f>
        <v/>
      </c>
      <c r="B126" s="3364"/>
      <c r="C126" s="3364"/>
      <c r="D126" s="3365" t="str">
        <f>H111</f>
        <v>——</v>
      </c>
      <c r="E126" s="3366"/>
      <c r="F126" s="3366"/>
      <c r="G126" s="3366"/>
      <c r="H126" s="3366"/>
      <c r="I126" s="3367"/>
      <c r="AA126" s="327"/>
    </row>
    <row r="127" spans="1:27" ht="18.75" customHeight="1">
      <c r="A127" s="3368" t="s">
        <v>914</v>
      </c>
      <c r="B127" s="3368"/>
      <c r="C127" s="3368"/>
      <c r="D127" s="3369" t="e">
        <f>NUMBERSTRING(INT(D126*10000),2)&amp;"元整"</f>
        <v>#VALUE!</v>
      </c>
      <c r="E127" s="3370"/>
      <c r="F127" s="3370"/>
      <c r="G127" s="3370"/>
      <c r="H127" s="3370"/>
      <c r="I127" s="3371"/>
      <c r="AA127" s="327"/>
    </row>
    <row r="128" spans="1:27" ht="21.75" customHeight="1">
      <c r="A128" s="3403" t="s">
        <v>113</v>
      </c>
      <c r="B128" s="3403"/>
      <c r="C128" s="3403"/>
      <c r="D128" s="3403"/>
      <c r="E128" s="3403"/>
      <c r="F128" s="3403"/>
      <c r="G128" s="3403"/>
      <c r="H128" s="3403"/>
      <c r="I128" s="3403"/>
      <c r="AA128" s="327"/>
    </row>
    <row r="129" spans="1:35" ht="21.75" customHeight="1">
      <c r="A129" s="2398" t="s">
        <v>915</v>
      </c>
      <c r="B129" s="2399"/>
      <c r="C129" s="2400" t="s">
        <v>916</v>
      </c>
      <c r="D129" s="2401"/>
      <c r="E129" s="2401"/>
      <c r="F129" s="2401"/>
      <c r="G129" s="2401"/>
      <c r="H129" s="2402"/>
      <c r="I129" s="2417"/>
      <c r="AA129" s="327"/>
    </row>
    <row r="130" spans="1:35" ht="21.75" customHeight="1">
      <c r="A130" s="2403">
        <v>1</v>
      </c>
      <c r="B130" s="2404"/>
      <c r="C130" s="2404"/>
      <c r="D130" s="2405"/>
      <c r="E130" s="2405"/>
      <c r="F130" s="2405"/>
      <c r="G130" s="2405"/>
      <c r="H130" s="2406"/>
      <c r="I130" s="2418"/>
      <c r="AA130" s="327"/>
    </row>
    <row r="131" spans="1:35" ht="21.75" customHeight="1">
      <c r="A131" s="2403">
        <v>2</v>
      </c>
      <c r="B131" s="2404"/>
      <c r="C131" s="2404"/>
      <c r="D131" s="2405"/>
      <c r="E131" s="2405"/>
      <c r="F131" s="2405"/>
      <c r="G131" s="2405"/>
      <c r="H131" s="2406"/>
      <c r="I131" s="2418"/>
      <c r="AA131" s="327"/>
    </row>
    <row r="132" spans="1:35" ht="21.75" customHeight="1">
      <c r="A132" s="2403">
        <v>3</v>
      </c>
      <c r="B132" s="2404"/>
      <c r="C132" s="2404"/>
      <c r="D132" s="2405"/>
      <c r="E132" s="2405"/>
      <c r="F132" s="2405"/>
      <c r="G132" s="2405"/>
      <c r="H132" s="2406"/>
      <c r="I132" s="2418"/>
      <c r="AA132" s="327"/>
    </row>
    <row r="133" spans="1:35" ht="21.75" customHeight="1">
      <c r="A133" s="2407"/>
      <c r="B133" s="2408"/>
      <c r="C133" s="2408"/>
      <c r="D133" s="2409"/>
      <c r="E133" s="2409"/>
      <c r="F133" s="2409"/>
      <c r="G133" s="2409"/>
      <c r="H133" s="2410"/>
      <c r="I133" s="2419"/>
    </row>
    <row r="134" spans="1:35" ht="21.75" customHeight="1">
      <c r="A134" s="2404"/>
      <c r="B134" s="2404"/>
      <c r="C134" s="2404"/>
      <c r="D134" s="2405"/>
      <c r="E134" s="2405"/>
      <c r="F134" s="2405"/>
      <c r="G134" s="2405"/>
      <c r="H134" s="2406"/>
      <c r="I134" s="327"/>
    </row>
    <row r="135" spans="1:35" ht="21.75" customHeight="1">
      <c r="A135" s="327"/>
      <c r="B135" s="327"/>
      <c r="C135" s="327"/>
      <c r="D135" s="327"/>
      <c r="E135" s="327"/>
      <c r="F135" s="2411" t="s">
        <v>917</v>
      </c>
      <c r="G135" s="2412"/>
      <c r="H135" s="2412"/>
      <c r="I135" s="2420" t="s">
        <v>918</v>
      </c>
    </row>
    <row r="136" spans="1:35" ht="21.75" customHeight="1">
      <c r="A136" s="327"/>
      <c r="B136" s="2413" t="s">
        <v>919</v>
      </c>
      <c r="C136" s="327"/>
      <c r="D136" s="327"/>
      <c r="E136" s="327"/>
      <c r="F136" s="327"/>
      <c r="G136" s="327"/>
      <c r="H136" s="327"/>
      <c r="I136" s="327"/>
    </row>
    <row r="137" spans="1:35" ht="21.75" customHeight="1">
      <c r="A137" s="327"/>
      <c r="B137" s="327"/>
      <c r="C137" s="327"/>
      <c r="D137" s="327"/>
      <c r="E137" s="327"/>
      <c r="F137" s="327"/>
      <c r="G137" s="327"/>
      <c r="H137" s="327"/>
      <c r="I137" s="327"/>
    </row>
    <row r="138" spans="1:35" ht="21.75" customHeight="1">
      <c r="A138" s="327"/>
      <c r="B138" s="2412"/>
      <c r="C138" s="2412"/>
      <c r="D138" s="2412"/>
      <c r="E138" s="2412"/>
      <c r="F138" s="2412"/>
      <c r="G138" s="2412"/>
      <c r="H138" s="2412"/>
      <c r="I138" s="2420" t="s">
        <v>920</v>
      </c>
    </row>
    <row r="139" spans="1:35" ht="21.75" customHeight="1">
      <c r="A139" s="327"/>
      <c r="B139" s="2413" t="s">
        <v>921</v>
      </c>
      <c r="C139" s="327"/>
      <c r="D139" s="327"/>
      <c r="E139" s="327"/>
      <c r="F139" s="327"/>
      <c r="G139" s="327"/>
      <c r="H139" s="327"/>
      <c r="I139" s="327"/>
    </row>
    <row r="140" spans="1:35" ht="21.75" customHeight="1">
      <c r="A140" s="327"/>
      <c r="B140" s="2413"/>
      <c r="C140" s="327"/>
      <c r="D140" s="327"/>
      <c r="E140" s="327"/>
      <c r="F140" s="327"/>
      <c r="G140" s="327"/>
      <c r="H140" s="327"/>
      <c r="I140" s="327"/>
    </row>
    <row r="141" spans="1:35" ht="21.75" customHeight="1">
      <c r="A141" s="327"/>
      <c r="B141" s="2412"/>
      <c r="C141" s="2412"/>
      <c r="D141" s="2412"/>
      <c r="E141" s="2412"/>
      <c r="F141" s="2412"/>
      <c r="G141" s="2412"/>
      <c r="H141" s="2412"/>
      <c r="I141" s="2420" t="s">
        <v>920</v>
      </c>
    </row>
    <row r="142" spans="1:35" ht="21.75" customHeight="1">
      <c r="A142" s="327"/>
      <c r="B142" s="2413"/>
      <c r="C142" s="2414"/>
      <c r="D142" s="2415"/>
      <c r="E142" s="2415"/>
      <c r="F142" s="2416"/>
      <c r="G142" s="327"/>
      <c r="H142" s="327"/>
      <c r="I142" s="327"/>
    </row>
    <row r="143" spans="1:35" s="324" customFormat="1" ht="21.75" customHeight="1">
      <c r="A143" s="327"/>
      <c r="B143" s="2413"/>
      <c r="C143" s="2414"/>
      <c r="D143" s="2415"/>
      <c r="E143" s="2415"/>
      <c r="F143" s="2416"/>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c r="AI143" s="327"/>
    </row>
    <row r="144" spans="1:35" s="324" customFormat="1" ht="21.75" customHeight="1">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c r="AI144" s="327"/>
    </row>
    <row r="145" spans="1:35" s="324" customFormat="1" ht="21.75" customHeight="1">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c r="AI145" s="327"/>
    </row>
    <row r="146" spans="1:35" s="327" customFormat="1" ht="21.75" customHeight="1"/>
    <row r="147" spans="1:35" s="327" customFormat="1" ht="21.75" customHeight="1"/>
    <row r="148" spans="1:35" s="327" customFormat="1" ht="21.75" customHeight="1"/>
    <row r="149" spans="1:35" s="327" customFormat="1" ht="21.75" customHeight="1"/>
    <row r="150" spans="1:35" s="327" customFormat="1" ht="21.75" customHeight="1"/>
    <row r="151" spans="1:35" s="327" customFormat="1" ht="21.75" customHeight="1"/>
    <row r="152" spans="1:35" s="327" customFormat="1" ht="21.75" customHeight="1"/>
    <row r="153" spans="1:35" s="327" customFormat="1" ht="21.75" customHeight="1"/>
    <row r="154" spans="1:35" s="327" customFormat="1" ht="21.75" customHeight="1"/>
    <row r="155" spans="1:35" s="327" customFormat="1" ht="21.75" customHeight="1"/>
    <row r="156" spans="1:35" s="327" customFormat="1" ht="21.75" customHeight="1"/>
    <row r="157" spans="1:35" s="327" customFormat="1" ht="21.75" customHeight="1"/>
    <row r="158" spans="1:35" s="327" customFormat="1" ht="21.75" customHeight="1"/>
    <row r="159" spans="1:35" s="327" customFormat="1" ht="21.75" customHeight="1"/>
    <row r="160" spans="1:35" s="327" customFormat="1" ht="21.75" customHeight="1"/>
    <row r="161" s="327" customFormat="1" ht="21.75" customHeight="1"/>
    <row r="162" s="327" customFormat="1" ht="21.75" customHeight="1"/>
    <row r="163" s="327" customFormat="1" ht="21.75" customHeight="1"/>
    <row r="164" s="327" customFormat="1" ht="21.75" customHeight="1"/>
    <row r="165" s="327" customFormat="1" ht="21.75" customHeight="1"/>
    <row r="166" s="327" customFormat="1" ht="21.75" customHeight="1"/>
    <row r="167" s="327" customFormat="1" ht="21.75" customHeight="1"/>
    <row r="168" s="327" customFormat="1" ht="21.75" customHeight="1"/>
    <row r="169" s="327" customFormat="1" ht="21.75" customHeight="1"/>
    <row r="170" s="327" customFormat="1" ht="21.75" customHeight="1"/>
    <row r="171" s="327" customFormat="1" ht="21.75" customHeight="1"/>
    <row r="172" s="327" customFormat="1" ht="21.75" customHeight="1"/>
    <row r="173" s="327" customFormat="1" ht="21.75" customHeight="1"/>
    <row r="174" s="327" customFormat="1" ht="21.75" customHeight="1"/>
    <row r="175" s="327" customFormat="1" ht="21.75" customHeight="1"/>
    <row r="176" s="327" customFormat="1" ht="21.75" customHeight="1"/>
    <row r="177" s="327" customFormat="1" ht="21.75" customHeight="1"/>
    <row r="178" s="327" customFormat="1" ht="21.75" customHeight="1"/>
    <row r="179" s="327" customFormat="1" ht="21.75" customHeight="1"/>
    <row r="180" s="327" customFormat="1" ht="21.75" customHeight="1"/>
    <row r="181" s="327" customFormat="1" ht="21.75" customHeight="1"/>
    <row r="182" s="327" customFormat="1" ht="21.75" customHeight="1"/>
    <row r="183" s="327" customFormat="1" ht="21.75" customHeight="1"/>
    <row r="184" s="327" customFormat="1" ht="21.75" customHeight="1"/>
    <row r="185" s="327" customFormat="1" ht="21.75" customHeight="1"/>
    <row r="186" s="327" customFormat="1" ht="21.75" customHeight="1"/>
    <row r="187" s="327" customFormat="1" ht="21.75" customHeight="1"/>
    <row r="188" s="327" customFormat="1" ht="21.75" customHeight="1"/>
    <row r="189" s="327" customFormat="1" ht="21.75" customHeight="1"/>
    <row r="190" s="327" customFormat="1" ht="21.75" customHeight="1"/>
    <row r="191" s="327" customFormat="1" ht="21.75" customHeight="1"/>
    <row r="192" s="327" customFormat="1" ht="21.75" customHeight="1"/>
    <row r="193" s="327" customFormat="1" ht="21.75" customHeight="1"/>
    <row r="194" s="327" customFormat="1" ht="21.75" customHeight="1"/>
    <row r="195" s="327" customFormat="1" ht="21.75" customHeight="1"/>
    <row r="196" s="327" customFormat="1" ht="21.75" customHeight="1"/>
    <row r="197" s="327" customFormat="1" ht="21.75" customHeight="1"/>
    <row r="198" s="327" customFormat="1" ht="21.75" customHeight="1"/>
    <row r="199" s="327" customFormat="1" ht="21.75" customHeight="1"/>
    <row r="200" s="327" customFormat="1" ht="21.75" customHeight="1"/>
    <row r="201" s="327" customFormat="1" ht="21.75" customHeight="1"/>
    <row r="202" s="327" customFormat="1" ht="21.75" customHeight="1"/>
    <row r="203" s="327" customFormat="1" ht="21.75" customHeight="1"/>
    <row r="204" s="327" customFormat="1" ht="21.75" customHeight="1"/>
    <row r="205" s="327" customFormat="1" ht="21.75" customHeight="1"/>
    <row r="206" s="327" customFormat="1" ht="21.75" customHeight="1"/>
    <row r="207" s="327" customFormat="1" ht="21.75" customHeight="1"/>
    <row r="208" s="327" customFormat="1" ht="21.75" customHeight="1"/>
    <row r="209" s="327" customFormat="1" ht="21.75" customHeight="1"/>
    <row r="210" s="327" customFormat="1" ht="21.75" customHeight="1"/>
    <row r="211" s="327" customFormat="1" ht="21.75" customHeight="1"/>
    <row r="212" s="327" customFormat="1" ht="21.75" customHeight="1"/>
    <row r="213" s="327" customFormat="1" ht="21.75" customHeight="1"/>
    <row r="214" s="327" customFormat="1" ht="21.75" customHeight="1"/>
    <row r="215" s="327" customFormat="1" ht="21.75" customHeight="1"/>
    <row r="216" s="327" customFormat="1" ht="21.75" customHeight="1"/>
    <row r="217" s="327" customFormat="1" ht="21.75" customHeight="1"/>
    <row r="218" s="327" customFormat="1" ht="21.75" customHeight="1"/>
    <row r="219" s="327" customFormat="1" ht="21.75" customHeight="1"/>
    <row r="220" s="327" customFormat="1" ht="21.75" customHeight="1"/>
    <row r="221" s="327" customFormat="1" ht="21.75" customHeight="1"/>
    <row r="222" s="327" customFormat="1" ht="21.75" customHeight="1"/>
    <row r="223" s="327" customFormat="1" ht="21.75" customHeight="1"/>
    <row r="224" s="327" customFormat="1" ht="21.75" customHeight="1"/>
    <row r="225" s="327" customFormat="1" ht="21.75" customHeight="1"/>
    <row r="226" s="327" customFormat="1" ht="21.75" customHeight="1"/>
    <row r="227" s="327" customFormat="1" ht="21.75" customHeight="1"/>
    <row r="228" s="327" customFormat="1" ht="21.75" customHeight="1"/>
    <row r="229" s="327" customFormat="1" ht="21.75" customHeight="1"/>
    <row r="230" s="327" customFormat="1" ht="21.75" customHeight="1"/>
    <row r="231" s="327" customFormat="1" ht="21.75" customHeight="1"/>
    <row r="232" s="327" customFormat="1" ht="21.75" customHeight="1"/>
    <row r="233" s="327" customFormat="1" ht="21.75" customHeight="1"/>
    <row r="234" s="327" customFormat="1" ht="21.75" customHeight="1"/>
    <row r="235" s="327" customFormat="1" ht="21.75" customHeight="1"/>
    <row r="236" s="327" customFormat="1" ht="21.75" customHeight="1"/>
    <row r="237" s="327" customFormat="1" ht="21.75" customHeight="1"/>
    <row r="238" s="327" customFormat="1" ht="21.75" customHeight="1"/>
    <row r="239" s="327" customFormat="1" ht="21.75" customHeight="1"/>
    <row r="240" s="327" customFormat="1" ht="21.75" customHeight="1"/>
    <row r="241" s="327" customFormat="1" ht="21.75" customHeight="1"/>
    <row r="242" s="327" customFormat="1" ht="21.75" customHeight="1"/>
    <row r="243" s="327" customFormat="1" ht="21.75" customHeight="1"/>
    <row r="244" s="327" customFormat="1" ht="21.75" customHeight="1"/>
    <row r="245" s="327" customFormat="1" ht="21.75" customHeight="1"/>
    <row r="246" s="327" customFormat="1" ht="21.75" customHeight="1"/>
    <row r="247" s="327" customFormat="1" ht="21.75" customHeight="1"/>
    <row r="248" s="327" customFormat="1" ht="21.75" customHeight="1"/>
    <row r="249" s="327" customFormat="1" ht="21.75" customHeight="1"/>
    <row r="250" s="327" customFormat="1" ht="21.75" customHeight="1"/>
    <row r="251" s="327" customFormat="1" ht="21.75" customHeight="1"/>
    <row r="252" s="327" customFormat="1" ht="21.75" customHeight="1"/>
    <row r="253" s="327" customFormat="1" ht="21.75" customHeight="1"/>
    <row r="254" s="327" customFormat="1" ht="21.75" customHeight="1"/>
    <row r="255" s="327" customFormat="1" ht="21.75" customHeight="1"/>
    <row r="256" s="327" customFormat="1" ht="21.75" customHeight="1"/>
    <row r="257" s="327" customFormat="1" ht="21.75" customHeight="1"/>
    <row r="258" s="327" customFormat="1" ht="21.75" customHeight="1"/>
    <row r="259" s="327" customFormat="1" ht="21.75" customHeight="1"/>
    <row r="260" s="327" customFormat="1" ht="21.75" customHeight="1"/>
    <row r="261" s="327" customFormat="1" ht="21.75" customHeight="1"/>
    <row r="262" s="327" customFormat="1" ht="21.75" customHeight="1"/>
    <row r="263" s="327" customFormat="1" ht="21.75" customHeight="1"/>
    <row r="264" s="327" customFormat="1" ht="21.75" customHeight="1"/>
    <row r="265" s="327" customFormat="1" ht="21.75" customHeight="1"/>
    <row r="266" s="327" customFormat="1" ht="21.75" customHeight="1"/>
    <row r="267" s="327" customFormat="1" ht="21.75" customHeight="1"/>
    <row r="268" s="327" customFormat="1" ht="21.75" customHeight="1"/>
    <row r="269" s="327" customFormat="1" ht="21.75" customHeight="1"/>
    <row r="270" s="327" customFormat="1" ht="21.75" customHeight="1"/>
    <row r="271" s="327" customFormat="1" ht="21.75" customHeight="1"/>
    <row r="272" s="327" customFormat="1" ht="21.75" customHeight="1"/>
    <row r="273" s="327" customFormat="1" ht="21.75" customHeight="1"/>
    <row r="274" s="327" customFormat="1" ht="21.75" customHeight="1"/>
    <row r="275" s="327" customFormat="1" ht="21.75" customHeight="1"/>
    <row r="276" s="327" customFormat="1" ht="21.75" customHeight="1"/>
    <row r="277" s="327" customFormat="1" ht="21.75" customHeight="1"/>
    <row r="278" s="327" customFormat="1" ht="21.75" customHeight="1"/>
    <row r="279" s="327" customFormat="1" ht="21.75" customHeight="1"/>
    <row r="280" s="327" customFormat="1" ht="21.75" customHeight="1"/>
    <row r="281" s="327" customFormat="1" ht="21.75" customHeight="1"/>
    <row r="282" s="327" customFormat="1" ht="21.75" customHeight="1"/>
    <row r="283" s="327" customFormat="1" ht="21.75" customHeight="1"/>
    <row r="284" s="327" customFormat="1" ht="21.75" customHeight="1"/>
    <row r="285" s="327" customFormat="1" ht="21.75" customHeight="1"/>
    <row r="286" s="327" customFormat="1" ht="21.75" customHeight="1"/>
    <row r="287" s="327" customFormat="1" ht="21.75" customHeight="1"/>
    <row r="288" s="327" customFormat="1" ht="21.75" customHeight="1"/>
    <row r="289" s="327" customFormat="1" ht="21.75" customHeight="1"/>
    <row r="290" s="327" customFormat="1" ht="21.75" customHeight="1"/>
    <row r="291" s="327" customFormat="1" ht="21.75" customHeight="1"/>
    <row r="292" s="327" customFormat="1" ht="21.75" customHeight="1"/>
    <row r="293" s="327" customFormat="1" ht="21.75" customHeight="1"/>
    <row r="294" s="327" customFormat="1" ht="21.75" customHeight="1"/>
    <row r="295" s="327" customFormat="1" ht="21.75" customHeight="1"/>
    <row r="296" s="327" customFormat="1" ht="21.75" customHeight="1"/>
    <row r="297" s="327" customFormat="1" ht="21.75" customHeight="1"/>
    <row r="298" s="327" customFormat="1" ht="21.75" customHeight="1"/>
    <row r="299" s="327" customFormat="1" ht="21.75" customHeight="1"/>
    <row r="300" s="327" customFormat="1" ht="21.75" customHeight="1"/>
    <row r="301" s="327" customFormat="1" ht="21.75" customHeight="1"/>
    <row r="302" s="327" customFormat="1" ht="21.75" customHeight="1"/>
    <row r="303" s="327" customFormat="1" ht="21.75" customHeight="1"/>
    <row r="304" s="327" customFormat="1" ht="21.75" customHeight="1"/>
    <row r="305" s="327" customFormat="1" ht="21.75" customHeight="1"/>
    <row r="306" s="327" customFormat="1" ht="21.75" customHeight="1"/>
    <row r="307" s="327" customFormat="1" ht="21.75" customHeight="1"/>
    <row r="308" s="327" customFormat="1" ht="21.75" customHeight="1"/>
    <row r="309" s="327" customFormat="1" ht="21.75" customHeight="1"/>
    <row r="310" s="327" customFormat="1" ht="21.75" customHeight="1"/>
    <row r="311" s="327" customFormat="1" ht="21.75" customHeight="1"/>
    <row r="312" s="327" customFormat="1" ht="21.75" customHeight="1"/>
    <row r="313" s="327" customFormat="1" ht="21.75" customHeight="1"/>
    <row r="314" s="327" customFormat="1" ht="21.75" customHeight="1"/>
    <row r="315" s="327" customFormat="1" ht="21.75" customHeight="1"/>
    <row r="316" s="327" customFormat="1" ht="21.75" customHeight="1"/>
    <row r="317" s="327" customFormat="1" ht="21.75" customHeight="1"/>
    <row r="318" s="327" customFormat="1" ht="21.75" customHeight="1"/>
    <row r="319" s="327" customFormat="1" ht="21.75" customHeight="1"/>
    <row r="320" s="327" customFormat="1" ht="21.75" customHeight="1"/>
    <row r="321" s="327" customFormat="1" ht="21.75" customHeight="1"/>
    <row r="322" s="327" customFormat="1" ht="21.75" customHeight="1"/>
    <row r="323" s="327" customFormat="1" ht="21.75" customHeight="1"/>
    <row r="324" s="327" customFormat="1" ht="21.75" customHeight="1"/>
    <row r="325" s="327" customFormat="1" ht="21.75" customHeight="1"/>
    <row r="326" s="327" customFormat="1" ht="21.75" customHeight="1"/>
    <row r="327" s="327" customFormat="1" ht="21.75" customHeight="1"/>
    <row r="328" s="327" customFormat="1" ht="21.75" customHeight="1"/>
    <row r="329" s="327" customFormat="1" ht="21.75" customHeight="1"/>
    <row r="330" s="327" customFormat="1" ht="21.75" customHeight="1"/>
    <row r="331" s="327" customFormat="1" ht="21.75" customHeight="1"/>
    <row r="332" s="327" customFormat="1" ht="21.75" customHeight="1"/>
    <row r="333" s="327" customFormat="1" ht="21.75" customHeight="1"/>
    <row r="334" s="327" customFormat="1" ht="21.75" customHeight="1"/>
    <row r="335" s="327" customFormat="1" ht="21.75" customHeight="1"/>
    <row r="336" s="327" customFormat="1" ht="21.75" customHeight="1"/>
    <row r="337" s="327" customFormat="1" ht="21.75" customHeight="1"/>
    <row r="338" s="327" customFormat="1" ht="21.75" customHeight="1"/>
    <row r="339" s="327" customFormat="1" ht="21.75" customHeight="1"/>
    <row r="340" s="327" customFormat="1" ht="21.75" customHeight="1"/>
    <row r="341" s="327" customFormat="1" ht="21.75" customHeight="1"/>
    <row r="342" s="327" customFormat="1" ht="21.75" customHeight="1"/>
    <row r="343" s="327" customFormat="1" ht="21.75" customHeight="1"/>
    <row r="344" s="327" customFormat="1" ht="21.75" customHeight="1"/>
    <row r="345" s="327" customFormat="1" ht="21.75" customHeight="1"/>
    <row r="346" s="327" customFormat="1" ht="21.75" customHeight="1"/>
    <row r="347" s="327" customFormat="1" ht="21.75" customHeight="1"/>
    <row r="348" s="327" customFormat="1" ht="21.75" customHeight="1"/>
    <row r="349" s="327" customFormat="1" ht="21.75" customHeight="1"/>
    <row r="350" s="327" customFormat="1" ht="21.75" customHeight="1"/>
    <row r="351" s="327" customFormat="1" ht="21.75" customHeight="1"/>
    <row r="352" s="327" customFormat="1" ht="21.75" customHeight="1"/>
    <row r="353" s="327" customFormat="1" ht="21.75" customHeight="1"/>
    <row r="354" s="327" customFormat="1" ht="21.75" customHeight="1"/>
    <row r="355" s="327" customFormat="1" ht="21.75" customHeight="1"/>
    <row r="356" s="327" customFormat="1" ht="21.75" customHeight="1"/>
    <row r="357" s="327" customFormat="1" ht="21.75" customHeight="1"/>
    <row r="358" s="327" customFormat="1" ht="21.75" customHeight="1"/>
    <row r="359" s="327" customFormat="1" ht="21.75" customHeight="1"/>
    <row r="360" s="327" customFormat="1" ht="21.75" customHeight="1"/>
    <row r="361" s="327" customFormat="1" ht="21.75" customHeight="1"/>
    <row r="362" s="327" customFormat="1" ht="21.75" customHeight="1"/>
    <row r="363" s="327" customFormat="1" ht="21.75" customHeight="1"/>
    <row r="364" s="327" customFormat="1" ht="21.75" customHeight="1"/>
    <row r="365" s="327" customFormat="1" ht="21.75" customHeight="1"/>
    <row r="366" s="327" customFormat="1" ht="21.75" customHeight="1"/>
    <row r="367" s="327" customFormat="1" ht="21.75" customHeight="1"/>
    <row r="368" s="327" customFormat="1" ht="21.75" customHeight="1"/>
    <row r="369" s="327" customFormat="1" ht="21.75" customHeight="1"/>
    <row r="370" s="327" customFormat="1" ht="21.75" customHeight="1"/>
    <row r="371" s="327" customFormat="1" ht="21.75" customHeight="1"/>
    <row r="372" s="327" customFormat="1" ht="21.75" customHeight="1"/>
    <row r="373" s="327" customFormat="1" ht="21.75" customHeight="1"/>
    <row r="374" s="327" customFormat="1" ht="21.75" customHeight="1"/>
    <row r="375" s="327" customFormat="1" ht="21.75" customHeight="1"/>
    <row r="376" s="327" customFormat="1" ht="21.75" customHeight="1"/>
    <row r="377" s="327" customFormat="1" ht="21.75" customHeight="1"/>
    <row r="378" s="327" customFormat="1" ht="21.75" customHeight="1"/>
    <row r="379" s="327" customFormat="1" ht="21.75" customHeight="1"/>
    <row r="380" s="327" customFormat="1" ht="21.75" customHeight="1"/>
    <row r="381" s="327" customFormat="1" ht="21.75" customHeight="1"/>
    <row r="382" s="327" customFormat="1" ht="21.75" customHeight="1"/>
    <row r="383" s="327" customFormat="1" ht="21.75" customHeight="1"/>
    <row r="384" s="327" customFormat="1" ht="21.75" customHeight="1"/>
    <row r="385" s="327" customFormat="1" ht="21.75" customHeight="1"/>
    <row r="386" s="327" customFormat="1" ht="21.75" customHeight="1"/>
    <row r="387" s="327" customFormat="1" ht="21.75" customHeight="1"/>
    <row r="388" s="327" customFormat="1" ht="21.75" customHeight="1"/>
    <row r="389" s="327" customFormat="1" ht="21.75" customHeight="1"/>
    <row r="390" s="327" customFormat="1" ht="21.75" customHeight="1"/>
    <row r="391" s="327" customFormat="1" ht="21.75" customHeight="1"/>
    <row r="392" s="327" customFormat="1" ht="21.75" customHeight="1"/>
    <row r="393" s="327" customFormat="1" ht="21.75" customHeight="1"/>
    <row r="394" s="327" customFormat="1" ht="21.75" customHeight="1"/>
    <row r="395" s="327" customFormat="1" ht="21.75" customHeight="1"/>
    <row r="396" s="327" customFormat="1" ht="21.75" customHeight="1"/>
    <row r="397" s="327" customFormat="1" ht="21.75" customHeight="1"/>
    <row r="398" s="327" customFormat="1" ht="21.75" customHeight="1"/>
    <row r="399" s="327" customFormat="1" ht="21.75" customHeight="1"/>
    <row r="400" s="327" customFormat="1" ht="21.75" customHeight="1"/>
    <row r="401" spans="10:26" s="327" customFormat="1" ht="21.75" customHeight="1"/>
    <row r="402" spans="10:26" s="327" customFormat="1" ht="21.75" customHeight="1"/>
    <row r="403" spans="10:26" s="327" customFormat="1" ht="21.75" customHeight="1"/>
    <row r="404" spans="10:26" s="327" customFormat="1" ht="21.75" customHeight="1"/>
    <row r="405" spans="10:26" s="327" customFormat="1" ht="21.75" customHeight="1"/>
    <row r="406" spans="10:26" s="327" customFormat="1" ht="21.75" customHeight="1"/>
    <row r="407" spans="10:26" s="327" customFormat="1" ht="21.75" customHeight="1"/>
    <row r="408" spans="10:26" s="327" customFormat="1" ht="21.75" customHeight="1"/>
    <row r="409" spans="10:26" s="2133" customFormat="1" ht="21.75" customHeight="1">
      <c r="J409" s="327"/>
      <c r="K409" s="327"/>
      <c r="L409" s="327"/>
      <c r="M409" s="327"/>
      <c r="N409" s="327"/>
      <c r="O409" s="327"/>
      <c r="P409" s="327"/>
      <c r="Q409" s="327"/>
      <c r="R409" s="327"/>
      <c r="S409" s="327"/>
      <c r="T409" s="327"/>
      <c r="U409" s="327"/>
      <c r="V409" s="327"/>
      <c r="W409" s="327"/>
      <c r="X409" s="327"/>
      <c r="Y409" s="327"/>
      <c r="Z409" s="327"/>
    </row>
    <row r="410" spans="10:26" s="2133" customFormat="1" ht="21.75" customHeight="1">
      <c r="J410" s="327"/>
      <c r="K410" s="327"/>
      <c r="L410" s="327"/>
      <c r="M410" s="327"/>
      <c r="N410" s="327"/>
      <c r="O410" s="327"/>
      <c r="P410" s="327"/>
      <c r="Q410" s="327"/>
      <c r="R410" s="327"/>
      <c r="S410" s="327"/>
      <c r="T410" s="327"/>
      <c r="U410" s="327"/>
      <c r="V410" s="327"/>
      <c r="W410" s="327"/>
      <c r="X410" s="327"/>
      <c r="Y410" s="327"/>
      <c r="Z410" s="327"/>
    </row>
    <row r="411" spans="10:26" s="2133" customFormat="1" ht="21.75" customHeight="1">
      <c r="J411" s="327"/>
      <c r="K411" s="327"/>
      <c r="L411" s="327"/>
      <c r="M411" s="327"/>
      <c r="N411" s="327"/>
      <c r="O411" s="327"/>
      <c r="P411" s="327"/>
      <c r="Q411" s="327"/>
      <c r="R411" s="327"/>
      <c r="S411" s="327"/>
      <c r="T411" s="327"/>
      <c r="U411" s="327"/>
      <c r="V411" s="327"/>
      <c r="W411" s="327"/>
      <c r="X411" s="327"/>
      <c r="Y411" s="327"/>
      <c r="Z411" s="327"/>
    </row>
    <row r="412" spans="10:26" s="2133" customFormat="1" ht="21.75" customHeight="1">
      <c r="J412" s="327"/>
      <c r="K412" s="327"/>
      <c r="L412" s="327"/>
      <c r="M412" s="327"/>
      <c r="N412" s="327"/>
      <c r="O412" s="327"/>
      <c r="P412" s="327"/>
      <c r="Q412" s="327"/>
      <c r="R412" s="327"/>
      <c r="S412" s="327"/>
      <c r="T412" s="327"/>
      <c r="U412" s="327"/>
      <c r="V412" s="327"/>
      <c r="W412" s="327"/>
      <c r="X412" s="327"/>
      <c r="Y412" s="327"/>
      <c r="Z412" s="327"/>
    </row>
    <row r="413" spans="10:26" s="2133" customFormat="1" ht="21.75" customHeight="1">
      <c r="J413" s="327"/>
      <c r="K413" s="327"/>
      <c r="L413" s="327"/>
      <c r="M413" s="327"/>
      <c r="N413" s="327"/>
      <c r="O413" s="327"/>
      <c r="P413" s="327"/>
      <c r="Q413" s="327"/>
      <c r="R413" s="327"/>
      <c r="S413" s="327"/>
      <c r="T413" s="327"/>
      <c r="U413" s="327"/>
      <c r="V413" s="327"/>
      <c r="W413" s="327"/>
      <c r="X413" s="327"/>
      <c r="Y413" s="327"/>
      <c r="Z413" s="327"/>
    </row>
    <row r="414" spans="10:26" s="2133" customFormat="1" ht="21.75" customHeight="1">
      <c r="J414" s="327"/>
      <c r="K414" s="327"/>
      <c r="L414" s="327"/>
      <c r="M414" s="327"/>
      <c r="N414" s="327"/>
      <c r="O414" s="327"/>
      <c r="P414" s="327"/>
      <c r="Q414" s="327"/>
      <c r="R414" s="327"/>
      <c r="S414" s="327"/>
      <c r="T414" s="327"/>
      <c r="U414" s="327"/>
      <c r="V414" s="327"/>
      <c r="W414" s="327"/>
      <c r="X414" s="327"/>
      <c r="Y414" s="327"/>
      <c r="Z414" s="327"/>
    </row>
    <row r="415" spans="10:26" s="2133" customFormat="1" ht="21.75" customHeight="1">
      <c r="J415" s="327"/>
      <c r="K415" s="327"/>
      <c r="L415" s="327"/>
      <c r="M415" s="327"/>
      <c r="N415" s="327"/>
      <c r="O415" s="327"/>
      <c r="P415" s="327"/>
      <c r="Q415" s="327"/>
      <c r="R415" s="327"/>
      <c r="S415" s="327"/>
      <c r="T415" s="327"/>
      <c r="U415" s="327"/>
      <c r="V415" s="327"/>
      <c r="W415" s="327"/>
      <c r="X415" s="327"/>
      <c r="Y415" s="327"/>
      <c r="Z415" s="327"/>
    </row>
    <row r="416" spans="10:26" s="2133" customFormat="1" ht="21.75" customHeight="1">
      <c r="J416" s="327"/>
      <c r="K416" s="327"/>
      <c r="L416" s="327"/>
      <c r="M416" s="327"/>
      <c r="N416" s="327"/>
      <c r="O416" s="327"/>
      <c r="P416" s="327"/>
      <c r="Q416" s="327"/>
      <c r="R416" s="327"/>
      <c r="S416" s="327"/>
      <c r="T416" s="327"/>
      <c r="U416" s="327"/>
      <c r="V416" s="327"/>
      <c r="W416" s="327"/>
      <c r="X416" s="327"/>
      <c r="Y416" s="327"/>
      <c r="Z416" s="327"/>
    </row>
    <row r="417" spans="10:26" s="2133" customFormat="1" ht="21.75" customHeight="1">
      <c r="J417" s="327"/>
      <c r="K417" s="327"/>
      <c r="L417" s="327"/>
      <c r="M417" s="327"/>
      <c r="N417" s="327"/>
      <c r="O417" s="327"/>
      <c r="P417" s="327"/>
      <c r="Q417" s="327"/>
      <c r="R417" s="327"/>
      <c r="S417" s="327"/>
      <c r="T417" s="327"/>
      <c r="U417" s="327"/>
      <c r="V417" s="327"/>
      <c r="W417" s="327"/>
      <c r="X417" s="327"/>
      <c r="Y417" s="327"/>
      <c r="Z417" s="327"/>
    </row>
    <row r="418" spans="10:26" s="2133" customFormat="1" ht="21.75" customHeight="1">
      <c r="J418" s="327"/>
      <c r="K418" s="327"/>
      <c r="L418" s="327"/>
      <c r="M418" s="327"/>
      <c r="N418" s="327"/>
      <c r="O418" s="327"/>
      <c r="P418" s="327"/>
      <c r="Q418" s="327"/>
      <c r="R418" s="327"/>
      <c r="S418" s="327"/>
      <c r="T418" s="327"/>
      <c r="U418" s="327"/>
      <c r="V418" s="327"/>
      <c r="W418" s="327"/>
      <c r="X418" s="327"/>
      <c r="Y418" s="327"/>
      <c r="Z418" s="327"/>
    </row>
    <row r="419" spans="10:26" s="2133" customFormat="1" ht="21.75" customHeight="1">
      <c r="J419" s="327"/>
      <c r="K419" s="327"/>
      <c r="L419" s="327"/>
      <c r="M419" s="327"/>
      <c r="N419" s="327"/>
      <c r="O419" s="327"/>
      <c r="P419" s="327"/>
      <c r="Q419" s="327"/>
      <c r="R419" s="327"/>
      <c r="S419" s="327"/>
      <c r="T419" s="327"/>
      <c r="U419" s="327"/>
      <c r="V419" s="327"/>
      <c r="W419" s="327"/>
      <c r="X419" s="327"/>
      <c r="Y419" s="327"/>
      <c r="Z419" s="327"/>
    </row>
    <row r="420" spans="10:26" s="2133" customFormat="1" ht="21.75" customHeight="1">
      <c r="J420" s="327"/>
      <c r="K420" s="327"/>
      <c r="L420" s="327"/>
      <c r="M420" s="327"/>
      <c r="N420" s="327"/>
      <c r="O420" s="327"/>
      <c r="P420" s="327"/>
      <c r="Q420" s="327"/>
      <c r="R420" s="327"/>
      <c r="S420" s="327"/>
      <c r="T420" s="327"/>
      <c r="U420" s="327"/>
      <c r="V420" s="327"/>
      <c r="W420" s="327"/>
      <c r="X420" s="327"/>
      <c r="Y420" s="327"/>
      <c r="Z420" s="327"/>
    </row>
    <row r="421" spans="10:26" s="2133" customFormat="1" ht="21.75" customHeight="1">
      <c r="J421" s="327"/>
      <c r="K421" s="327"/>
      <c r="L421" s="327"/>
      <c r="M421" s="327"/>
      <c r="N421" s="327"/>
      <c r="O421" s="327"/>
      <c r="P421" s="327"/>
      <c r="Q421" s="327"/>
      <c r="R421" s="327"/>
      <c r="S421" s="327"/>
      <c r="T421" s="327"/>
      <c r="U421" s="327"/>
      <c r="V421" s="327"/>
      <c r="W421" s="327"/>
      <c r="X421" s="327"/>
      <c r="Y421" s="327"/>
      <c r="Z421" s="327"/>
    </row>
    <row r="422" spans="10:26" s="2133" customFormat="1" ht="21.75" customHeight="1">
      <c r="J422" s="327"/>
      <c r="K422" s="327"/>
      <c r="L422" s="327"/>
      <c r="M422" s="327"/>
      <c r="N422" s="327"/>
      <c r="O422" s="327"/>
      <c r="P422" s="327"/>
      <c r="Q422" s="327"/>
      <c r="R422" s="327"/>
      <c r="S422" s="327"/>
      <c r="T422" s="327"/>
      <c r="U422" s="327"/>
      <c r="V422" s="327"/>
      <c r="W422" s="327"/>
      <c r="X422" s="327"/>
      <c r="Y422" s="327"/>
      <c r="Z422" s="327"/>
    </row>
    <row r="423" spans="10:26" s="2133" customFormat="1" ht="21.75" customHeight="1">
      <c r="J423" s="327"/>
      <c r="K423" s="327"/>
      <c r="L423" s="327"/>
      <c r="M423" s="327"/>
      <c r="N423" s="327"/>
      <c r="O423" s="327"/>
      <c r="P423" s="327"/>
      <c r="Q423" s="327"/>
      <c r="R423" s="327"/>
      <c r="S423" s="327"/>
      <c r="T423" s="327"/>
      <c r="U423" s="327"/>
      <c r="V423" s="327"/>
      <c r="W423" s="327"/>
      <c r="X423" s="327"/>
      <c r="Y423" s="327"/>
      <c r="Z423" s="327"/>
    </row>
    <row r="424" spans="10:26" s="2133" customFormat="1" ht="21.75" customHeight="1">
      <c r="J424" s="327"/>
      <c r="K424" s="327"/>
      <c r="L424" s="327"/>
      <c r="M424" s="327"/>
      <c r="N424" s="327"/>
      <c r="O424" s="327"/>
      <c r="P424" s="327"/>
      <c r="Q424" s="327"/>
      <c r="R424" s="327"/>
      <c r="S424" s="327"/>
      <c r="T424" s="327"/>
      <c r="U424" s="327"/>
      <c r="V424" s="327"/>
      <c r="W424" s="327"/>
      <c r="X424" s="327"/>
      <c r="Y424" s="327"/>
      <c r="Z424" s="327"/>
    </row>
    <row r="425" spans="10:26" s="2133" customFormat="1" ht="21.75" customHeight="1">
      <c r="J425" s="327"/>
      <c r="K425" s="327"/>
      <c r="L425" s="327"/>
      <c r="M425" s="327"/>
      <c r="N425" s="327"/>
      <c r="O425" s="327"/>
      <c r="P425" s="327"/>
      <c r="Q425" s="327"/>
      <c r="R425" s="327"/>
      <c r="S425" s="327"/>
      <c r="T425" s="327"/>
      <c r="U425" s="327"/>
      <c r="V425" s="327"/>
      <c r="W425" s="327"/>
      <c r="X425" s="327"/>
      <c r="Y425" s="327"/>
      <c r="Z425" s="327"/>
    </row>
    <row r="426" spans="10:26" s="2133" customFormat="1" ht="21.75" customHeight="1">
      <c r="J426" s="327"/>
      <c r="K426" s="327"/>
      <c r="L426" s="327"/>
      <c r="M426" s="327"/>
      <c r="N426" s="327"/>
      <c r="O426" s="327"/>
      <c r="P426" s="327"/>
      <c r="Q426" s="327"/>
      <c r="R426" s="327"/>
      <c r="S426" s="327"/>
      <c r="T426" s="327"/>
      <c r="U426" s="327"/>
      <c r="V426" s="327"/>
      <c r="W426" s="327"/>
      <c r="X426" s="327"/>
      <c r="Y426" s="327"/>
      <c r="Z426" s="327"/>
    </row>
    <row r="427" spans="10:26" s="2133" customFormat="1" ht="21.75" customHeight="1">
      <c r="J427" s="327"/>
      <c r="K427" s="327"/>
      <c r="L427" s="327"/>
      <c r="M427" s="327"/>
      <c r="N427" s="327"/>
      <c r="O427" s="327"/>
      <c r="P427" s="327"/>
      <c r="Q427" s="327"/>
      <c r="R427" s="327"/>
      <c r="S427" s="327"/>
      <c r="T427" s="327"/>
      <c r="U427" s="327"/>
      <c r="V427" s="327"/>
      <c r="W427" s="327"/>
      <c r="X427" s="327"/>
      <c r="Y427" s="327"/>
      <c r="Z427" s="327"/>
    </row>
    <row r="428" spans="10:26" s="2133" customFormat="1" ht="21.75" customHeight="1">
      <c r="J428" s="327"/>
      <c r="K428" s="327"/>
      <c r="L428" s="327"/>
      <c r="M428" s="327"/>
      <c r="N428" s="327"/>
      <c r="O428" s="327"/>
      <c r="P428" s="327"/>
      <c r="Q428" s="327"/>
      <c r="R428" s="327"/>
      <c r="S428" s="327"/>
      <c r="T428" s="327"/>
      <c r="U428" s="327"/>
      <c r="V428" s="327"/>
      <c r="W428" s="327"/>
      <c r="X428" s="327"/>
      <c r="Y428" s="327"/>
      <c r="Z428" s="327"/>
    </row>
    <row r="429" spans="10:26" s="2133" customFormat="1" ht="21.75" customHeight="1">
      <c r="J429" s="327"/>
      <c r="K429" s="327"/>
      <c r="L429" s="327"/>
      <c r="M429" s="327"/>
      <c r="N429" s="327"/>
      <c r="O429" s="327"/>
      <c r="P429" s="327"/>
      <c r="Q429" s="327"/>
      <c r="R429" s="327"/>
      <c r="S429" s="327"/>
      <c r="T429" s="327"/>
      <c r="U429" s="327"/>
      <c r="V429" s="327"/>
      <c r="W429" s="327"/>
      <c r="X429" s="327"/>
      <c r="Y429" s="327"/>
      <c r="Z429" s="327"/>
    </row>
    <row r="430" spans="10:26" s="2133" customFormat="1" ht="21.75" customHeight="1">
      <c r="J430" s="327"/>
      <c r="K430" s="327"/>
      <c r="L430" s="327"/>
      <c r="M430" s="327"/>
      <c r="N430" s="327"/>
      <c r="O430" s="327"/>
      <c r="P430" s="327"/>
      <c r="Q430" s="327"/>
      <c r="R430" s="327"/>
      <c r="S430" s="327"/>
      <c r="T430" s="327"/>
      <c r="U430" s="327"/>
      <c r="V430" s="327"/>
      <c r="W430" s="327"/>
      <c r="X430" s="327"/>
      <c r="Y430" s="327"/>
      <c r="Z430" s="327"/>
    </row>
    <row r="431" spans="10:26" s="2133" customFormat="1" ht="21.75" customHeight="1">
      <c r="J431" s="327"/>
      <c r="K431" s="327"/>
      <c r="L431" s="327"/>
      <c r="M431" s="327"/>
      <c r="N431" s="327"/>
      <c r="O431" s="327"/>
      <c r="P431" s="327"/>
      <c r="Q431" s="327"/>
      <c r="R431" s="327"/>
      <c r="S431" s="327"/>
      <c r="T431" s="327"/>
      <c r="U431" s="327"/>
      <c r="V431" s="327"/>
      <c r="W431" s="327"/>
      <c r="X431" s="327"/>
      <c r="Y431" s="327"/>
      <c r="Z431" s="327"/>
    </row>
    <row r="432" spans="10:26" s="2133" customFormat="1" ht="21.75" customHeight="1">
      <c r="J432" s="327"/>
      <c r="K432" s="327"/>
      <c r="L432" s="327"/>
      <c r="M432" s="327"/>
      <c r="N432" s="327"/>
      <c r="O432" s="327"/>
      <c r="P432" s="327"/>
      <c r="Q432" s="327"/>
      <c r="R432" s="327"/>
      <c r="S432" s="327"/>
      <c r="T432" s="327"/>
      <c r="U432" s="327"/>
      <c r="V432" s="327"/>
      <c r="W432" s="327"/>
      <c r="X432" s="327"/>
      <c r="Y432" s="327"/>
      <c r="Z432" s="327"/>
    </row>
    <row r="433" spans="10:26" s="2133" customFormat="1" ht="21.75" customHeight="1">
      <c r="J433" s="327"/>
      <c r="K433" s="327"/>
      <c r="L433" s="327"/>
      <c r="M433" s="327"/>
      <c r="N433" s="327"/>
      <c r="O433" s="327"/>
      <c r="P433" s="327"/>
      <c r="Q433" s="327"/>
      <c r="R433" s="327"/>
      <c r="S433" s="327"/>
      <c r="T433" s="327"/>
      <c r="U433" s="327"/>
      <c r="V433" s="327"/>
      <c r="W433" s="327"/>
      <c r="X433" s="327"/>
      <c r="Y433" s="327"/>
      <c r="Z433" s="327"/>
    </row>
    <row r="434" spans="10:26" s="2133" customFormat="1" ht="21.75" customHeight="1">
      <c r="J434" s="327"/>
      <c r="K434" s="327"/>
      <c r="L434" s="327"/>
      <c r="M434" s="327"/>
      <c r="N434" s="327"/>
      <c r="O434" s="327"/>
      <c r="P434" s="327"/>
      <c r="Q434" s="327"/>
      <c r="R434" s="327"/>
      <c r="S434" s="327"/>
      <c r="T434" s="327"/>
      <c r="U434" s="327"/>
      <c r="V434" s="327"/>
      <c r="W434" s="327"/>
      <c r="X434" s="327"/>
      <c r="Y434" s="327"/>
      <c r="Z434" s="327"/>
    </row>
    <row r="435" spans="10:26" s="2133" customFormat="1" ht="21.75" customHeight="1">
      <c r="J435" s="327"/>
      <c r="K435" s="327"/>
      <c r="L435" s="327"/>
      <c r="M435" s="327"/>
      <c r="N435" s="327"/>
      <c r="O435" s="327"/>
      <c r="P435" s="327"/>
      <c r="Q435" s="327"/>
      <c r="R435" s="327"/>
      <c r="S435" s="327"/>
      <c r="T435" s="327"/>
      <c r="U435" s="327"/>
      <c r="V435" s="327"/>
      <c r="W435" s="327"/>
      <c r="X435" s="327"/>
      <c r="Y435" s="327"/>
      <c r="Z435" s="327"/>
    </row>
    <row r="436" spans="10:26" s="2133" customFormat="1" ht="21.75" customHeight="1">
      <c r="J436" s="327"/>
      <c r="K436" s="327"/>
      <c r="L436" s="327"/>
      <c r="M436" s="327"/>
      <c r="N436" s="327"/>
      <c r="O436" s="327"/>
      <c r="P436" s="327"/>
      <c r="Q436" s="327"/>
      <c r="R436" s="327"/>
      <c r="S436" s="327"/>
      <c r="T436" s="327"/>
      <c r="U436" s="327"/>
      <c r="V436" s="327"/>
      <c r="W436" s="327"/>
      <c r="X436" s="327"/>
      <c r="Y436" s="327"/>
      <c r="Z436" s="327"/>
    </row>
    <row r="437" spans="10:26" s="2133" customFormat="1" ht="21.75" customHeight="1">
      <c r="J437" s="327"/>
      <c r="K437" s="327"/>
      <c r="L437" s="327"/>
      <c r="M437" s="327"/>
      <c r="N437" s="327"/>
      <c r="O437" s="327"/>
      <c r="P437" s="327"/>
      <c r="Q437" s="327"/>
      <c r="R437" s="327"/>
      <c r="S437" s="327"/>
      <c r="T437" s="327"/>
      <c r="U437" s="327"/>
      <c r="V437" s="327"/>
      <c r="W437" s="327"/>
      <c r="X437" s="327"/>
      <c r="Y437" s="327"/>
      <c r="Z437" s="327"/>
    </row>
    <row r="438" spans="10:26" s="2133" customFormat="1" ht="21.75" customHeight="1">
      <c r="J438" s="327"/>
      <c r="K438" s="327"/>
      <c r="L438" s="327"/>
      <c r="M438" s="327"/>
      <c r="N438" s="327"/>
      <c r="O438" s="327"/>
      <c r="P438" s="327"/>
      <c r="Q438" s="327"/>
      <c r="R438" s="327"/>
      <c r="S438" s="327"/>
      <c r="T438" s="327"/>
      <c r="U438" s="327"/>
      <c r="V438" s="327"/>
      <c r="W438" s="327"/>
      <c r="X438" s="327"/>
      <c r="Y438" s="327"/>
      <c r="Z438" s="327"/>
    </row>
    <row r="439" spans="10:26" s="2133" customFormat="1" ht="21.75" customHeight="1">
      <c r="J439" s="327"/>
      <c r="K439" s="327"/>
      <c r="L439" s="327"/>
      <c r="M439" s="327"/>
      <c r="N439" s="327"/>
      <c r="O439" s="327"/>
      <c r="P439" s="327"/>
      <c r="Q439" s="327"/>
      <c r="R439" s="327"/>
      <c r="S439" s="327"/>
      <c r="T439" s="327"/>
      <c r="U439" s="327"/>
      <c r="V439" s="327"/>
      <c r="W439" s="327"/>
      <c r="X439" s="327"/>
      <c r="Y439" s="327"/>
      <c r="Z439" s="327"/>
    </row>
    <row r="440" spans="10:26" s="2133" customFormat="1" ht="21.75" customHeight="1">
      <c r="J440" s="327"/>
      <c r="K440" s="327"/>
      <c r="L440" s="327"/>
      <c r="M440" s="327"/>
      <c r="N440" s="327"/>
      <c r="O440" s="327"/>
      <c r="P440" s="327"/>
      <c r="Q440" s="327"/>
      <c r="R440" s="327"/>
      <c r="S440" s="327"/>
      <c r="T440" s="327"/>
      <c r="U440" s="327"/>
      <c r="V440" s="327"/>
      <c r="W440" s="327"/>
      <c r="X440" s="327"/>
      <c r="Y440" s="327"/>
      <c r="Z440" s="327"/>
    </row>
    <row r="441" spans="10:26" s="2133" customFormat="1" ht="21.75" customHeight="1">
      <c r="J441" s="327"/>
      <c r="K441" s="327"/>
      <c r="L441" s="327"/>
      <c r="M441" s="327"/>
      <c r="N441" s="327"/>
      <c r="O441" s="327"/>
      <c r="P441" s="327"/>
      <c r="Q441" s="327"/>
      <c r="R441" s="327"/>
      <c r="S441" s="327"/>
      <c r="T441" s="327"/>
      <c r="U441" s="327"/>
      <c r="V441" s="327"/>
      <c r="W441" s="327"/>
      <c r="X441" s="327"/>
      <c r="Y441" s="327"/>
      <c r="Z441" s="327"/>
    </row>
    <row r="442" spans="10:26" s="2133" customFormat="1" ht="21.75" customHeight="1">
      <c r="J442" s="327"/>
      <c r="K442" s="327"/>
      <c r="L442" s="327"/>
      <c r="M442" s="327"/>
      <c r="N442" s="327"/>
      <c r="O442" s="327"/>
      <c r="P442" s="327"/>
      <c r="Q442" s="327"/>
      <c r="R442" s="327"/>
      <c r="S442" s="327"/>
      <c r="T442" s="327"/>
      <c r="U442" s="327"/>
      <c r="V442" s="327"/>
      <c r="W442" s="327"/>
      <c r="X442" s="327"/>
      <c r="Y442" s="327"/>
      <c r="Z442" s="327"/>
    </row>
    <row r="443" spans="10:26" s="2133" customFormat="1" ht="21.75" customHeight="1">
      <c r="J443" s="327"/>
      <c r="K443" s="327"/>
      <c r="L443" s="327"/>
      <c r="M443" s="327"/>
      <c r="N443" s="327"/>
      <c r="O443" s="327"/>
      <c r="P443" s="327"/>
      <c r="Q443" s="327"/>
      <c r="R443" s="327"/>
      <c r="S443" s="327"/>
      <c r="T443" s="327"/>
      <c r="U443" s="327"/>
      <c r="V443" s="327"/>
      <c r="W443" s="327"/>
      <c r="X443" s="327"/>
      <c r="Y443" s="327"/>
      <c r="Z443" s="327"/>
    </row>
    <row r="444" spans="10:26" s="2133" customFormat="1" ht="21.75" customHeight="1">
      <c r="J444" s="327"/>
      <c r="K444" s="327"/>
      <c r="L444" s="327"/>
      <c r="M444" s="327"/>
      <c r="N444" s="327"/>
      <c r="O444" s="327"/>
      <c r="P444" s="327"/>
      <c r="Q444" s="327"/>
      <c r="R444" s="327"/>
      <c r="S444" s="327"/>
      <c r="T444" s="327"/>
      <c r="U444" s="327"/>
      <c r="V444" s="327"/>
      <c r="W444" s="327"/>
      <c r="X444" s="327"/>
      <c r="Y444" s="327"/>
      <c r="Z444" s="327"/>
    </row>
    <row r="445" spans="10:26" s="2133" customFormat="1" ht="21.75" customHeight="1">
      <c r="J445" s="327"/>
      <c r="K445" s="327"/>
      <c r="L445" s="327"/>
      <c r="M445" s="327"/>
      <c r="N445" s="327"/>
      <c r="O445" s="327"/>
      <c r="P445" s="327"/>
      <c r="Q445" s="327"/>
      <c r="R445" s="327"/>
      <c r="S445" s="327"/>
      <c r="T445" s="327"/>
      <c r="U445" s="327"/>
      <c r="V445" s="327"/>
      <c r="W445" s="327"/>
      <c r="X445" s="327"/>
      <c r="Y445" s="327"/>
      <c r="Z445" s="327"/>
    </row>
    <row r="446" spans="10:26" s="2133" customFormat="1" ht="21.75" customHeight="1">
      <c r="J446" s="327"/>
      <c r="K446" s="327"/>
      <c r="L446" s="327"/>
      <c r="M446" s="327"/>
      <c r="N446" s="327"/>
      <c r="O446" s="327"/>
      <c r="P446" s="327"/>
      <c r="Q446" s="327"/>
      <c r="R446" s="327"/>
      <c r="S446" s="327"/>
      <c r="T446" s="327"/>
      <c r="U446" s="327"/>
      <c r="V446" s="327"/>
      <c r="W446" s="327"/>
      <c r="X446" s="327"/>
      <c r="Y446" s="327"/>
      <c r="Z446" s="327"/>
    </row>
    <row r="447" spans="10:26" s="2133" customFormat="1" ht="21.75" customHeight="1">
      <c r="J447" s="327"/>
      <c r="K447" s="327"/>
      <c r="L447" s="327"/>
      <c r="M447" s="327"/>
      <c r="N447" s="327"/>
      <c r="O447" s="327"/>
      <c r="P447" s="327"/>
      <c r="Q447" s="327"/>
      <c r="R447" s="327"/>
      <c r="S447" s="327"/>
      <c r="T447" s="327"/>
      <c r="U447" s="327"/>
      <c r="V447" s="327"/>
      <c r="W447" s="327"/>
      <c r="X447" s="327"/>
      <c r="Y447" s="327"/>
      <c r="Z447" s="327"/>
    </row>
    <row r="448" spans="10:26" s="2133" customFormat="1" ht="21.75" customHeight="1">
      <c r="J448" s="327"/>
      <c r="K448" s="327"/>
      <c r="L448" s="327"/>
      <c r="M448" s="327"/>
      <c r="N448" s="327"/>
      <c r="O448" s="327"/>
      <c r="P448" s="327"/>
      <c r="Q448" s="327"/>
      <c r="R448" s="327"/>
      <c r="S448" s="327"/>
      <c r="T448" s="327"/>
      <c r="U448" s="327"/>
      <c r="V448" s="327"/>
      <c r="W448" s="327"/>
      <c r="X448" s="327"/>
      <c r="Y448" s="327"/>
      <c r="Z448" s="327"/>
    </row>
    <row r="449" spans="10:26" s="2133" customFormat="1" ht="21.75" customHeight="1">
      <c r="J449" s="327"/>
      <c r="K449" s="327"/>
      <c r="L449" s="327"/>
      <c r="M449" s="327"/>
      <c r="N449" s="327"/>
      <c r="O449" s="327"/>
      <c r="P449" s="327"/>
      <c r="Q449" s="327"/>
      <c r="R449" s="327"/>
      <c r="S449" s="327"/>
      <c r="T449" s="327"/>
      <c r="U449" s="327"/>
      <c r="V449" s="327"/>
      <c r="W449" s="327"/>
      <c r="X449" s="327"/>
      <c r="Y449" s="327"/>
      <c r="Z449" s="327"/>
    </row>
    <row r="450" spans="10:26" s="2133" customFormat="1" ht="21.75" customHeight="1">
      <c r="J450" s="327"/>
      <c r="K450" s="327"/>
      <c r="L450" s="327"/>
      <c r="M450" s="327"/>
      <c r="N450" s="327"/>
      <c r="O450" s="327"/>
      <c r="P450" s="327"/>
      <c r="Q450" s="327"/>
      <c r="R450" s="327"/>
      <c r="S450" s="327"/>
      <c r="T450" s="327"/>
      <c r="U450" s="327"/>
      <c r="V450" s="327"/>
      <c r="W450" s="327"/>
      <c r="X450" s="327"/>
      <c r="Y450" s="327"/>
      <c r="Z450" s="327"/>
    </row>
    <row r="451" spans="10:26" s="2133" customFormat="1" ht="21.75" customHeight="1">
      <c r="J451" s="327"/>
      <c r="K451" s="327"/>
      <c r="L451" s="327"/>
      <c r="M451" s="327"/>
      <c r="N451" s="327"/>
      <c r="O451" s="327"/>
      <c r="P451" s="327"/>
      <c r="Q451" s="327"/>
      <c r="R451" s="327"/>
      <c r="S451" s="327"/>
      <c r="T451" s="327"/>
      <c r="U451" s="327"/>
      <c r="V451" s="327"/>
      <c r="W451" s="327"/>
      <c r="X451" s="327"/>
      <c r="Y451" s="327"/>
      <c r="Z451" s="327"/>
    </row>
    <row r="452" spans="10:26" s="2133" customFormat="1" ht="21.75" customHeight="1">
      <c r="J452" s="327"/>
      <c r="K452" s="327"/>
      <c r="L452" s="327"/>
      <c r="M452" s="327"/>
      <c r="N452" s="327"/>
      <c r="O452" s="327"/>
      <c r="P452" s="327"/>
      <c r="Q452" s="327"/>
      <c r="R452" s="327"/>
      <c r="S452" s="327"/>
      <c r="T452" s="327"/>
      <c r="U452" s="327"/>
      <c r="V452" s="327"/>
      <c r="W452" s="327"/>
      <c r="X452" s="327"/>
      <c r="Y452" s="327"/>
      <c r="Z452" s="327"/>
    </row>
    <row r="453" spans="10:26" s="2133" customFormat="1" ht="21.75" customHeight="1">
      <c r="J453" s="327"/>
      <c r="K453" s="327"/>
      <c r="L453" s="327"/>
      <c r="M453" s="327"/>
      <c r="N453" s="327"/>
      <c r="O453" s="327"/>
      <c r="P453" s="327"/>
      <c r="Q453" s="327"/>
      <c r="R453" s="327"/>
      <c r="S453" s="327"/>
      <c r="T453" s="327"/>
      <c r="U453" s="327"/>
      <c r="V453" s="327"/>
      <c r="W453" s="327"/>
      <c r="X453" s="327"/>
      <c r="Y453" s="327"/>
      <c r="Z453" s="327"/>
    </row>
    <row r="454" spans="10:26" s="2133" customFormat="1" ht="21.75" customHeight="1">
      <c r="J454" s="327"/>
      <c r="K454" s="327"/>
      <c r="L454" s="327"/>
      <c r="M454" s="327"/>
      <c r="N454" s="327"/>
      <c r="O454" s="327"/>
      <c r="P454" s="327"/>
      <c r="Q454" s="327"/>
      <c r="R454" s="327"/>
      <c r="S454" s="327"/>
      <c r="T454" s="327"/>
      <c r="U454" s="327"/>
      <c r="V454" s="327"/>
      <c r="W454" s="327"/>
      <c r="X454" s="327"/>
      <c r="Y454" s="327"/>
      <c r="Z454" s="327"/>
    </row>
    <row r="455" spans="10:26" s="2133" customFormat="1" ht="21.75" customHeight="1">
      <c r="J455" s="327"/>
      <c r="K455" s="327"/>
      <c r="L455" s="327"/>
      <c r="M455" s="327"/>
      <c r="N455" s="327"/>
      <c r="O455" s="327"/>
      <c r="P455" s="327"/>
      <c r="Q455" s="327"/>
      <c r="R455" s="327"/>
      <c r="S455" s="327"/>
      <c r="T455" s="327"/>
      <c r="U455" s="327"/>
      <c r="V455" s="327"/>
      <c r="W455" s="327"/>
      <c r="X455" s="327"/>
      <c r="Y455" s="327"/>
      <c r="Z455" s="327"/>
    </row>
    <row r="456" spans="10:26" s="2133" customFormat="1" ht="21.75" customHeight="1">
      <c r="J456" s="327"/>
      <c r="K456" s="327"/>
      <c r="L456" s="327"/>
      <c r="M456" s="327"/>
      <c r="N456" s="327"/>
      <c r="O456" s="327"/>
      <c r="P456" s="327"/>
      <c r="Q456" s="327"/>
      <c r="R456" s="327"/>
      <c r="S456" s="327"/>
      <c r="T456" s="327"/>
      <c r="U456" s="327"/>
      <c r="V456" s="327"/>
      <c r="W456" s="327"/>
      <c r="X456" s="327"/>
      <c r="Y456" s="327"/>
      <c r="Z456" s="327"/>
    </row>
    <row r="457" spans="10:26" s="2133" customFormat="1" ht="21.75" customHeight="1">
      <c r="J457" s="327"/>
      <c r="K457" s="327"/>
      <c r="L457" s="327"/>
      <c r="M457" s="327"/>
      <c r="N457" s="327"/>
      <c r="O457" s="327"/>
      <c r="P457" s="327"/>
      <c r="Q457" s="327"/>
      <c r="R457" s="327"/>
      <c r="S457" s="327"/>
      <c r="T457" s="327"/>
      <c r="U457" s="327"/>
      <c r="V457" s="327"/>
      <c r="W457" s="327"/>
      <c r="X457" s="327"/>
      <c r="Y457" s="327"/>
      <c r="Z457" s="327"/>
    </row>
    <row r="458" spans="10:26" s="2133" customFormat="1" ht="21.75" customHeight="1">
      <c r="J458" s="327"/>
      <c r="K458" s="327"/>
      <c r="L458" s="327"/>
      <c r="M458" s="327"/>
      <c r="N458" s="327"/>
      <c r="O458" s="327"/>
      <c r="P458" s="327"/>
      <c r="Q458" s="327"/>
      <c r="R458" s="327"/>
      <c r="S458" s="327"/>
      <c r="T458" s="327"/>
      <c r="U458" s="327"/>
      <c r="V458" s="327"/>
      <c r="W458" s="327"/>
      <c r="X458" s="327"/>
      <c r="Y458" s="327"/>
      <c r="Z458" s="327"/>
    </row>
    <row r="459" spans="10:26" s="2133" customFormat="1" ht="21.75" customHeight="1">
      <c r="J459" s="327"/>
      <c r="K459" s="327"/>
      <c r="L459" s="327"/>
      <c r="M459" s="327"/>
      <c r="N459" s="327"/>
      <c r="O459" s="327"/>
      <c r="P459" s="327"/>
      <c r="Q459" s="327"/>
      <c r="R459" s="327"/>
      <c r="S459" s="327"/>
      <c r="T459" s="327"/>
      <c r="U459" s="327"/>
      <c r="V459" s="327"/>
      <c r="W459" s="327"/>
      <c r="X459" s="327"/>
      <c r="Y459" s="327"/>
      <c r="Z459" s="327"/>
    </row>
    <row r="460" spans="10:26" s="2133" customFormat="1" ht="21.75" customHeight="1">
      <c r="J460" s="327"/>
      <c r="K460" s="327"/>
      <c r="L460" s="327"/>
      <c r="M460" s="327"/>
      <c r="N460" s="327"/>
      <c r="O460" s="327"/>
      <c r="P460" s="327"/>
      <c r="Q460" s="327"/>
      <c r="R460" s="327"/>
      <c r="S460" s="327"/>
      <c r="T460" s="327"/>
      <c r="U460" s="327"/>
      <c r="V460" s="327"/>
      <c r="W460" s="327"/>
      <c r="X460" s="327"/>
      <c r="Y460" s="327"/>
      <c r="Z460" s="327"/>
    </row>
    <row r="461" spans="10:26" s="2133" customFormat="1" ht="21.75" customHeight="1">
      <c r="J461" s="327"/>
      <c r="K461" s="327"/>
      <c r="L461" s="327"/>
      <c r="M461" s="327"/>
      <c r="N461" s="327"/>
      <c r="O461" s="327"/>
      <c r="P461" s="327"/>
      <c r="Q461" s="327"/>
      <c r="R461" s="327"/>
      <c r="S461" s="327"/>
      <c r="T461" s="327"/>
      <c r="U461" s="327"/>
      <c r="V461" s="327"/>
      <c r="W461" s="327"/>
      <c r="X461" s="327"/>
      <c r="Y461" s="327"/>
      <c r="Z461" s="327"/>
    </row>
    <row r="462" spans="10:26" s="2133" customFormat="1" ht="21.75" customHeight="1">
      <c r="J462" s="327"/>
      <c r="K462" s="327"/>
      <c r="L462" s="327"/>
      <c r="M462" s="327"/>
      <c r="N462" s="327"/>
      <c r="O462" s="327"/>
      <c r="P462" s="327"/>
      <c r="Q462" s="327"/>
      <c r="R462" s="327"/>
      <c r="S462" s="327"/>
      <c r="T462" s="327"/>
      <c r="U462" s="327"/>
      <c r="V462" s="327"/>
      <c r="W462" s="327"/>
      <c r="X462" s="327"/>
      <c r="Y462" s="327"/>
      <c r="Z462" s="327"/>
    </row>
    <row r="463" spans="10:26" s="2133" customFormat="1" ht="21.75" customHeight="1">
      <c r="J463" s="327"/>
      <c r="K463" s="327"/>
      <c r="L463" s="327"/>
      <c r="M463" s="327"/>
      <c r="N463" s="327"/>
      <c r="O463" s="327"/>
      <c r="P463" s="327"/>
      <c r="Q463" s="327"/>
      <c r="R463" s="327"/>
      <c r="S463" s="327"/>
      <c r="T463" s="327"/>
      <c r="U463" s="327"/>
      <c r="V463" s="327"/>
      <c r="W463" s="327"/>
      <c r="X463" s="327"/>
      <c r="Y463" s="327"/>
      <c r="Z463" s="327"/>
    </row>
    <row r="464" spans="10:26" s="2133" customFormat="1" ht="21.75" customHeight="1">
      <c r="J464" s="327"/>
      <c r="K464" s="327"/>
      <c r="L464" s="327"/>
      <c r="M464" s="327"/>
      <c r="N464" s="327"/>
      <c r="O464" s="327"/>
      <c r="P464" s="327"/>
      <c r="Q464" s="327"/>
      <c r="R464" s="327"/>
      <c r="S464" s="327"/>
      <c r="T464" s="327"/>
      <c r="U464" s="327"/>
      <c r="V464" s="327"/>
      <c r="W464" s="327"/>
      <c r="X464" s="327"/>
      <c r="Y464" s="327"/>
      <c r="Z464" s="327"/>
    </row>
    <row r="465" spans="10:26" s="2133" customFormat="1" ht="21.75" customHeight="1">
      <c r="J465" s="327"/>
      <c r="K465" s="327"/>
      <c r="L465" s="327"/>
      <c r="M465" s="327"/>
      <c r="N465" s="327"/>
      <c r="O465" s="327"/>
      <c r="P465" s="327"/>
      <c r="Q465" s="327"/>
      <c r="R465" s="327"/>
      <c r="S465" s="327"/>
      <c r="T465" s="327"/>
      <c r="U465" s="327"/>
      <c r="V465" s="327"/>
      <c r="W465" s="327"/>
      <c r="X465" s="327"/>
      <c r="Y465" s="327"/>
      <c r="Z465" s="327"/>
    </row>
    <row r="466" spans="10:26" s="2133" customFormat="1" ht="21.75" customHeight="1">
      <c r="J466" s="327"/>
      <c r="K466" s="327"/>
      <c r="L466" s="327"/>
      <c r="M466" s="327"/>
      <c r="N466" s="327"/>
      <c r="O466" s="327"/>
      <c r="P466" s="327"/>
      <c r="Q466" s="327"/>
      <c r="R466" s="327"/>
      <c r="S466" s="327"/>
      <c r="T466" s="327"/>
      <c r="U466" s="327"/>
      <c r="V466" s="327"/>
      <c r="W466" s="327"/>
      <c r="X466" s="327"/>
      <c r="Y466" s="327"/>
      <c r="Z466" s="327"/>
    </row>
    <row r="467" spans="10:26" s="2133" customFormat="1" ht="21.75" customHeight="1">
      <c r="J467" s="327"/>
      <c r="K467" s="327"/>
      <c r="L467" s="327"/>
      <c r="M467" s="327"/>
      <c r="N467" s="327"/>
      <c r="O467" s="327"/>
      <c r="P467" s="327"/>
      <c r="Q467" s="327"/>
      <c r="R467" s="327"/>
      <c r="S467" s="327"/>
      <c r="T467" s="327"/>
      <c r="U467" s="327"/>
      <c r="V467" s="327"/>
      <c r="W467" s="327"/>
      <c r="X467" s="327"/>
      <c r="Y467" s="327"/>
      <c r="Z467" s="327"/>
    </row>
    <row r="468" spans="10:26" s="2133" customFormat="1" ht="21.75" customHeight="1">
      <c r="J468" s="327"/>
      <c r="K468" s="327"/>
      <c r="L468" s="327"/>
      <c r="M468" s="327"/>
      <c r="N468" s="327"/>
      <c r="O468" s="327"/>
      <c r="P468" s="327"/>
      <c r="Q468" s="327"/>
      <c r="R468" s="327"/>
      <c r="S468" s="327"/>
      <c r="T468" s="327"/>
      <c r="U468" s="327"/>
      <c r="V468" s="327"/>
      <c r="W468" s="327"/>
      <c r="X468" s="327"/>
      <c r="Y468" s="327"/>
      <c r="Z468" s="327"/>
    </row>
    <row r="469" spans="10:26" s="2133" customFormat="1" ht="21.75" customHeight="1">
      <c r="J469" s="327"/>
      <c r="K469" s="327"/>
      <c r="L469" s="327"/>
      <c r="M469" s="327"/>
      <c r="N469" s="327"/>
      <c r="O469" s="327"/>
      <c r="P469" s="327"/>
      <c r="Q469" s="327"/>
      <c r="R469" s="327"/>
      <c r="S469" s="327"/>
      <c r="T469" s="327"/>
      <c r="U469" s="327"/>
      <c r="V469" s="327"/>
      <c r="W469" s="327"/>
      <c r="X469" s="327"/>
      <c r="Y469" s="327"/>
      <c r="Z469" s="327"/>
    </row>
    <row r="470" spans="10:26" s="2133" customFormat="1" ht="21.75" customHeight="1">
      <c r="J470" s="327"/>
      <c r="K470" s="327"/>
      <c r="L470" s="327"/>
      <c r="M470" s="327"/>
      <c r="N470" s="327"/>
      <c r="O470" s="327"/>
      <c r="P470" s="327"/>
      <c r="Q470" s="327"/>
      <c r="R470" s="327"/>
      <c r="S470" s="327"/>
      <c r="T470" s="327"/>
      <c r="U470" s="327"/>
      <c r="V470" s="327"/>
      <c r="W470" s="327"/>
      <c r="X470" s="327"/>
      <c r="Y470" s="327"/>
      <c r="Z470" s="327"/>
    </row>
    <row r="471" spans="10:26" s="2133" customFormat="1" ht="21.75" customHeight="1">
      <c r="J471" s="327"/>
      <c r="K471" s="327"/>
      <c r="L471" s="327"/>
      <c r="M471" s="327"/>
      <c r="N471" s="327"/>
      <c r="O471" s="327"/>
      <c r="P471" s="327"/>
      <c r="Q471" s="327"/>
      <c r="R471" s="327"/>
      <c r="S471" s="327"/>
      <c r="T471" s="327"/>
      <c r="U471" s="327"/>
      <c r="V471" s="327"/>
      <c r="W471" s="327"/>
      <c r="X471" s="327"/>
      <c r="Y471" s="327"/>
      <c r="Z471" s="327"/>
    </row>
    <row r="472" spans="10:26" s="2133" customFormat="1" ht="21.75" customHeight="1">
      <c r="J472" s="327"/>
      <c r="K472" s="327"/>
      <c r="L472" s="327"/>
      <c r="M472" s="327"/>
      <c r="N472" s="327"/>
      <c r="O472" s="327"/>
      <c r="P472" s="327"/>
      <c r="Q472" s="327"/>
      <c r="R472" s="327"/>
      <c r="S472" s="327"/>
      <c r="T472" s="327"/>
      <c r="U472" s="327"/>
      <c r="V472" s="327"/>
      <c r="W472" s="327"/>
      <c r="X472" s="327"/>
      <c r="Y472" s="327"/>
      <c r="Z472" s="327"/>
    </row>
    <row r="473" spans="10:26" s="2133" customFormat="1" ht="21.75" customHeight="1">
      <c r="J473" s="327"/>
      <c r="K473" s="327"/>
      <c r="L473" s="327"/>
      <c r="M473" s="327"/>
      <c r="N473" s="327"/>
      <c r="O473" s="327"/>
      <c r="P473" s="327"/>
      <c r="Q473" s="327"/>
      <c r="R473" s="327"/>
      <c r="S473" s="327"/>
      <c r="T473" s="327"/>
      <c r="U473" s="327"/>
      <c r="V473" s="327"/>
      <c r="W473" s="327"/>
      <c r="X473" s="327"/>
      <c r="Y473" s="327"/>
      <c r="Z473" s="327"/>
    </row>
    <row r="474" spans="10:26" s="2133" customFormat="1" ht="21.75" customHeight="1">
      <c r="J474" s="327"/>
      <c r="K474" s="327"/>
      <c r="L474" s="327"/>
      <c r="M474" s="327"/>
      <c r="N474" s="327"/>
      <c r="O474" s="327"/>
      <c r="P474" s="327"/>
      <c r="Q474" s="327"/>
      <c r="R474" s="327"/>
      <c r="S474" s="327"/>
      <c r="T474" s="327"/>
      <c r="U474" s="327"/>
      <c r="V474" s="327"/>
      <c r="W474" s="327"/>
      <c r="X474" s="327"/>
      <c r="Y474" s="327"/>
      <c r="Z474" s="327"/>
    </row>
    <row r="475" spans="10:26" s="2133" customFormat="1" ht="21.75" customHeight="1">
      <c r="J475" s="327"/>
      <c r="K475" s="327"/>
      <c r="L475" s="327"/>
      <c r="M475" s="327"/>
      <c r="N475" s="327"/>
      <c r="O475" s="327"/>
      <c r="P475" s="327"/>
      <c r="Q475" s="327"/>
      <c r="R475" s="327"/>
      <c r="S475" s="327"/>
      <c r="T475" s="327"/>
      <c r="U475" s="327"/>
      <c r="V475" s="327"/>
      <c r="W475" s="327"/>
      <c r="X475" s="327"/>
      <c r="Y475" s="327"/>
      <c r="Z475" s="327"/>
    </row>
    <row r="476" spans="10:26" s="2133" customFormat="1" ht="21.75" customHeight="1">
      <c r="J476" s="327"/>
      <c r="K476" s="327"/>
      <c r="L476" s="327"/>
      <c r="M476" s="327"/>
      <c r="N476" s="327"/>
      <c r="O476" s="327"/>
      <c r="P476" s="327"/>
      <c r="Q476" s="327"/>
      <c r="R476" s="327"/>
      <c r="S476" s="327"/>
      <c r="T476" s="327"/>
      <c r="U476" s="327"/>
      <c r="V476" s="327"/>
      <c r="W476" s="327"/>
      <c r="X476" s="327"/>
      <c r="Y476" s="327"/>
      <c r="Z476" s="327"/>
    </row>
    <row r="477" spans="10:26" s="2133" customFormat="1" ht="21.75" customHeight="1">
      <c r="J477" s="327"/>
      <c r="K477" s="327"/>
      <c r="L477" s="327"/>
      <c r="M477" s="327"/>
      <c r="N477" s="327"/>
      <c r="O477" s="327"/>
      <c r="P477" s="327"/>
      <c r="Q477" s="327"/>
      <c r="R477" s="327"/>
      <c r="S477" s="327"/>
      <c r="T477" s="327"/>
      <c r="U477" s="327"/>
      <c r="V477" s="327"/>
      <c r="W477" s="327"/>
      <c r="X477" s="327"/>
      <c r="Y477" s="327"/>
      <c r="Z477" s="327"/>
    </row>
    <row r="478" spans="10:26" s="2133" customFormat="1" ht="21.75" customHeight="1">
      <c r="J478" s="327"/>
      <c r="K478" s="327"/>
      <c r="L478" s="327"/>
      <c r="M478" s="327"/>
      <c r="N478" s="327"/>
      <c r="O478" s="327"/>
      <c r="P478" s="327"/>
      <c r="Q478" s="327"/>
      <c r="R478" s="327"/>
      <c r="S478" s="327"/>
      <c r="T478" s="327"/>
      <c r="U478" s="327"/>
      <c r="V478" s="327"/>
      <c r="W478" s="327"/>
      <c r="X478" s="327"/>
      <c r="Y478" s="327"/>
      <c r="Z478" s="327"/>
    </row>
    <row r="479" spans="10:26" s="2133" customFormat="1" ht="21.75" customHeight="1">
      <c r="J479" s="327"/>
      <c r="K479" s="327"/>
      <c r="L479" s="327"/>
      <c r="M479" s="327"/>
      <c r="N479" s="327"/>
      <c r="O479" s="327"/>
      <c r="P479" s="327"/>
      <c r="Q479" s="327"/>
      <c r="R479" s="327"/>
      <c r="S479" s="327"/>
      <c r="T479" s="327"/>
      <c r="U479" s="327"/>
      <c r="V479" s="327"/>
      <c r="W479" s="327"/>
      <c r="X479" s="327"/>
      <c r="Y479" s="327"/>
      <c r="Z479" s="327"/>
    </row>
    <row r="480" spans="10:26" s="2133" customFormat="1" ht="21.75" customHeight="1">
      <c r="J480" s="327"/>
      <c r="K480" s="327"/>
      <c r="L480" s="327"/>
      <c r="M480" s="327"/>
      <c r="N480" s="327"/>
      <c r="O480" s="327"/>
      <c r="P480" s="327"/>
      <c r="Q480" s="327"/>
      <c r="R480" s="327"/>
      <c r="S480" s="327"/>
      <c r="T480" s="327"/>
      <c r="U480" s="327"/>
      <c r="V480" s="327"/>
      <c r="W480" s="327"/>
      <c r="X480" s="327"/>
      <c r="Y480" s="327"/>
      <c r="Z480" s="327"/>
    </row>
    <row r="481" spans="10:26" s="2133" customFormat="1" ht="21.75" customHeight="1">
      <c r="J481" s="327"/>
      <c r="K481" s="327"/>
      <c r="L481" s="327"/>
      <c r="M481" s="327"/>
      <c r="N481" s="327"/>
      <c r="O481" s="327"/>
      <c r="P481" s="327"/>
      <c r="Q481" s="327"/>
      <c r="R481" s="327"/>
      <c r="S481" s="327"/>
      <c r="T481" s="327"/>
      <c r="U481" s="327"/>
      <c r="V481" s="327"/>
      <c r="W481" s="327"/>
      <c r="X481" s="327"/>
      <c r="Y481" s="327"/>
      <c r="Z481" s="327"/>
    </row>
    <row r="482" spans="10:26" s="2133" customFormat="1" ht="21.75" customHeight="1">
      <c r="J482" s="327"/>
      <c r="K482" s="327"/>
      <c r="L482" s="327"/>
      <c r="M482" s="327"/>
      <c r="N482" s="327"/>
      <c r="O482" s="327"/>
      <c r="P482" s="327"/>
      <c r="Q482" s="327"/>
      <c r="R482" s="327"/>
      <c r="S482" s="327"/>
      <c r="T482" s="327"/>
      <c r="U482" s="327"/>
      <c r="V482" s="327"/>
      <c r="W482" s="327"/>
      <c r="X482" s="327"/>
      <c r="Y482" s="327"/>
      <c r="Z482" s="327"/>
    </row>
    <row r="483" spans="10:26" s="2133" customFormat="1" ht="21.75" customHeight="1">
      <c r="J483" s="327"/>
      <c r="K483" s="327"/>
      <c r="L483" s="327"/>
      <c r="M483" s="327"/>
      <c r="N483" s="327"/>
      <c r="O483" s="327"/>
      <c r="P483" s="327"/>
      <c r="Q483" s="327"/>
      <c r="R483" s="327"/>
      <c r="S483" s="327"/>
      <c r="T483" s="327"/>
      <c r="U483" s="327"/>
      <c r="V483" s="327"/>
      <c r="W483" s="327"/>
      <c r="X483" s="327"/>
      <c r="Y483" s="327"/>
      <c r="Z483" s="327"/>
    </row>
    <row r="484" spans="10:26" s="2133" customFormat="1" ht="21.75" customHeight="1">
      <c r="J484" s="327"/>
      <c r="K484" s="327"/>
      <c r="L484" s="327"/>
      <c r="M484" s="327"/>
      <c r="N484" s="327"/>
      <c r="O484" s="327"/>
      <c r="P484" s="327"/>
      <c r="Q484" s="327"/>
      <c r="R484" s="327"/>
      <c r="S484" s="327"/>
      <c r="T484" s="327"/>
      <c r="U484" s="327"/>
      <c r="V484" s="327"/>
      <c r="W484" s="327"/>
      <c r="X484" s="327"/>
      <c r="Y484" s="327"/>
      <c r="Z484" s="327"/>
    </row>
    <row r="485" spans="10:26" s="2133" customFormat="1" ht="21.75" customHeight="1">
      <c r="J485" s="327"/>
      <c r="K485" s="327"/>
      <c r="L485" s="327"/>
      <c r="M485" s="327"/>
      <c r="N485" s="327"/>
      <c r="O485" s="327"/>
      <c r="P485" s="327"/>
      <c r="Q485" s="327"/>
      <c r="R485" s="327"/>
      <c r="S485" s="327"/>
      <c r="T485" s="327"/>
      <c r="U485" s="327"/>
      <c r="V485" s="327"/>
      <c r="W485" s="327"/>
      <c r="X485" s="327"/>
      <c r="Y485" s="327"/>
      <c r="Z485" s="327"/>
    </row>
    <row r="486" spans="10:26" s="2133" customFormat="1" ht="21.75" customHeight="1">
      <c r="J486" s="327"/>
      <c r="K486" s="327"/>
      <c r="L486" s="327"/>
      <c r="M486" s="327"/>
      <c r="N486" s="327"/>
      <c r="O486" s="327"/>
      <c r="P486" s="327"/>
      <c r="Q486" s="327"/>
      <c r="R486" s="327"/>
      <c r="S486" s="327"/>
      <c r="T486" s="327"/>
      <c r="U486" s="327"/>
      <c r="V486" s="327"/>
      <c r="W486" s="327"/>
      <c r="X486" s="327"/>
      <c r="Y486" s="327"/>
      <c r="Z486" s="327"/>
    </row>
    <row r="487" spans="10:26" s="2133" customFormat="1" ht="21.75" customHeight="1">
      <c r="J487" s="327"/>
      <c r="K487" s="327"/>
      <c r="L487" s="327"/>
      <c r="M487" s="327"/>
      <c r="N487" s="327"/>
      <c r="O487" s="327"/>
      <c r="P487" s="327"/>
      <c r="Q487" s="327"/>
      <c r="R487" s="327"/>
      <c r="S487" s="327"/>
      <c r="T487" s="327"/>
      <c r="U487" s="327"/>
      <c r="V487" s="327"/>
      <c r="W487" s="327"/>
      <c r="X487" s="327"/>
      <c r="Y487" s="327"/>
      <c r="Z487" s="327"/>
    </row>
    <row r="488" spans="10:26" s="2133" customFormat="1" ht="21.75" customHeight="1">
      <c r="J488" s="327"/>
      <c r="K488" s="327"/>
      <c r="L488" s="327"/>
      <c r="M488" s="327"/>
      <c r="N488" s="327"/>
      <c r="O488" s="327"/>
      <c r="P488" s="327"/>
      <c r="Q488" s="327"/>
      <c r="R488" s="327"/>
      <c r="S488" s="327"/>
      <c r="T488" s="327"/>
      <c r="U488" s="327"/>
      <c r="V488" s="327"/>
      <c r="W488" s="327"/>
      <c r="X488" s="327"/>
      <c r="Y488" s="327"/>
      <c r="Z488" s="327"/>
    </row>
    <row r="489" spans="10:26" s="2133" customFormat="1" ht="21.75" customHeight="1">
      <c r="J489" s="327"/>
      <c r="K489" s="327"/>
      <c r="L489" s="327"/>
      <c r="M489" s="327"/>
      <c r="N489" s="327"/>
      <c r="O489" s="327"/>
      <c r="P489" s="327"/>
      <c r="Q489" s="327"/>
      <c r="R489" s="327"/>
      <c r="S489" s="327"/>
      <c r="T489" s="327"/>
      <c r="U489" s="327"/>
      <c r="V489" s="327"/>
      <c r="W489" s="327"/>
      <c r="X489" s="327"/>
      <c r="Y489" s="327"/>
      <c r="Z489" s="327"/>
    </row>
    <row r="490" spans="10:26" s="2133" customFormat="1" ht="21.75" customHeight="1">
      <c r="J490" s="327"/>
      <c r="K490" s="327"/>
      <c r="L490" s="327"/>
      <c r="M490" s="327"/>
      <c r="N490" s="327"/>
      <c r="O490" s="327"/>
      <c r="P490" s="327"/>
      <c r="Q490" s="327"/>
      <c r="R490" s="327"/>
      <c r="S490" s="327"/>
      <c r="T490" s="327"/>
      <c r="U490" s="327"/>
      <c r="V490" s="327"/>
      <c r="W490" s="327"/>
      <c r="X490" s="327"/>
      <c r="Y490" s="327"/>
      <c r="Z490" s="327"/>
    </row>
    <row r="491" spans="10:26" s="2133" customFormat="1" ht="21.75" customHeight="1">
      <c r="J491" s="327"/>
      <c r="K491" s="327"/>
      <c r="L491" s="327"/>
      <c r="M491" s="327"/>
      <c r="N491" s="327"/>
      <c r="O491" s="327"/>
      <c r="P491" s="327"/>
      <c r="Q491" s="327"/>
      <c r="R491" s="327"/>
      <c r="S491" s="327"/>
      <c r="T491" s="327"/>
      <c r="U491" s="327"/>
      <c r="V491" s="327"/>
      <c r="W491" s="327"/>
      <c r="X491" s="327"/>
      <c r="Y491" s="327"/>
      <c r="Z491" s="327"/>
    </row>
    <row r="492" spans="10:26" s="2133" customFormat="1" ht="21.75" customHeight="1">
      <c r="J492" s="327"/>
      <c r="K492" s="327"/>
      <c r="L492" s="327"/>
      <c r="M492" s="327"/>
      <c r="N492" s="327"/>
      <c r="O492" s="327"/>
      <c r="P492" s="327"/>
      <c r="Q492" s="327"/>
      <c r="R492" s="327"/>
      <c r="S492" s="327"/>
      <c r="T492" s="327"/>
      <c r="U492" s="327"/>
      <c r="V492" s="327"/>
      <c r="W492" s="327"/>
      <c r="X492" s="327"/>
      <c r="Y492" s="327"/>
      <c r="Z492" s="327"/>
    </row>
    <row r="493" spans="10:26" s="2133" customFormat="1" ht="21.75" customHeight="1">
      <c r="J493" s="327"/>
      <c r="K493" s="327"/>
      <c r="L493" s="327"/>
      <c r="M493" s="327"/>
      <c r="N493" s="327"/>
      <c r="O493" s="327"/>
      <c r="P493" s="327"/>
      <c r="Q493" s="327"/>
      <c r="R493" s="327"/>
      <c r="S493" s="327"/>
      <c r="T493" s="327"/>
      <c r="U493" s="327"/>
      <c r="V493" s="327"/>
      <c r="W493" s="327"/>
      <c r="X493" s="327"/>
      <c r="Y493" s="327"/>
      <c r="Z493" s="327"/>
    </row>
    <row r="494" spans="10:26" s="2133" customFormat="1" ht="21.75" customHeight="1">
      <c r="J494" s="327"/>
      <c r="K494" s="327"/>
      <c r="L494" s="327"/>
      <c r="M494" s="327"/>
      <c r="N494" s="327"/>
      <c r="O494" s="327"/>
      <c r="P494" s="327"/>
      <c r="Q494" s="327"/>
      <c r="R494" s="327"/>
      <c r="S494" s="327"/>
      <c r="T494" s="327"/>
      <c r="U494" s="327"/>
      <c r="V494" s="327"/>
      <c r="W494" s="327"/>
      <c r="X494" s="327"/>
      <c r="Y494" s="327"/>
      <c r="Z494" s="327"/>
    </row>
    <row r="495" spans="10:26" s="2133" customFormat="1" ht="21.75" customHeight="1">
      <c r="J495" s="327"/>
      <c r="K495" s="327"/>
      <c r="L495" s="327"/>
      <c r="M495" s="327"/>
      <c r="N495" s="327"/>
      <c r="O495" s="327"/>
      <c r="P495" s="327"/>
      <c r="Q495" s="327"/>
      <c r="R495" s="327"/>
      <c r="S495" s="327"/>
      <c r="T495" s="327"/>
      <c r="U495" s="327"/>
      <c r="V495" s="327"/>
      <c r="W495" s="327"/>
      <c r="X495" s="327"/>
      <c r="Y495" s="327"/>
      <c r="Z495" s="327"/>
    </row>
    <row r="496" spans="10:26" s="2133" customFormat="1" ht="21.75" customHeight="1">
      <c r="J496" s="327"/>
      <c r="K496" s="327"/>
      <c r="L496" s="327"/>
      <c r="M496" s="327"/>
      <c r="N496" s="327"/>
      <c r="O496" s="327"/>
      <c r="P496" s="327"/>
      <c r="Q496" s="327"/>
      <c r="R496" s="327"/>
      <c r="S496" s="327"/>
      <c r="T496" s="327"/>
      <c r="U496" s="327"/>
      <c r="V496" s="327"/>
      <c r="W496" s="327"/>
      <c r="X496" s="327"/>
      <c r="Y496" s="327"/>
      <c r="Z496" s="327"/>
    </row>
    <row r="497" spans="10:26" s="2133" customFormat="1" ht="21.75" customHeight="1">
      <c r="J497" s="327"/>
      <c r="K497" s="327"/>
      <c r="L497" s="327"/>
      <c r="M497" s="327"/>
      <c r="N497" s="327"/>
      <c r="O497" s="327"/>
      <c r="P497" s="327"/>
      <c r="Q497" s="327"/>
      <c r="R497" s="327"/>
      <c r="S497" s="327"/>
      <c r="T497" s="327"/>
      <c r="U497" s="327"/>
      <c r="V497" s="327"/>
      <c r="W497" s="327"/>
      <c r="X497" s="327"/>
      <c r="Y497" s="327"/>
      <c r="Z497" s="327"/>
    </row>
    <row r="498" spans="10:26" s="2133" customFormat="1" ht="21.75" customHeight="1">
      <c r="J498" s="327"/>
      <c r="K498" s="327"/>
      <c r="L498" s="327"/>
      <c r="M498" s="327"/>
      <c r="N498" s="327"/>
      <c r="O498" s="327"/>
      <c r="P498" s="327"/>
      <c r="Q498" s="327"/>
      <c r="R498" s="327"/>
      <c r="S498" s="327"/>
      <c r="T498" s="327"/>
      <c r="U498" s="327"/>
      <c r="V498" s="327"/>
      <c r="W498" s="327"/>
      <c r="X498" s="327"/>
      <c r="Y498" s="327"/>
      <c r="Z498" s="327"/>
    </row>
    <row r="499" spans="10:26" s="2133" customFormat="1" ht="21.75" customHeight="1">
      <c r="J499" s="327"/>
      <c r="K499" s="327"/>
      <c r="L499" s="327"/>
      <c r="M499" s="327"/>
      <c r="N499" s="327"/>
      <c r="O499" s="327"/>
      <c r="P499" s="327"/>
      <c r="Q499" s="327"/>
      <c r="R499" s="327"/>
      <c r="S499" s="327"/>
      <c r="T499" s="327"/>
      <c r="U499" s="327"/>
      <c r="V499" s="327"/>
      <c r="W499" s="327"/>
      <c r="X499" s="327"/>
      <c r="Y499" s="327"/>
      <c r="Z499" s="327"/>
    </row>
    <row r="500" spans="10:26" s="2133" customFormat="1" ht="21.75" customHeight="1">
      <c r="J500" s="327"/>
      <c r="K500" s="327"/>
      <c r="L500" s="327"/>
      <c r="M500" s="327"/>
      <c r="N500" s="327"/>
      <c r="O500" s="327"/>
      <c r="P500" s="327"/>
      <c r="Q500" s="327"/>
      <c r="R500" s="327"/>
      <c r="S500" s="327"/>
      <c r="T500" s="327"/>
      <c r="U500" s="327"/>
      <c r="V500" s="327"/>
      <c r="W500" s="327"/>
      <c r="X500" s="327"/>
      <c r="Y500" s="327"/>
      <c r="Z500" s="327"/>
    </row>
    <row r="501" spans="10:26" s="2133" customFormat="1" ht="21.75" customHeight="1">
      <c r="J501" s="327"/>
      <c r="K501" s="327"/>
      <c r="L501" s="327"/>
      <c r="M501" s="327"/>
      <c r="N501" s="327"/>
      <c r="O501" s="327"/>
      <c r="P501" s="327"/>
      <c r="Q501" s="327"/>
      <c r="R501" s="327"/>
      <c r="S501" s="327"/>
      <c r="T501" s="327"/>
      <c r="U501" s="327"/>
      <c r="V501" s="327"/>
      <c r="W501" s="327"/>
      <c r="X501" s="327"/>
      <c r="Y501" s="327"/>
      <c r="Z501" s="327"/>
    </row>
    <row r="502" spans="10:26" s="2133" customFormat="1" ht="21.75" customHeight="1">
      <c r="J502" s="327"/>
      <c r="K502" s="327"/>
      <c r="L502" s="327"/>
      <c r="M502" s="327"/>
      <c r="N502" s="327"/>
      <c r="O502" s="327"/>
      <c r="P502" s="327"/>
      <c r="Q502" s="327"/>
      <c r="R502" s="327"/>
      <c r="S502" s="327"/>
      <c r="T502" s="327"/>
      <c r="U502" s="327"/>
      <c r="V502" s="327"/>
      <c r="W502" s="327"/>
      <c r="X502" s="327"/>
      <c r="Y502" s="327"/>
      <c r="Z502" s="327"/>
    </row>
    <row r="503" spans="10:26" s="2133" customFormat="1" ht="21.75" customHeight="1">
      <c r="J503" s="327"/>
      <c r="K503" s="327"/>
      <c r="L503" s="327"/>
      <c r="M503" s="327"/>
      <c r="N503" s="327"/>
      <c r="O503" s="327"/>
      <c r="P503" s="327"/>
      <c r="Q503" s="327"/>
      <c r="R503" s="327"/>
      <c r="S503" s="327"/>
      <c r="T503" s="327"/>
      <c r="U503" s="327"/>
      <c r="V503" s="327"/>
      <c r="W503" s="327"/>
      <c r="X503" s="327"/>
      <c r="Y503" s="327"/>
      <c r="Z503" s="327"/>
    </row>
    <row r="504" spans="10:26" s="2133" customFormat="1" ht="21.75" customHeight="1">
      <c r="J504" s="327"/>
      <c r="K504" s="327"/>
      <c r="L504" s="327"/>
      <c r="M504" s="327"/>
      <c r="N504" s="327"/>
      <c r="O504" s="327"/>
      <c r="P504" s="327"/>
      <c r="Q504" s="327"/>
      <c r="R504" s="327"/>
      <c r="S504" s="327"/>
      <c r="T504" s="327"/>
      <c r="U504" s="327"/>
      <c r="V504" s="327"/>
      <c r="W504" s="327"/>
      <c r="X504" s="327"/>
      <c r="Y504" s="327"/>
      <c r="Z504" s="327"/>
    </row>
    <row r="505" spans="10:26" s="2133" customFormat="1" ht="21.75" customHeight="1">
      <c r="J505" s="327"/>
      <c r="K505" s="327"/>
      <c r="L505" s="327"/>
      <c r="M505" s="327"/>
      <c r="N505" s="327"/>
      <c r="O505" s="327"/>
      <c r="P505" s="327"/>
      <c r="Q505" s="327"/>
      <c r="R505" s="327"/>
      <c r="S505" s="327"/>
      <c r="T505" s="327"/>
      <c r="U505" s="327"/>
      <c r="V505" s="327"/>
      <c r="W505" s="327"/>
      <c r="X505" s="327"/>
      <c r="Y505" s="327"/>
      <c r="Z505" s="327"/>
    </row>
    <row r="506" spans="10:26" s="2133" customFormat="1" ht="21.75" customHeight="1">
      <c r="J506" s="327"/>
      <c r="K506" s="327"/>
      <c r="L506" s="327"/>
      <c r="M506" s="327"/>
      <c r="N506" s="327"/>
      <c r="O506" s="327"/>
      <c r="P506" s="327"/>
      <c r="Q506" s="327"/>
      <c r="R506" s="327"/>
      <c r="S506" s="327"/>
      <c r="T506" s="327"/>
      <c r="U506" s="327"/>
      <c r="V506" s="327"/>
      <c r="W506" s="327"/>
      <c r="X506" s="327"/>
      <c r="Y506" s="327"/>
      <c r="Z506" s="327"/>
    </row>
    <row r="507" spans="10:26" s="2133" customFormat="1" ht="21.75" customHeight="1">
      <c r="J507" s="327"/>
      <c r="K507" s="327"/>
      <c r="L507" s="327"/>
      <c r="M507" s="327"/>
      <c r="N507" s="327"/>
      <c r="O507" s="327"/>
      <c r="P507" s="327"/>
      <c r="Q507" s="327"/>
      <c r="R507" s="327"/>
      <c r="S507" s="327"/>
      <c r="T507" s="327"/>
      <c r="U507" s="327"/>
      <c r="V507" s="327"/>
      <c r="W507" s="327"/>
      <c r="X507" s="327"/>
      <c r="Y507" s="327"/>
      <c r="Z507" s="327"/>
    </row>
    <row r="508" spans="10:26" s="2133" customFormat="1" ht="21.75" customHeight="1">
      <c r="J508" s="327"/>
      <c r="K508" s="327"/>
      <c r="L508" s="327"/>
      <c r="M508" s="327"/>
      <c r="N508" s="327"/>
      <c r="O508" s="327"/>
      <c r="P508" s="327"/>
      <c r="Q508" s="327"/>
      <c r="R508" s="327"/>
      <c r="S508" s="327"/>
      <c r="T508" s="327"/>
      <c r="U508" s="327"/>
      <c r="V508" s="327"/>
      <c r="W508" s="327"/>
      <c r="X508" s="327"/>
      <c r="Y508" s="327"/>
      <c r="Z508" s="327"/>
    </row>
    <row r="509" spans="10:26" s="2133" customFormat="1" ht="21.75" customHeight="1">
      <c r="J509" s="327"/>
      <c r="K509" s="327"/>
      <c r="L509" s="327"/>
      <c r="M509" s="327"/>
      <c r="N509" s="327"/>
      <c r="O509" s="327"/>
      <c r="P509" s="327"/>
      <c r="Q509" s="327"/>
      <c r="R509" s="327"/>
      <c r="S509" s="327"/>
      <c r="T509" s="327"/>
      <c r="U509" s="327"/>
      <c r="V509" s="327"/>
      <c r="W509" s="327"/>
      <c r="X509" s="327"/>
      <c r="Y509" s="327"/>
      <c r="Z509" s="327"/>
    </row>
    <row r="510" spans="10:26" s="2133" customFormat="1" ht="21.75" customHeight="1">
      <c r="J510" s="327"/>
      <c r="K510" s="327"/>
      <c r="L510" s="327"/>
      <c r="M510" s="327"/>
      <c r="N510" s="327"/>
      <c r="O510" s="327"/>
      <c r="P510" s="327"/>
      <c r="Q510" s="327"/>
      <c r="R510" s="327"/>
      <c r="S510" s="327"/>
      <c r="T510" s="327"/>
      <c r="U510" s="327"/>
      <c r="V510" s="327"/>
      <c r="W510" s="327"/>
      <c r="X510" s="327"/>
      <c r="Y510" s="327"/>
      <c r="Z510" s="327"/>
    </row>
    <row r="511" spans="10:26" s="2133" customFormat="1" ht="21.75" customHeight="1">
      <c r="J511" s="327"/>
      <c r="K511" s="327"/>
      <c r="L511" s="327"/>
      <c r="M511" s="327"/>
      <c r="N511" s="327"/>
      <c r="O511" s="327"/>
      <c r="P511" s="327"/>
      <c r="Q511" s="327"/>
      <c r="R511" s="327"/>
      <c r="S511" s="327"/>
      <c r="T511" s="327"/>
      <c r="U511" s="327"/>
      <c r="V511" s="327"/>
      <c r="W511" s="327"/>
      <c r="X511" s="327"/>
      <c r="Y511" s="327"/>
      <c r="Z511" s="327"/>
    </row>
    <row r="512" spans="10:26" s="2133" customFormat="1" ht="21.75" customHeight="1">
      <c r="J512" s="327"/>
      <c r="K512" s="327"/>
      <c r="L512" s="327"/>
      <c r="M512" s="327"/>
      <c r="N512" s="327"/>
      <c r="O512" s="327"/>
      <c r="P512" s="327"/>
      <c r="Q512" s="327"/>
      <c r="R512" s="327"/>
      <c r="S512" s="327"/>
      <c r="T512" s="327"/>
      <c r="U512" s="327"/>
      <c r="V512" s="327"/>
      <c r="W512" s="327"/>
      <c r="X512" s="327"/>
      <c r="Y512" s="327"/>
      <c r="Z512" s="32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223" t="str">
        <f>项目基本情况!B1</f>
        <v>北京市房地产市场价值预评估</v>
      </c>
      <c r="C37" s="3223"/>
      <c r="D37" s="3223"/>
      <c r="E37" s="3223"/>
      <c r="F37" s="3223"/>
      <c r="G37" s="3223"/>
      <c r="H37" s="3223"/>
      <c r="I37" s="3223"/>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 ca="1">项目基本情况!K4</f>
        <v>叶凌（注册号：1119970111)、陈颖（注册号：1120060040)</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password="C66D"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E32" sqref="E32"/>
    </sheetView>
  </sheetViews>
  <sheetFormatPr defaultColWidth="8.375" defaultRowHeight="12.75"/>
  <cols>
    <col min="1" max="1" width="9.375" style="231" customWidth="1"/>
    <col min="2" max="2" width="29.25" style="232" customWidth="1"/>
    <col min="3" max="3" width="12.125" style="232" customWidth="1"/>
    <col min="4" max="5" width="11.25" style="233" customWidth="1"/>
    <col min="6" max="6" width="9.5" style="232" customWidth="1"/>
    <col min="7" max="7" width="31.875" style="232" customWidth="1"/>
    <col min="8" max="8" width="10.75" style="232" customWidth="1"/>
    <col min="9" max="254" width="9" style="232" customWidth="1"/>
    <col min="255" max="16384" width="8.375" style="232"/>
  </cols>
  <sheetData>
    <row r="1" spans="1:8" s="226" customFormat="1" ht="20.25">
      <c r="A1" s="234" t="s">
        <v>922</v>
      </c>
      <c r="B1" s="2021" t="s">
        <v>457</v>
      </c>
      <c r="C1" s="2022" t="s">
        <v>1141</v>
      </c>
      <c r="D1" s="236"/>
      <c r="E1" s="236"/>
      <c r="F1" s="236"/>
      <c r="G1" s="2023">
        <f>MATCH(B1,'数据-取费表'!A6:A16,0)+5</f>
        <v>6</v>
      </c>
      <c r="H1" s="2024" t="str">
        <f>IF(ISERROR(FIND("住宅",B1)),"非住宅","住宅")</f>
        <v>住宅</v>
      </c>
    </row>
    <row r="2" spans="1:8" s="226" customFormat="1" ht="18" customHeight="1">
      <c r="A2" s="238" t="s">
        <v>923</v>
      </c>
      <c r="B2" s="239">
        <f ca="1">ROUND(IF(D2="——",C52/10000,C52/10000-E2),0)</f>
        <v>2</v>
      </c>
      <c r="C2" s="237" t="s">
        <v>924</v>
      </c>
      <c r="D2" s="2025" t="s">
        <v>124</v>
      </c>
      <c r="E2" s="2026" t="e">
        <f ca="1">SUMIF(INDIRECT("'"&amp;G2&amp;"'"&amp;"!A:A"),"承租人权益价值",INDIRECT("'"&amp;G2&amp;"'"&amp;"!c:c"))</f>
        <v>#REF!</v>
      </c>
      <c r="F2" s="2027" t="s">
        <v>924</v>
      </c>
      <c r="G2" s="2028" t="s">
        <v>242</v>
      </c>
    </row>
    <row r="3" spans="1:8" s="226" customFormat="1" ht="18" customHeight="1">
      <c r="A3" s="241" t="s">
        <v>925</v>
      </c>
      <c r="B3" s="242">
        <f ca="1">ROUND(B2*10000/(IF(B1="",'数据-汇总表'!E3,INDIRECT("'数据-取费表'!k"&amp;$G$1))),0)</f>
        <v>20000</v>
      </c>
      <c r="C3" s="237" t="s">
        <v>926</v>
      </c>
      <c r="D3" s="237"/>
      <c r="E3" s="237"/>
      <c r="F3" s="237"/>
      <c r="G3" s="237"/>
    </row>
    <row r="4" spans="1:8" s="227" customFormat="1" ht="15.75">
      <c r="A4" s="243" t="s">
        <v>927</v>
      </c>
      <c r="B4" s="244"/>
      <c r="C4" s="244"/>
      <c r="D4" s="244"/>
      <c r="E4" s="244"/>
      <c r="F4" s="244"/>
      <c r="G4" s="245"/>
    </row>
    <row r="5" spans="1:8" s="228" customFormat="1" ht="13.5" customHeight="1">
      <c r="A5" s="246" t="s">
        <v>928</v>
      </c>
      <c r="B5" s="247" t="s">
        <v>929</v>
      </c>
      <c r="C5" s="248">
        <f>C6+C7+C8</f>
        <v>13104</v>
      </c>
      <c r="D5" s="248" t="s">
        <v>930</v>
      </c>
      <c r="E5" s="249" t="s">
        <v>931</v>
      </c>
      <c r="F5" s="249" t="s">
        <v>828</v>
      </c>
      <c r="G5" s="250"/>
    </row>
    <row r="6" spans="1:8" s="228" customFormat="1" ht="13.5" customHeight="1">
      <c r="A6" s="251" t="s">
        <v>932</v>
      </c>
      <c r="B6" s="252" t="s">
        <v>933</v>
      </c>
      <c r="C6" s="253">
        <f>'土地比较法（土地一级开发成本）-住宅、综合'!C48</f>
        <v>13104</v>
      </c>
      <c r="D6" s="254"/>
      <c r="E6" s="255"/>
      <c r="F6" s="255"/>
      <c r="G6" s="256"/>
    </row>
    <row r="7" spans="1:8" s="228" customFormat="1" ht="13.5" customHeight="1">
      <c r="A7" s="251" t="s">
        <v>934</v>
      </c>
      <c r="B7" s="252" t="s">
        <v>935</v>
      </c>
      <c r="C7" s="257">
        <f>ROUND(C6*F7,0)</f>
        <v>0</v>
      </c>
      <c r="D7" s="257"/>
      <c r="E7" s="255"/>
      <c r="F7" s="258">
        <f>IF(项目基本情况!B8="出让",0,'数据-取费表'!B48+'数据-取费表'!B49)</f>
        <v>0</v>
      </c>
      <c r="G7" s="256"/>
    </row>
    <row r="8" spans="1:8" s="229" customFormat="1">
      <c r="A8" s="251" t="s">
        <v>936</v>
      </c>
      <c r="B8" s="252" t="s">
        <v>937</v>
      </c>
      <c r="C8" s="257">
        <f>IF(G8="已包含在土地购买价格中",0,C9+C10)</f>
        <v>0</v>
      </c>
      <c r="D8" s="259"/>
      <c r="E8" s="257"/>
      <c r="F8" s="258"/>
      <c r="G8" s="2029" t="s">
        <v>1142</v>
      </c>
    </row>
    <row r="9" spans="1:8" s="228" customFormat="1" ht="13.5" customHeight="1">
      <c r="A9" s="261" t="s">
        <v>938</v>
      </c>
      <c r="B9" s="262" t="s">
        <v>939</v>
      </c>
      <c r="C9" s="263">
        <f ca="1">ROUND(D9*E9,0)</f>
        <v>160</v>
      </c>
      <c r="D9" s="264">
        <f ca="1">IF(B1="",'数据-汇总表'!E5,IF(INDIRECT("'数据-取费表'!c"&amp;$G$1)="住宅",INDIRECT("'数据-取费表'!k"&amp;$G$1),0))</f>
        <v>1</v>
      </c>
      <c r="E9" s="263">
        <f>'数据-取费表'!B27</f>
        <v>160</v>
      </c>
      <c r="F9" s="258"/>
      <c r="G9" s="265"/>
    </row>
    <row r="10" spans="1:8" s="228" customFormat="1" ht="13.5" customHeight="1">
      <c r="A10" s="261" t="s">
        <v>941</v>
      </c>
      <c r="B10" s="262" t="s">
        <v>942</v>
      </c>
      <c r="C10" s="263">
        <f ca="1">ROUND(D10*E10,0)</f>
        <v>0</v>
      </c>
      <c r="D10" s="264">
        <f ca="1">IF(B1="",'数据-汇总表'!E6,IF(INDIRECT("'数据-取费表'!c"&amp;$G$1)="住宅",INDIRECT("'数据-取费表'!s"&amp;$G$1),INDIRECT("'数据-取费表'!k"&amp;$G$1)+INDIRECT("'数据-取费表'!s"&amp;$G$1)))</f>
        <v>0</v>
      </c>
      <c r="E10" s="263">
        <f>'数据-取费表'!B28</f>
        <v>0</v>
      </c>
      <c r="F10" s="258"/>
      <c r="G10" s="265"/>
    </row>
    <row r="11" spans="1:8" s="228" customFormat="1" ht="13.5" hidden="1" customHeight="1">
      <c r="A11" s="266" t="s">
        <v>943</v>
      </c>
      <c r="B11" s="252" t="s">
        <v>944</v>
      </c>
      <c r="C11" s="248"/>
      <c r="D11" s="267"/>
      <c r="E11" s="255"/>
      <c r="F11" s="255"/>
      <c r="G11" s="256"/>
    </row>
    <row r="12" spans="1:8" s="228" customFormat="1" ht="13.5" hidden="1" customHeight="1">
      <c r="A12" s="266" t="s">
        <v>945</v>
      </c>
      <c r="B12" s="252" t="s">
        <v>864</v>
      </c>
      <c r="C12" s="248">
        <v>0</v>
      </c>
      <c r="D12" s="267"/>
      <c r="E12" s="268"/>
      <c r="F12" s="258">
        <v>3.0499999999999999E-2</v>
      </c>
      <c r="G12" s="256"/>
    </row>
    <row r="13" spans="1:8" s="228" customFormat="1" ht="13.5" hidden="1" customHeight="1">
      <c r="A13" s="266" t="s">
        <v>946</v>
      </c>
      <c r="B13" s="252" t="s">
        <v>947</v>
      </c>
      <c r="C13" s="248"/>
      <c r="D13" s="267"/>
      <c r="E13" s="255"/>
      <c r="F13" s="255"/>
      <c r="G13" s="256"/>
    </row>
    <row r="14" spans="1:8" s="228" customFormat="1" ht="13.5" hidden="1" customHeight="1">
      <c r="A14" s="266" t="s">
        <v>948</v>
      </c>
      <c r="B14" s="252" t="s">
        <v>937</v>
      </c>
      <c r="C14" s="248"/>
      <c r="D14" s="267"/>
      <c r="E14" s="255"/>
      <c r="F14" s="255"/>
      <c r="G14" s="256" t="s">
        <v>949</v>
      </c>
    </row>
    <row r="15" spans="1:8" s="228" customFormat="1" ht="13.5" hidden="1" customHeight="1">
      <c r="A15" s="266" t="s">
        <v>950</v>
      </c>
      <c r="B15" s="252" t="s">
        <v>951</v>
      </c>
      <c r="C15" s="257"/>
      <c r="D15" s="267"/>
      <c r="E15" s="255"/>
      <c r="F15" s="255"/>
      <c r="G15" s="256" t="s">
        <v>952</v>
      </c>
    </row>
    <row r="16" spans="1:8" s="228" customFormat="1" ht="13.5" hidden="1" customHeight="1">
      <c r="A16" s="266" t="s">
        <v>953</v>
      </c>
      <c r="B16" s="252" t="s">
        <v>937</v>
      </c>
      <c r="C16" s="257"/>
      <c r="D16" s="267"/>
      <c r="E16" s="255"/>
      <c r="F16" s="255"/>
      <c r="G16" s="256"/>
    </row>
    <row r="17" spans="1:7" s="228" customFormat="1" ht="13.5" hidden="1" customHeight="1">
      <c r="A17" s="266" t="s">
        <v>954</v>
      </c>
      <c r="B17" s="252" t="s">
        <v>955</v>
      </c>
      <c r="C17" s="269"/>
      <c r="D17" s="270"/>
      <c r="E17" s="269"/>
      <c r="F17" s="269"/>
      <c r="G17" s="256" t="s">
        <v>952</v>
      </c>
    </row>
    <row r="18" spans="1:7" s="228" customFormat="1" ht="13.5" hidden="1" customHeight="1">
      <c r="A18" s="266" t="s">
        <v>956</v>
      </c>
      <c r="B18" s="252" t="s">
        <v>957</v>
      </c>
      <c r="C18" s="257">
        <v>0</v>
      </c>
      <c r="D18" s="267"/>
      <c r="E18" s="255"/>
      <c r="F18" s="258">
        <v>3.0499999999999999E-2</v>
      </c>
      <c r="G18" s="256" t="s">
        <v>958</v>
      </c>
    </row>
    <row r="19" spans="1:7" s="229" customFormat="1" ht="13.5" customHeight="1">
      <c r="A19" s="246" t="s">
        <v>959</v>
      </c>
      <c r="B19" s="247" t="s">
        <v>960</v>
      </c>
      <c r="C19" s="248" t="str">
        <f>IF(G19="已包含在土地取得成本中","0",ROUND(D19*E19,0))</f>
        <v>0</v>
      </c>
      <c r="D19" s="272">
        <f ca="1">D9+D10</f>
        <v>1</v>
      </c>
      <c r="E19" s="248">
        <f>'数据-取费表'!B31</f>
        <v>0</v>
      </c>
      <c r="F19" s="273"/>
      <c r="G19" s="2029" t="s">
        <v>1143</v>
      </c>
    </row>
    <row r="20" spans="1:7" s="228" customFormat="1" ht="13.5" customHeight="1">
      <c r="A20" s="246" t="s">
        <v>961</v>
      </c>
      <c r="B20" s="247" t="s">
        <v>962</v>
      </c>
      <c r="C20" s="274">
        <f>ROUND((C5+C19)*F20,0)</f>
        <v>262</v>
      </c>
      <c r="D20" s="274"/>
      <c r="E20" s="274"/>
      <c r="F20" s="275">
        <f>'数据-取费表'!B37</f>
        <v>0.02</v>
      </c>
      <c r="G20" s="279" t="s">
        <v>963</v>
      </c>
    </row>
    <row r="21" spans="1:7" s="228" customFormat="1" ht="13.5" customHeight="1">
      <c r="A21" s="246" t="s">
        <v>964</v>
      </c>
      <c r="B21" s="247" t="s">
        <v>965</v>
      </c>
      <c r="C21" s="277">
        <f>F21</f>
        <v>0.01</v>
      </c>
      <c r="D21" s="278" t="s">
        <v>966</v>
      </c>
      <c r="E21" s="274"/>
      <c r="F21" s="275">
        <f>'数据-取费表'!B38</f>
        <v>0.01</v>
      </c>
      <c r="G21" s="279" t="s">
        <v>967</v>
      </c>
    </row>
    <row r="22" spans="1:7" s="228" customFormat="1" ht="13.5" customHeight="1">
      <c r="A22" s="246" t="s">
        <v>968</v>
      </c>
      <c r="B22" s="247" t="s">
        <v>969</v>
      </c>
      <c r="C22" s="2030">
        <f ca="1">ROUND(SUM(C23:C25),0)</f>
        <v>1803</v>
      </c>
      <c r="D22" s="277">
        <f ca="1">C26</f>
        <v>6.9999999999999999E-4</v>
      </c>
      <c r="E22" s="278" t="s">
        <v>966</v>
      </c>
      <c r="F22" s="281">
        <f ca="1">'数据-取费表'!B40</f>
        <v>4.3499999999999997E-2</v>
      </c>
      <c r="G22" s="279" t="str">
        <f>IF('数据-取费表'!B22&lt;=1,"单利计息","复利计息")</f>
        <v>复利计息</v>
      </c>
    </row>
    <row r="23" spans="1:7" s="228" customFormat="1" ht="13.5" customHeight="1">
      <c r="A23" s="282" t="s">
        <v>932</v>
      </c>
      <c r="B23" s="252" t="s">
        <v>970</v>
      </c>
      <c r="C23" s="2031">
        <f ca="1">ROUND(IF('数据-取费表'!B22&lt;=1,C5*F22*'数据-取费表'!B22,C5*(POWER((1+F22),'数据-取费表'!B22)-1)),0)</f>
        <v>1786</v>
      </c>
      <c r="D23" s="284"/>
      <c r="E23" s="284"/>
      <c r="F23" s="285"/>
      <c r="G23" s="286" t="s">
        <v>971</v>
      </c>
    </row>
    <row r="24" spans="1:7" s="228" customFormat="1" ht="13.5" customHeight="1">
      <c r="A24" s="282" t="s">
        <v>934</v>
      </c>
      <c r="B24" s="252" t="s">
        <v>972</v>
      </c>
      <c r="C24" s="2031">
        <f ca="1">ROUND(IF('数据-取费表'!B22&lt;=1,C19*F22*('数据-取费表'!B19/2+'数据-取费表'!B20),C19*(POWER((1+F22),('数据-取费表'!B19/2+'数据-取费表'!B20))-1)),0)</f>
        <v>0</v>
      </c>
      <c r="D24" s="284"/>
      <c r="E24" s="284"/>
      <c r="F24" s="285"/>
      <c r="G24" s="286" t="s">
        <v>973</v>
      </c>
    </row>
    <row r="25" spans="1:7" s="228" customFormat="1" ht="24">
      <c r="A25" s="282" t="s">
        <v>936</v>
      </c>
      <c r="B25" s="252" t="s">
        <v>974</v>
      </c>
      <c r="C25" s="2031">
        <f ca="1">ROUND(IF('数据-取费表'!B22&lt;=1,C20*F22*'数据-取费表'!B22/2,C20*(POWER((1+F22),'数据-取费表'!B22/2)-1)),0)</f>
        <v>17</v>
      </c>
      <c r="D25" s="284"/>
      <c r="E25" s="287"/>
      <c r="F25" s="285"/>
      <c r="G25" s="288" t="s">
        <v>975</v>
      </c>
    </row>
    <row r="26" spans="1:7" s="228" customFormat="1">
      <c r="A26" s="282" t="s">
        <v>976</v>
      </c>
      <c r="B26" s="252" t="s">
        <v>977</v>
      </c>
      <c r="C26" s="284">
        <f ca="1">ROUND(IF('数据-取费表'!B22&lt;=1,F21*F22*'数据-取费表'!B22/2,F21*(POWER((1+F22),'数据-取费表'!B22/2)-1)),4)</f>
        <v>6.9999999999999999E-4</v>
      </c>
      <c r="D26" s="284"/>
      <c r="E26" s="287"/>
      <c r="F26" s="285"/>
      <c r="G26" s="289"/>
    </row>
    <row r="27" spans="1:7" s="228" customFormat="1" ht="24.75">
      <c r="A27" s="246" t="s">
        <v>978</v>
      </c>
      <c r="B27" s="290" t="s">
        <v>979</v>
      </c>
      <c r="C27" s="291">
        <f ca="1">C28</f>
        <v>401</v>
      </c>
      <c r="D27" s="277">
        <f ca="1">C29</f>
        <v>2.9999999999999997E-4</v>
      </c>
      <c r="E27" s="278" t="s">
        <v>966</v>
      </c>
      <c r="F27" s="292">
        <f ca="1">IF(B1="",'数据-取费表'!Q16,INDIRECT("'数据-取费表'!q"&amp;$G$1))</f>
        <v>0.03</v>
      </c>
      <c r="G27" s="293" t="s">
        <v>980</v>
      </c>
    </row>
    <row r="28" spans="1:7" s="228" customFormat="1" ht="13.5" customHeight="1">
      <c r="A28" s="282" t="s">
        <v>932</v>
      </c>
      <c r="B28" s="294" t="s">
        <v>981</v>
      </c>
      <c r="C28" s="295">
        <f ca="1">ROUND((C5+C19+C20)*F27,0)</f>
        <v>401</v>
      </c>
      <c r="D28" s="277"/>
      <c r="E28" s="278"/>
      <c r="F28" s="292"/>
      <c r="G28" s="293"/>
    </row>
    <row r="29" spans="1:7" s="228" customFormat="1" ht="13.5" customHeight="1">
      <c r="A29" s="282" t="s">
        <v>934</v>
      </c>
      <c r="B29" s="294" t="s">
        <v>982</v>
      </c>
      <c r="C29" s="284">
        <f ca="1">ROUND(C21*F27,4)</f>
        <v>2.9999999999999997E-4</v>
      </c>
      <c r="D29" s="277"/>
      <c r="E29" s="278"/>
      <c r="F29" s="292"/>
      <c r="G29" s="293"/>
    </row>
    <row r="30" spans="1:7" s="228" customFormat="1" ht="13.5" customHeight="1">
      <c r="A30" s="246" t="s">
        <v>983</v>
      </c>
      <c r="B30" s="247" t="s">
        <v>984</v>
      </c>
      <c r="C30" s="2032">
        <f>ROUND((1/1.09*0.09-C21/1.06*0.06)*(1+'数据-取费表'!B44+'数据-取费表'!B45+'数据-取费表'!B46),4)</f>
        <v>9.1800000000000007E-2</v>
      </c>
      <c r="D30" s="2032">
        <f>ROUND(C6/1.09*0.09*(1+'数据-取费表'!B44+'数据-取费表'!B45+'数据-取费表'!B46),0)</f>
        <v>1212</v>
      </c>
      <c r="E30" s="287"/>
      <c r="F30" s="3219">
        <v>5.6000000000000001E-2</v>
      </c>
      <c r="G30" s="279" t="s">
        <v>985</v>
      </c>
    </row>
    <row r="31" spans="1:7" ht="16.5" customHeight="1">
      <c r="A31" s="296">
        <v>1</v>
      </c>
      <c r="B31" s="247" t="s">
        <v>986</v>
      </c>
      <c r="C31" s="2033">
        <f ca="1">ROUND((C5+C19+C20+C22+C27-D30)/(1-C21-D22-D27-C30),0)</f>
        <v>16003</v>
      </c>
      <c r="D31" s="297"/>
      <c r="E31" s="248"/>
      <c r="F31" s="298"/>
      <c r="G31" s="279" t="s">
        <v>987</v>
      </c>
    </row>
    <row r="32" spans="1:7" s="227" customFormat="1" ht="15.75">
      <c r="A32" s="299" t="s">
        <v>1144</v>
      </c>
      <c r="B32" s="300"/>
      <c r="C32" s="300"/>
      <c r="D32" s="300"/>
      <c r="E32" s="300"/>
      <c r="F32" s="300"/>
      <c r="G32" s="301"/>
    </row>
    <row r="33" spans="1:7" s="228" customFormat="1" ht="13.5" customHeight="1">
      <c r="A33" s="246" t="s">
        <v>928</v>
      </c>
      <c r="B33" s="247" t="s">
        <v>1145</v>
      </c>
      <c r="C33" s="302">
        <f ca="1">SUM(C34:C38)</f>
        <v>5762</v>
      </c>
      <c r="D33" s="274"/>
      <c r="E33" s="249"/>
      <c r="F33" s="287"/>
      <c r="G33" s="279"/>
    </row>
    <row r="34" spans="1:7" s="230" customFormat="1" ht="13.5" customHeight="1">
      <c r="A34" s="282" t="s">
        <v>932</v>
      </c>
      <c r="B34" s="252" t="s">
        <v>990</v>
      </c>
      <c r="C34" s="257">
        <f ca="1">ROUND(IF(B1="",SUMPRODUCT('数据-取费表'!K6:K14,'数据-取费表'!L6:L14),INDIRECT("'数据-取费表'!l"&amp;$G$1)*INDIRECT("'数据-取费表'!k"&amp;$G$1)+'数据-取费表'!L14*INDIRECT("'数据-取费表'!S"&amp;$G$1)),0)</f>
        <v>5080</v>
      </c>
      <c r="D34" s="254"/>
      <c r="E34" s="257"/>
      <c r="F34" s="303"/>
      <c r="G34" s="256"/>
    </row>
    <row r="35" spans="1:7" ht="13.5" customHeight="1">
      <c r="A35" s="282" t="s">
        <v>934</v>
      </c>
      <c r="B35" s="252" t="s">
        <v>992</v>
      </c>
      <c r="C35" s="257">
        <f ca="1">ROUND(C34*F35,0)</f>
        <v>152</v>
      </c>
      <c r="D35" s="257"/>
      <c r="E35" s="257"/>
      <c r="F35" s="304">
        <f>'数据-取费表'!B33</f>
        <v>0.03</v>
      </c>
      <c r="G35" s="256" t="s">
        <v>993</v>
      </c>
    </row>
    <row r="36" spans="1:7" ht="24">
      <c r="A36" s="282" t="s">
        <v>936</v>
      </c>
      <c r="B36" s="252" t="s">
        <v>994</v>
      </c>
      <c r="C36" s="257">
        <f ca="1">ROUND(IF(B1="",SUM('数据-取费表'!AP6:AP13)*F36,IF(INDIRECT("'数据-取费表'!c"&amp;$G$1)="住宅",INDIRECT("'数据-取费表'!k"&amp;$G$1)*INDIRECT("'数据-取费表'!l"&amp;$G$1)*F36,0)),0)</f>
        <v>254</v>
      </c>
      <c r="D36" s="257"/>
      <c r="E36" s="257"/>
      <c r="F36" s="304">
        <f>'数据-取费表'!B34</f>
        <v>0.05</v>
      </c>
      <c r="G36" s="305" t="s">
        <v>995</v>
      </c>
    </row>
    <row r="37" spans="1:7" s="230" customFormat="1" ht="13.5" customHeight="1">
      <c r="A37" s="282" t="s">
        <v>976</v>
      </c>
      <c r="B37" s="252" t="s">
        <v>996</v>
      </c>
      <c r="C37" s="295">
        <f ca="1">ROUND(E37*D37,0)</f>
        <v>200</v>
      </c>
      <c r="D37" s="254">
        <f ca="1">D19</f>
        <v>1</v>
      </c>
      <c r="E37" s="295">
        <f>'数据-取费表'!B35</f>
        <v>200</v>
      </c>
      <c r="F37" s="304"/>
      <c r="G37" s="306"/>
    </row>
    <row r="38" spans="1:7" ht="13.5" customHeight="1">
      <c r="A38" s="282" t="s">
        <v>998</v>
      </c>
      <c r="B38" s="252" t="s">
        <v>864</v>
      </c>
      <c r="C38" s="257">
        <f ca="1">ROUND(C34*F38,0)</f>
        <v>76</v>
      </c>
      <c r="D38" s="257"/>
      <c r="E38" s="257"/>
      <c r="F38" s="304">
        <f>'数据-取费表'!B36</f>
        <v>1.4999999999999999E-2</v>
      </c>
      <c r="G38" s="256" t="s">
        <v>993</v>
      </c>
    </row>
    <row r="39" spans="1:7" s="228" customFormat="1" ht="13.5" customHeight="1">
      <c r="A39" s="246" t="s">
        <v>959</v>
      </c>
      <c r="B39" s="247" t="s">
        <v>962</v>
      </c>
      <c r="C39" s="274">
        <f ca="1">ROUND(C33*F20,0)</f>
        <v>115</v>
      </c>
      <c r="D39" s="274"/>
      <c r="E39" s="274"/>
      <c r="F39" s="2034">
        <f>F20</f>
        <v>0.02</v>
      </c>
      <c r="G39" s="279" t="s">
        <v>999</v>
      </c>
    </row>
    <row r="40" spans="1:7" s="228" customFormat="1" ht="13.5" customHeight="1">
      <c r="A40" s="246" t="s">
        <v>961</v>
      </c>
      <c r="B40" s="247" t="s">
        <v>965</v>
      </c>
      <c r="C40" s="2035">
        <f>F21</f>
        <v>0.01</v>
      </c>
      <c r="D40" s="278" t="s">
        <v>1000</v>
      </c>
      <c r="E40" s="274"/>
      <c r="F40" s="2034">
        <f>F21</f>
        <v>0.01</v>
      </c>
      <c r="G40" s="279" t="s">
        <v>1001</v>
      </c>
    </row>
    <row r="41" spans="1:7" s="228" customFormat="1" ht="13.5" customHeight="1">
      <c r="A41" s="246" t="s">
        <v>964</v>
      </c>
      <c r="B41" s="247" t="s">
        <v>969</v>
      </c>
      <c r="C41" s="274">
        <f ca="1">ROUND(SUM(C42:C43),0)</f>
        <v>388</v>
      </c>
      <c r="D41" s="277">
        <f ca="1">C44</f>
        <v>6.9999999999999999E-4</v>
      </c>
      <c r="E41" s="278" t="s">
        <v>1000</v>
      </c>
      <c r="F41" s="2036">
        <f ca="1">F22</f>
        <v>4.3499999999999997E-2</v>
      </c>
      <c r="G41" s="279" t="str">
        <f>IF('数据-取费表'!B22&lt;=1,"单利计息","复利计息")</f>
        <v>复利计息</v>
      </c>
    </row>
    <row r="42" spans="1:7" ht="13.5" customHeight="1">
      <c r="A42" s="282" t="s">
        <v>932</v>
      </c>
      <c r="B42" s="252" t="s">
        <v>970</v>
      </c>
      <c r="C42" s="284">
        <f ca="1">ROUND(IF('数据-取费表'!B22&lt;=1,C33*F22*'数据-取费表'!B20/2,C33*(POWER((1+F22),'数据-取费表'!B20/2)-1)),0)</f>
        <v>380</v>
      </c>
      <c r="D42" s="284"/>
      <c r="E42" s="284"/>
      <c r="F42" s="285"/>
      <c r="G42" s="3412" t="s">
        <v>1146</v>
      </c>
    </row>
    <row r="43" spans="1:7" ht="13.5" customHeight="1">
      <c r="A43" s="282" t="s">
        <v>934</v>
      </c>
      <c r="B43" s="252" t="s">
        <v>972</v>
      </c>
      <c r="C43" s="284">
        <f ca="1">ROUND(IF('数据-取费表'!B22&lt;=1,C39*F22*'数据-取费表'!B20/2,C39*(POWER((1+F22),'数据-取费表'!B20/2)-1)),0)</f>
        <v>8</v>
      </c>
      <c r="D43" s="284"/>
      <c r="E43" s="284"/>
      <c r="F43" s="285"/>
      <c r="G43" s="3413"/>
    </row>
    <row r="44" spans="1:7" ht="13.5" customHeight="1">
      <c r="A44" s="282" t="s">
        <v>936</v>
      </c>
      <c r="B44" s="252" t="s">
        <v>974</v>
      </c>
      <c r="C44" s="284">
        <f ca="1">ROUND(IF('数据-取费表'!B22&lt;=1,C40*F22*'数据-取费表'!B20/2,C40*(POWER((1+F22),'数据-取费表'!B20/2)-1)),4)</f>
        <v>6.9999999999999999E-4</v>
      </c>
      <c r="D44" s="284"/>
      <c r="E44" s="284"/>
      <c r="F44" s="285"/>
      <c r="G44" s="3414"/>
    </row>
    <row r="45" spans="1:7" s="228" customFormat="1" ht="13.5" customHeight="1">
      <c r="A45" s="246" t="s">
        <v>968</v>
      </c>
      <c r="B45" s="290" t="s">
        <v>979</v>
      </c>
      <c r="C45" s="291">
        <f ca="1">C46</f>
        <v>176</v>
      </c>
      <c r="D45" s="277">
        <f ca="1">C47</f>
        <v>2.9999999999999997E-4</v>
      </c>
      <c r="E45" s="278" t="s">
        <v>1000</v>
      </c>
      <c r="F45" s="2037">
        <f ca="1">F27</f>
        <v>0.03</v>
      </c>
      <c r="G45" s="293" t="s">
        <v>1003</v>
      </c>
    </row>
    <row r="46" spans="1:7" s="228" customFormat="1" ht="13.5" customHeight="1">
      <c r="A46" s="282" t="s">
        <v>932</v>
      </c>
      <c r="B46" s="294" t="s">
        <v>1004</v>
      </c>
      <c r="C46" s="295">
        <f ca="1">ROUND((C33+C39)*F27,0)</f>
        <v>176</v>
      </c>
      <c r="D46" s="308"/>
      <c r="E46" s="278"/>
      <c r="F46" s="292"/>
      <c r="G46" s="293"/>
    </row>
    <row r="47" spans="1:7" s="228" customFormat="1" ht="13.5" customHeight="1">
      <c r="A47" s="282" t="s">
        <v>934</v>
      </c>
      <c r="B47" s="294" t="s">
        <v>1005</v>
      </c>
      <c r="C47" s="284">
        <f ca="1">ROUND(C40*F27,4)</f>
        <v>2.9999999999999997E-4</v>
      </c>
      <c r="D47" s="308"/>
      <c r="E47" s="278"/>
      <c r="F47" s="292"/>
      <c r="G47" s="293"/>
    </row>
    <row r="48" spans="1:7" s="228" customFormat="1" ht="13.5" customHeight="1">
      <c r="A48" s="246" t="s">
        <v>978</v>
      </c>
      <c r="B48" s="247" t="s">
        <v>984</v>
      </c>
      <c r="C48" s="2038">
        <f>C30</f>
        <v>9.1800000000000007E-2</v>
      </c>
      <c r="D48" s="2032">
        <f ca="1">ROUND(((C34+C36+C37)/1.09*0.09+C35/1.06*0.06)*(1+'数据-取费表'!B62+'数据-取费表'!B63+'数据-取费表'!B64),0)</f>
        <v>466</v>
      </c>
      <c r="E48" s="274"/>
      <c r="F48" s="2036">
        <f>F30</f>
        <v>5.6000000000000001E-2</v>
      </c>
      <c r="G48" s="279" t="s">
        <v>1006</v>
      </c>
    </row>
    <row r="49" spans="1:7" ht="16.5" customHeight="1">
      <c r="A49" s="246" t="s">
        <v>983</v>
      </c>
      <c r="B49" s="247" t="s">
        <v>1147</v>
      </c>
      <c r="C49" s="2032">
        <f ca="1">ROUND((C33+C39+C41+C45-C48)/(1-C40-D41-D45-C48),0)</f>
        <v>7179</v>
      </c>
      <c r="D49" s="274"/>
      <c r="E49" s="274"/>
      <c r="F49" s="309"/>
      <c r="G49" s="279" t="s">
        <v>1008</v>
      </c>
    </row>
    <row r="50" spans="1:7" s="230" customFormat="1">
      <c r="A50" s="246" t="s">
        <v>1009</v>
      </c>
      <c r="B50" s="247" t="s">
        <v>1010</v>
      </c>
      <c r="C50" s="274"/>
      <c r="D50" s="274"/>
      <c r="E50" s="274"/>
      <c r="F50" s="2039">
        <v>1</v>
      </c>
      <c r="G50" s="293"/>
    </row>
    <row r="51" spans="1:7" ht="16.5" customHeight="1">
      <c r="A51" s="246" t="s">
        <v>1012</v>
      </c>
      <c r="B51" s="247" t="s">
        <v>1148</v>
      </c>
      <c r="C51" s="274">
        <f ca="1">ROUND(C49*F50,0)</f>
        <v>7179</v>
      </c>
      <c r="D51" s="274"/>
      <c r="E51" s="274"/>
      <c r="F51" s="309"/>
      <c r="G51" s="279" t="s">
        <v>1014</v>
      </c>
    </row>
    <row r="52" spans="1:7" s="227" customFormat="1" ht="15.75">
      <c r="A52" s="310" t="s">
        <v>1015</v>
      </c>
      <c r="B52" s="311"/>
      <c r="C52" s="312">
        <f ca="1">C31+C51</f>
        <v>23182</v>
      </c>
      <c r="D52" s="311"/>
      <c r="E52" s="311"/>
      <c r="F52" s="311"/>
      <c r="G52" s="313"/>
    </row>
    <row r="55" spans="1:7" ht="15">
      <c r="B55" s="314" t="s">
        <v>1016</v>
      </c>
      <c r="C55" s="315"/>
    </row>
    <row r="56" spans="1:7">
      <c r="B56" s="316" t="s">
        <v>1017</v>
      </c>
      <c r="C56" s="318">
        <f ca="1">1-C57</f>
        <v>0.69</v>
      </c>
    </row>
    <row r="57" spans="1:7">
      <c r="B57" s="316" t="s">
        <v>1018</v>
      </c>
      <c r="C57" s="317">
        <f ca="1">ROUND(C51/C52,3)</f>
        <v>0.31</v>
      </c>
    </row>
  </sheetData>
  <sheetProtection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423" customWidth="1"/>
    <col min="2" max="2" width="25.75" style="1934" customWidth="1"/>
    <col min="3" max="3" width="10.375" style="1935" customWidth="1"/>
    <col min="4" max="4" width="9.875" style="1934" customWidth="1"/>
    <col min="5" max="5" width="9.5" style="423" customWidth="1"/>
    <col min="6" max="6" width="10.125" style="1934" customWidth="1"/>
    <col min="7" max="7" width="10.75" style="1934" customWidth="1"/>
    <col min="8" max="8" width="10" style="1934" customWidth="1"/>
    <col min="9" max="11" width="9.5" style="1934" customWidth="1"/>
    <col min="12" max="12" width="9" style="1934" customWidth="1"/>
    <col min="13" max="13" width="10.5" style="1934" customWidth="1"/>
    <col min="14" max="254" width="9" style="1934" customWidth="1"/>
    <col min="255" max="16384" width="6.625" style="1934"/>
  </cols>
  <sheetData>
    <row r="1" spans="1:33" ht="20.25">
      <c r="A1" s="234" t="s">
        <v>1149</v>
      </c>
      <c r="B1" s="1748"/>
      <c r="C1" s="1936"/>
      <c r="D1" s="1937"/>
      <c r="E1" s="1938"/>
      <c r="F1" s="1938"/>
      <c r="G1" s="1939"/>
      <c r="H1" s="1938"/>
      <c r="I1" s="1938"/>
      <c r="J1" s="1938"/>
      <c r="K1" s="2008">
        <f>MATCH(C1,'数据-取费表'!A6:A16,0)+5</f>
        <v>7</v>
      </c>
    </row>
    <row r="2" spans="1:33" ht="18" customHeight="1">
      <c r="A2" s="238" t="s">
        <v>923</v>
      </c>
      <c r="B2" s="242">
        <f ca="1">C32</f>
        <v>0</v>
      </c>
      <c r="C2" s="1940" t="s">
        <v>1150</v>
      </c>
      <c r="D2" s="1940"/>
      <c r="E2" s="1938"/>
      <c r="F2" s="1938"/>
      <c r="G2" s="1938"/>
      <c r="H2" s="1938"/>
      <c r="I2" s="1938"/>
      <c r="J2" s="1938"/>
      <c r="K2" s="1938"/>
    </row>
    <row r="3" spans="1:33" ht="18" customHeight="1">
      <c r="A3" s="241" t="s">
        <v>925</v>
      </c>
      <c r="B3" s="242">
        <f ca="1">ROUND(B2*10000/IF(C1="",'数据-汇总表'!E3,INDIRECT("'数据-取费表'!K"&amp;$K$1)),0)</f>
        <v>0</v>
      </c>
      <c r="C3" s="1940" t="s">
        <v>1151</v>
      </c>
      <c r="D3" s="1940"/>
      <c r="E3" s="1938"/>
      <c r="F3" s="1938"/>
      <c r="G3" s="1938"/>
      <c r="H3" s="1938"/>
      <c r="I3" s="1938"/>
      <c r="J3" s="1938"/>
      <c r="K3" s="1938"/>
    </row>
    <row r="4" spans="1:33" s="1925" customFormat="1" ht="16.5" customHeight="1">
      <c r="A4" s="1941" t="s">
        <v>1152</v>
      </c>
      <c r="B4" s="1942"/>
      <c r="C4" s="1943">
        <f>SUM(C8:K8)</f>
        <v>0</v>
      </c>
      <c r="D4" s="1942"/>
      <c r="E4" s="1942"/>
      <c r="F4" s="1942"/>
      <c r="G4" s="1942"/>
      <c r="H4" s="1942"/>
      <c r="I4" s="1942"/>
      <c r="J4" s="1942"/>
      <c r="K4" s="2009"/>
    </row>
    <row r="5" spans="1:33" s="1926" customFormat="1" ht="24.75">
      <c r="A5" s="1944" t="s">
        <v>1153</v>
      </c>
      <c r="B5" s="1945" t="s">
        <v>1154</v>
      </c>
      <c r="C5" s="1946" t="s">
        <v>1155</v>
      </c>
      <c r="D5" s="1946" t="s">
        <v>1156</v>
      </c>
      <c r="E5" s="1946" t="s">
        <v>1157</v>
      </c>
      <c r="F5" s="1946"/>
      <c r="G5" s="1946"/>
      <c r="H5" s="1946"/>
      <c r="I5" s="1946"/>
      <c r="J5" s="1946"/>
      <c r="K5" s="1946"/>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7" customFormat="1" ht="13.5" customHeight="1">
      <c r="A6" s="1947" t="s">
        <v>833</v>
      </c>
      <c r="B6" s="1711" t="s">
        <v>1158</v>
      </c>
      <c r="C6" s="1948"/>
      <c r="D6" s="1948"/>
      <c r="E6" s="1948"/>
      <c r="F6" s="1948"/>
      <c r="G6" s="1948"/>
      <c r="H6" s="1948"/>
      <c r="I6" s="1948"/>
      <c r="J6" s="1948"/>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7" customFormat="1" ht="13.5" customHeight="1">
      <c r="A7" s="1947" t="s">
        <v>837</v>
      </c>
      <c r="B7" s="1711" t="s">
        <v>364</v>
      </c>
      <c r="C7" s="1949">
        <f>SUMIF('数据-汇总表'!$C19:$C33,假设开发法!C5,'数据-汇总表'!$E19:$E33)</f>
        <v>0</v>
      </c>
      <c r="D7" s="1949">
        <f>SUMIF('数据-汇总表'!$C19:$C33,假设开发法!D5,'数据-汇总表'!$E19:$E33)</f>
        <v>0</v>
      </c>
      <c r="E7" s="1949">
        <f>SUMIF('数据-汇总表'!$C19:$C33,假设开发法!E5,'数据-汇总表'!$E19:$E33)</f>
        <v>0</v>
      </c>
      <c r="F7" s="1949">
        <f>SUMIF('数据-汇总表'!$C19:$C33,假设开发法!F5,'数据-汇总表'!$E19:$E33)</f>
        <v>0</v>
      </c>
      <c r="G7" s="1949">
        <f>SUMIF('数据-汇总表'!$C19:$C33,假设开发法!G5,'数据-汇总表'!$E19:$E33)</f>
        <v>0</v>
      </c>
      <c r="H7" s="1949">
        <f>SUMIF('数据-汇总表'!$C19:$C33,假设开发法!H5,'数据-汇总表'!$E19:$E33)</f>
        <v>0</v>
      </c>
      <c r="I7" s="1949">
        <f>SUMIF('数据-汇总表'!$C19:$C33,假设开发法!I5,'数据-汇总表'!$E19:$E33)</f>
        <v>0</v>
      </c>
      <c r="J7" s="1949">
        <f>SUMIF('数据-汇总表'!$C19:$C33,假设开发法!J5,'数据-汇总表'!$E19:$E33)</f>
        <v>0</v>
      </c>
      <c r="K7" s="2013">
        <f>SUMIF('数据-汇总表'!$C19:$C33,假设开发法!K5,'数据-汇总表'!$E19:$E33)</f>
        <v>0</v>
      </c>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7" customFormat="1" ht="13.5" customHeight="1">
      <c r="A8" s="1950" t="s">
        <v>882</v>
      </c>
      <c r="B8" s="1951" t="s">
        <v>1159</v>
      </c>
      <c r="C8" s="1952"/>
      <c r="D8" s="1952"/>
      <c r="E8" s="1952"/>
      <c r="F8" s="1953"/>
      <c r="G8" s="1953"/>
      <c r="H8" s="1953"/>
      <c r="I8" s="1953"/>
      <c r="J8" s="1953"/>
      <c r="K8" s="2014"/>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5" customFormat="1" ht="16.5" customHeight="1">
      <c r="A9" s="1941" t="s">
        <v>1160</v>
      </c>
      <c r="B9" s="1942"/>
      <c r="C9" s="1942"/>
      <c r="D9" s="1942"/>
      <c r="E9" s="1942"/>
      <c r="F9" s="1942"/>
      <c r="G9" s="1942"/>
      <c r="H9" s="1942"/>
      <c r="I9" s="1942"/>
      <c r="J9" s="1942"/>
      <c r="K9" s="2009"/>
    </row>
    <row r="10" spans="1:33" s="1928" customFormat="1" ht="13.5" customHeight="1">
      <c r="A10" s="1944" t="s">
        <v>1153</v>
      </c>
      <c r="B10" s="1954" t="s">
        <v>1154</v>
      </c>
      <c r="C10" s="1955" t="s">
        <v>1161</v>
      </c>
      <c r="D10" s="1956" t="s">
        <v>1162</v>
      </c>
      <c r="E10" s="1956" t="s">
        <v>1163</v>
      </c>
      <c r="F10" s="1956" t="s">
        <v>1164</v>
      </c>
      <c r="G10" s="1954"/>
      <c r="H10" s="1957"/>
      <c r="I10" s="1957"/>
      <c r="J10" s="1957"/>
      <c r="K10" s="2015"/>
    </row>
    <row r="11" spans="1:33" s="1929" customFormat="1" ht="13.5" customHeight="1">
      <c r="A11" s="1958" t="s">
        <v>938</v>
      </c>
      <c r="B11" s="1959" t="s">
        <v>1165</v>
      </c>
      <c r="C11" s="1960">
        <f ca="1">IF(C1="",'数据-取费表'!P16,INDIRECT("'数据-取费表'!p"&amp;$K$1)+INDIRECT("'数据-取费表'!ar"&amp;$K$1))</f>
        <v>0</v>
      </c>
      <c r="D11" s="1961"/>
      <c r="E11" s="1714"/>
      <c r="F11" s="1962">
        <f ca="1">1-IF('数据-取费表'!B24=0,1,IF(C1="",'数据-取费表'!N16,INDIRECT("'数据-取费表'!n"&amp;$K$1)))</f>
        <v>0</v>
      </c>
      <c r="G11" s="1954"/>
      <c r="H11" s="1957"/>
      <c r="I11" s="1957"/>
      <c r="J11" s="1957"/>
      <c r="K11" s="2015"/>
    </row>
    <row r="12" spans="1:33" s="1929" customFormat="1" ht="13.5" customHeight="1">
      <c r="A12" s="1958" t="s">
        <v>941</v>
      </c>
      <c r="B12" s="1959" t="s">
        <v>1166</v>
      </c>
      <c r="C12" s="381">
        <f ca="1">ROUND(C11*F12,0)</f>
        <v>0</v>
      </c>
      <c r="D12" s="1961"/>
      <c r="E12" s="1714"/>
      <c r="F12" s="1963">
        <f>'数据-取费表'!B33</f>
        <v>0.03</v>
      </c>
      <c r="G12" s="1954" t="s">
        <v>1167</v>
      </c>
      <c r="H12" s="1957"/>
      <c r="I12" s="1957"/>
      <c r="J12" s="1957"/>
      <c r="K12" s="2015"/>
    </row>
    <row r="13" spans="1:33" s="1929" customFormat="1" ht="13.5" customHeight="1">
      <c r="A13" s="1958" t="s">
        <v>1168</v>
      </c>
      <c r="B13" s="1959" t="s">
        <v>1169</v>
      </c>
      <c r="C13" s="381">
        <f ca="1">ROUND(IF(C1="",SUMIF('数据-取费表'!C:C,"住宅",'数据-取费表'!P:P)*F13,IF(INDIRECT("'数据-取费表'!c"&amp;$K$1)="住宅",INDIRECT("'数据-取费表'!P"&amp;$K$1)*F13,0)),0)</f>
        <v>0</v>
      </c>
      <c r="D13" s="1964"/>
      <c r="E13" s="1714"/>
      <c r="F13" s="1963">
        <f>'数据-取费表'!B34</f>
        <v>0.05</v>
      </c>
      <c r="G13" s="1954" t="s">
        <v>1170</v>
      </c>
      <c r="H13" s="1957"/>
      <c r="I13" s="1957"/>
      <c r="J13" s="1957"/>
      <c r="K13" s="2015"/>
    </row>
    <row r="14" spans="1:33" s="1930" customFormat="1" ht="13.5" customHeight="1">
      <c r="A14" s="1958" t="s">
        <v>1171</v>
      </c>
      <c r="B14" s="1959" t="s">
        <v>1172</v>
      </c>
      <c r="C14" s="381">
        <f ca="1">ROUND(D14*E14*F11/10000,0)</f>
        <v>0</v>
      </c>
      <c r="D14" s="1964">
        <f ca="1">IF(C1="",'数据-汇总表'!E3,INDIRECT("'数据-取费表'!K"&amp;$K$1)+INDIRECT("'数据-取费表'!S"&amp;$K$1))</f>
        <v>1</v>
      </c>
      <c r="E14" s="381">
        <f>'数据-取费表'!B35</f>
        <v>200</v>
      </c>
      <c r="F14" s="1963"/>
      <c r="G14" s="1954" t="s">
        <v>1173</v>
      </c>
      <c r="H14" s="1957"/>
      <c r="I14" s="1957"/>
      <c r="J14" s="1957"/>
      <c r="K14" s="2015"/>
      <c r="L14" s="1929"/>
      <c r="M14" s="1929"/>
      <c r="N14" s="1929"/>
      <c r="O14" s="1929"/>
      <c r="P14" s="1929"/>
      <c r="Q14" s="1929"/>
      <c r="R14" s="1929"/>
      <c r="S14" s="1929"/>
      <c r="T14" s="1929"/>
      <c r="U14" s="1929"/>
      <c r="V14" s="1929"/>
      <c r="W14" s="1929"/>
      <c r="X14" s="1929"/>
      <c r="Y14" s="1929"/>
      <c r="Z14" s="1929"/>
      <c r="AA14" s="1929"/>
      <c r="AB14" s="1929"/>
      <c r="AC14" s="1929"/>
      <c r="AD14" s="1929"/>
      <c r="AE14" s="1929"/>
      <c r="AF14" s="1929"/>
      <c r="AG14" s="1929"/>
    </row>
    <row r="15" spans="1:33" s="1930" customFormat="1" ht="13.5" customHeight="1">
      <c r="A15" s="1958" t="s">
        <v>1174</v>
      </c>
      <c r="B15" s="1959" t="s">
        <v>1175</v>
      </c>
      <c r="C15" s="1965">
        <f ca="1">ROUND(C11*F15,0)</f>
        <v>0</v>
      </c>
      <c r="D15" s="1966"/>
      <c r="E15" s="1965"/>
      <c r="F15" s="1967">
        <f>'数据-取费表'!B36</f>
        <v>1.4999999999999999E-2</v>
      </c>
      <c r="G15" s="1711" t="s">
        <v>1176</v>
      </c>
      <c r="H15" s="1825"/>
      <c r="I15" s="1825"/>
      <c r="J15" s="1825"/>
      <c r="K15" s="1826"/>
      <c r="L15" s="1929"/>
      <c r="M15" s="1929"/>
      <c r="N15" s="1929"/>
      <c r="O15" s="1929"/>
      <c r="P15" s="1929"/>
      <c r="Q15" s="1929"/>
      <c r="R15" s="1929"/>
      <c r="S15" s="1929"/>
      <c r="T15" s="1929"/>
      <c r="U15" s="1929"/>
      <c r="V15" s="1929"/>
      <c r="W15" s="1929"/>
      <c r="X15" s="1929"/>
      <c r="Y15" s="1929"/>
      <c r="Z15" s="1929"/>
      <c r="AA15" s="1929"/>
      <c r="AB15" s="1929"/>
      <c r="AC15" s="1929"/>
      <c r="AD15" s="1929"/>
      <c r="AE15" s="1929"/>
      <c r="AF15" s="1929"/>
      <c r="AG15" s="1929"/>
    </row>
    <row r="16" spans="1:33" s="1930" customFormat="1" ht="13.5" customHeight="1">
      <c r="A16" s="1958" t="s">
        <v>856</v>
      </c>
      <c r="B16" s="1959" t="s">
        <v>1177</v>
      </c>
      <c r="C16" s="1965">
        <f ca="1">SUM(C11:C15)</f>
        <v>0</v>
      </c>
      <c r="D16" s="1966"/>
      <c r="E16" s="1965"/>
      <c r="F16" s="1967"/>
      <c r="G16" s="1711"/>
      <c r="H16" s="1968"/>
      <c r="I16" s="1825"/>
      <c r="J16" s="1825"/>
      <c r="K16" s="1826"/>
      <c r="L16" s="1929"/>
      <c r="M16" s="1929"/>
      <c r="N16" s="1929"/>
      <c r="O16" s="1929"/>
      <c r="P16" s="1929"/>
      <c r="Q16" s="1929"/>
      <c r="R16" s="1929"/>
      <c r="S16" s="1929"/>
      <c r="T16" s="1929"/>
      <c r="U16" s="1929"/>
      <c r="V16" s="1929"/>
      <c r="W16" s="1929"/>
      <c r="X16" s="1929"/>
      <c r="Y16" s="1929"/>
      <c r="Z16" s="1929"/>
      <c r="AA16" s="1929"/>
      <c r="AB16" s="1929"/>
      <c r="AC16" s="1929"/>
      <c r="AD16" s="1929"/>
      <c r="AE16" s="1929"/>
      <c r="AF16" s="1929"/>
      <c r="AG16" s="1929"/>
    </row>
    <row r="17" spans="1:33" s="1930" customFormat="1" ht="13.5" customHeight="1">
      <c r="A17" s="1958" t="s">
        <v>860</v>
      </c>
      <c r="B17" s="1959" t="s">
        <v>1178</v>
      </c>
      <c r="C17" s="381">
        <f ca="1">ROUND(D17*E17/10000,0)</f>
        <v>0</v>
      </c>
      <c r="D17" s="1964">
        <f ca="1">D14</f>
        <v>1</v>
      </c>
      <c r="E17" s="381">
        <f>'数据-取费表'!B32</f>
        <v>0</v>
      </c>
      <c r="F17" s="1966"/>
      <c r="G17" s="1711" t="s">
        <v>1179</v>
      </c>
      <c r="H17" s="1968"/>
      <c r="I17" s="1825"/>
      <c r="J17" s="1825"/>
      <c r="K17" s="1826"/>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row>
    <row r="18" spans="1:33" s="1929" customFormat="1" ht="13.5" customHeight="1">
      <c r="A18" s="1958" t="s">
        <v>1180</v>
      </c>
      <c r="B18" s="1959" t="s">
        <v>1181</v>
      </c>
      <c r="C18" s="381">
        <f ca="1">C19+C20-IF(C1="",'数据-取费表'!B29,IF(G18="已全部缴纳",C19+C20,H18))</f>
        <v>0</v>
      </c>
      <c r="D18" s="1964"/>
      <c r="E18" s="381"/>
      <c r="F18" s="1963"/>
      <c r="G18" s="1969"/>
      <c r="H18" s="1970"/>
      <c r="I18" s="2016" t="s">
        <v>1182</v>
      </c>
      <c r="J18" s="1825"/>
      <c r="K18" s="1826"/>
    </row>
    <row r="19" spans="1:33" s="1929" customFormat="1" ht="13.5" customHeight="1">
      <c r="A19" s="1958" t="s">
        <v>938</v>
      </c>
      <c r="B19" s="1959" t="s">
        <v>352</v>
      </c>
      <c r="C19" s="381">
        <f ca="1">ROUND(D19*E19/10000,0)</f>
        <v>0</v>
      </c>
      <c r="D19" s="1964">
        <f ca="1">IF(C1="",'数据-汇总表'!E5,IF(INDIRECT("'数据-取费表'!c"&amp;$K$1)="住宅",INDIRECT("'数据-取费表'!k"&amp;$K$1),0))</f>
        <v>1</v>
      </c>
      <c r="E19" s="381">
        <f>'数据-取费表'!B27</f>
        <v>160</v>
      </c>
      <c r="F19" s="1963"/>
      <c r="G19" s="1824"/>
      <c r="H19" s="1971"/>
      <c r="I19" s="1972"/>
      <c r="J19" s="1972"/>
      <c r="K19" s="2017"/>
    </row>
    <row r="20" spans="1:33" s="1929" customFormat="1" ht="13.5" customHeight="1">
      <c r="A20" s="1958" t="s">
        <v>941</v>
      </c>
      <c r="B20" s="1959" t="s">
        <v>1183</v>
      </c>
      <c r="C20" s="381">
        <f ca="1">ROUND(D20*E20/10000,0)</f>
        <v>0</v>
      </c>
      <c r="D20" s="1964">
        <f ca="1">IF(C1="",'数据-汇总表'!E6,IF(INDIRECT("'数据-取费表'!c"&amp;$K$1)="住宅",INDIRECT("'数据-取费表'!s"&amp;$K$1),INDIRECT("'数据-取费表'!k"&amp;$K$1)+INDIRECT("'数据-取费表'!s"&amp;$K$1)))</f>
        <v>0</v>
      </c>
      <c r="E20" s="381">
        <f>'数据-取费表'!B28</f>
        <v>0</v>
      </c>
      <c r="F20" s="1963"/>
      <c r="G20" s="1824"/>
      <c r="H20" s="1972"/>
      <c r="I20" s="1972"/>
      <c r="J20" s="1972"/>
      <c r="K20" s="2017"/>
    </row>
    <row r="21" spans="1:33" s="1929" customFormat="1" ht="13.5" customHeight="1">
      <c r="A21" s="1947" t="s">
        <v>833</v>
      </c>
      <c r="B21" s="1973" t="s">
        <v>1184</v>
      </c>
      <c r="C21" s="1974">
        <f ca="1">C16+C17+C18</f>
        <v>0</v>
      </c>
      <c r="D21" s="1975"/>
      <c r="E21" s="1976"/>
      <c r="F21" s="1976"/>
      <c r="G21" s="1711" t="s">
        <v>1185</v>
      </c>
      <c r="H21" s="1825"/>
      <c r="I21" s="1825"/>
      <c r="J21" s="1825"/>
      <c r="K21" s="1826"/>
    </row>
    <row r="22" spans="1:33" s="1929" customFormat="1" ht="13.5" customHeight="1">
      <c r="A22" s="1947" t="s">
        <v>837</v>
      </c>
      <c r="B22" s="1973" t="s">
        <v>1186</v>
      </c>
      <c r="C22" s="1974">
        <f ca="1">ROUND(C21*F22,0)</f>
        <v>0</v>
      </c>
      <c r="D22" s="1976"/>
      <c r="E22" s="1976"/>
      <c r="F22" s="1977">
        <f>'数据-取费表'!B37</f>
        <v>0.02</v>
      </c>
      <c r="G22" s="1954" t="s">
        <v>1187</v>
      </c>
      <c r="H22" s="1957"/>
      <c r="I22" s="1957"/>
      <c r="J22" s="1957"/>
      <c r="K22" s="2015"/>
    </row>
    <row r="23" spans="1:33" s="1929" customFormat="1" ht="13.5" customHeight="1">
      <c r="A23" s="1947" t="s">
        <v>882</v>
      </c>
      <c r="B23" s="1973" t="s">
        <v>1188</v>
      </c>
      <c r="C23" s="1974">
        <f ca="1">ROUND(C4*F23*F11,0)</f>
        <v>0</v>
      </c>
      <c r="D23" s="1976"/>
      <c r="E23" s="1976"/>
      <c r="F23" s="1977">
        <f>'数据-取费表'!B38</f>
        <v>0.01</v>
      </c>
      <c r="G23" s="1954" t="s">
        <v>1189</v>
      </c>
      <c r="H23" s="1957"/>
      <c r="I23" s="1957"/>
      <c r="J23" s="1957"/>
      <c r="K23" s="2015"/>
    </row>
    <row r="24" spans="1:33" s="1929" customFormat="1" ht="13.5" customHeight="1">
      <c r="A24" s="1947" t="s">
        <v>885</v>
      </c>
      <c r="B24" s="1973" t="s">
        <v>1190</v>
      </c>
      <c r="C24" s="1978">
        <f>ROUND(F24/(1+'数据-取费表'!C42),4)</f>
        <v>0</v>
      </c>
      <c r="D24" s="1976" t="s">
        <v>1191</v>
      </c>
      <c r="E24" s="1976"/>
      <c r="F24" s="1977">
        <f>IF(项目基本情况!B8="出让",0,'数据-取费表'!B48+'数据-取费表'!B49)</f>
        <v>0</v>
      </c>
      <c r="G24" s="1954" t="s">
        <v>1192</v>
      </c>
      <c r="H24" s="1979"/>
      <c r="I24" s="1979"/>
      <c r="J24" s="1979"/>
      <c r="K24" s="2018"/>
    </row>
    <row r="25" spans="1:33" s="1929" customFormat="1" ht="13.5" customHeight="1">
      <c r="A25" s="1947" t="s">
        <v>889</v>
      </c>
      <c r="B25" s="1975" t="s">
        <v>1193</v>
      </c>
      <c r="C25" s="1980">
        <f ca="1">C27</f>
        <v>0</v>
      </c>
      <c r="D25" s="1978">
        <f ca="1">C26</f>
        <v>0</v>
      </c>
      <c r="E25" s="1981" t="s">
        <v>1191</v>
      </c>
      <c r="F25" s="1982">
        <f ca="1">'数据-取费表'!B40</f>
        <v>4.3499999999999997E-2</v>
      </c>
      <c r="G25" s="1711" t="str">
        <f>IF('数据-取费表'!B22&lt;=1,"单利计息。","复利计息。")&amp;"后续开发成本、管理费用及销售费用产生的利息。"</f>
        <v>复利计息。后续开发成本、管理费用及销售费用产生的利息。</v>
      </c>
      <c r="H25" s="1979"/>
      <c r="I25" s="1979"/>
      <c r="J25" s="1979"/>
      <c r="K25" s="2018"/>
    </row>
    <row r="26" spans="1:33" s="1931" customFormat="1" ht="13.5" customHeight="1">
      <c r="A26" s="1958" t="s">
        <v>856</v>
      </c>
      <c r="B26" s="1983" t="s">
        <v>1194</v>
      </c>
      <c r="C26" s="1984">
        <f ca="1">ROUND(IF('数据-取费表'!B22&lt;=1,(1+C24)*F25*'数据-取费表'!B24,(1+C24)*(POWER((1+F25),'数据-取费表'!B24)-1)),4)</f>
        <v>0</v>
      </c>
      <c r="D26" s="1985"/>
      <c r="E26" s="1986"/>
      <c r="F26" s="1987"/>
      <c r="G26" s="1988" t="str">
        <f>IF('数据-取费表'!B22&lt;=1,"（(1)+取得税费率/(1+5%)）×年利率×建设期","（(1)+取得税费率）/(1+5%)×((1+年利率)^建设期-1)")</f>
        <v>（(1)+取得税费率）/(1+5%)×((1+年利率)^建设期-1)</v>
      </c>
      <c r="H26" s="1825"/>
      <c r="I26" s="1825"/>
      <c r="J26" s="1825"/>
      <c r="K26" s="1826"/>
    </row>
    <row r="27" spans="1:33" s="1931" customFormat="1" ht="13.5" customHeight="1">
      <c r="A27" s="1958" t="s">
        <v>860</v>
      </c>
      <c r="B27" s="1983" t="s">
        <v>1195</v>
      </c>
      <c r="C27" s="1989">
        <f ca="1">ROUND(IF('数据-取费表'!B22&lt;=1,(C21+C22+C23)*F25*'数据-取费表'!B24/2,(C21+C22+C23)*(POWER((1+F25),'数据-取费表'!B24/2)-1)),0)</f>
        <v>0</v>
      </c>
      <c r="D27" s="1985"/>
      <c r="E27" s="1986"/>
      <c r="F27" s="1987"/>
      <c r="G27" s="1988" t="str">
        <f>IF('数据-取费表'!B22&lt;=1,"（1）-（3）项×年利率×建设期÷2","（1）-（3）项×((1+年利率)^(建设期÷2)-1)")</f>
        <v>（1）-（3）项×((1+年利率)^(建设期÷2)-1)</v>
      </c>
      <c r="H27" s="1825"/>
      <c r="I27" s="1825"/>
      <c r="J27" s="1825"/>
      <c r="K27" s="1826"/>
    </row>
    <row r="28" spans="1:33" s="1932" customFormat="1" ht="13.5" customHeight="1">
      <c r="A28" s="1947" t="s">
        <v>890</v>
      </c>
      <c r="B28" s="1990" t="s">
        <v>1196</v>
      </c>
      <c r="C28" s="1991">
        <f ca="1">C30</f>
        <v>0</v>
      </c>
      <c r="D28" s="1978">
        <f ca="1">C29</f>
        <v>0</v>
      </c>
      <c r="E28" s="1981" t="s">
        <v>1191</v>
      </c>
      <c r="F28" s="1201">
        <f ca="1">IF(C1="",'数据-取费表'!Q16,INDIRECT("'数据-取费表'!q"&amp;$K$1))</f>
        <v>0.03</v>
      </c>
      <c r="G28" s="1992"/>
      <c r="H28" s="1979"/>
      <c r="I28" s="1979"/>
      <c r="J28" s="1979"/>
      <c r="K28" s="2018"/>
    </row>
    <row r="29" spans="1:33" s="1933" customFormat="1" ht="13.5" customHeight="1">
      <c r="A29" s="1958" t="s">
        <v>856</v>
      </c>
      <c r="B29" s="1993" t="s">
        <v>1197</v>
      </c>
      <c r="C29" s="1985">
        <f ca="1">ROUND((1+C24)*F28*'数据-取费表'!B24/'数据-取费表'!B20,4)</f>
        <v>0</v>
      </c>
      <c r="D29" s="1985"/>
      <c r="E29" s="1986"/>
      <c r="F29" s="1994"/>
      <c r="G29" s="1711" t="s">
        <v>1198</v>
      </c>
      <c r="H29" s="1825"/>
      <c r="I29" s="1825"/>
      <c r="J29" s="1825"/>
      <c r="K29" s="1826"/>
    </row>
    <row r="30" spans="1:33" s="1933" customFormat="1" ht="13.5" customHeight="1">
      <c r="A30" s="1958" t="s">
        <v>860</v>
      </c>
      <c r="B30" s="1993" t="s">
        <v>1199</v>
      </c>
      <c r="C30" s="1995">
        <f ca="1">ROUND((C21+C22+C23)*F28,0)</f>
        <v>0</v>
      </c>
      <c r="D30" s="1985"/>
      <c r="E30" s="1986"/>
      <c r="F30" s="1994"/>
      <c r="G30" s="1711"/>
      <c r="H30" s="1825"/>
      <c r="I30" s="1825"/>
      <c r="J30" s="1825"/>
      <c r="K30" s="1826"/>
    </row>
    <row r="31" spans="1:33" s="1929" customFormat="1" ht="13.5" customHeight="1">
      <c r="A31" s="1996" t="s">
        <v>1200</v>
      </c>
      <c r="B31" s="1997" t="s">
        <v>1201</v>
      </c>
      <c r="C31" s="1998">
        <f>ROUND(C4*F31/(1+'数据-取费表'!C42),0)</f>
        <v>0</v>
      </c>
      <c r="D31" s="1999"/>
      <c r="E31" s="2000"/>
      <c r="F31" s="2001">
        <f>'数据-取费表'!B41</f>
        <v>5.6000000000000001E-2</v>
      </c>
      <c r="G31" s="2002" t="s">
        <v>1202</v>
      </c>
      <c r="H31" s="2003"/>
      <c r="I31" s="2003"/>
      <c r="J31" s="2003"/>
      <c r="K31" s="2019"/>
    </row>
    <row r="32" spans="1:33" s="1928" customFormat="1" ht="13.5" customHeight="1">
      <c r="A32" s="2004" t="s">
        <v>1203</v>
      </c>
      <c r="B32" s="2005"/>
      <c r="C32" s="2006">
        <f ca="1">ROUND((C4-C21-C22-C23-C25-C28-C31)/(1+C24+D25+D28),0)</f>
        <v>0</v>
      </c>
      <c r="D32" s="2005"/>
      <c r="E32" s="2005"/>
      <c r="F32" s="2005"/>
      <c r="G32" s="2007" t="s">
        <v>1204</v>
      </c>
      <c r="H32" s="2005"/>
      <c r="I32" s="2005"/>
      <c r="J32" s="2005"/>
      <c r="K32" s="2020"/>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J19" sqref="J19"/>
    </sheetView>
  </sheetViews>
  <sheetFormatPr defaultColWidth="9" defaultRowHeight="12.75"/>
  <cols>
    <col min="1" max="1" width="9" style="230" customWidth="1"/>
    <col min="2" max="2" width="20.625" style="319" customWidth="1"/>
    <col min="3" max="3" width="11.875" style="319" customWidth="1"/>
    <col min="4" max="4" width="40.5" style="230" customWidth="1"/>
    <col min="5" max="5" width="15.75" style="230" customWidth="1"/>
    <col min="6" max="6" width="10.625" style="230" customWidth="1"/>
    <col min="7" max="7" width="4.875" style="230" customWidth="1"/>
    <col min="8" max="8" width="8.5" style="230" customWidth="1"/>
    <col min="9" max="9" width="21.25" style="230" customWidth="1"/>
    <col min="10" max="10" width="12.25" style="230" customWidth="1"/>
    <col min="11" max="11" width="45.125" style="1639" customWidth="1"/>
    <col min="12" max="12" width="16.375" style="230" customWidth="1"/>
    <col min="13" max="13" width="13" style="230" customWidth="1"/>
    <col min="14" max="14" width="13.75" style="838" customWidth="1"/>
    <col min="15" max="15" width="5.125" style="838" customWidth="1"/>
    <col min="16" max="16" width="25.75" style="838" customWidth="1"/>
    <col min="17" max="17" width="13.75" style="838" customWidth="1"/>
    <col min="18" max="18" width="20.5" style="838" customWidth="1"/>
    <col min="19" max="19" width="13.25" style="838" customWidth="1"/>
    <col min="20" max="37" width="9" style="838"/>
    <col min="38" max="16384" width="9" style="230"/>
  </cols>
  <sheetData>
    <row r="1" spans="1:37" s="1637" customFormat="1" ht="21">
      <c r="A1" s="1640" t="s">
        <v>1205</v>
      </c>
      <c r="B1" s="1191"/>
      <c r="C1" s="1641"/>
      <c r="D1" s="1642"/>
      <c r="E1" s="1643" t="s">
        <v>1206</v>
      </c>
      <c r="F1" s="1644">
        <f ca="1">J53</f>
        <v>0</v>
      </c>
      <c r="G1" s="1645">
        <f>MATCH(C1,'数据-取费表'!A6:A16,0)+5</f>
        <v>7</v>
      </c>
      <c r="H1" s="1646"/>
      <c r="I1" s="1809"/>
      <c r="J1" s="1809"/>
      <c r="K1" s="1810"/>
      <c r="L1" s="1809"/>
      <c r="M1" s="1809"/>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row>
    <row r="2" spans="1:37" ht="18" customHeight="1">
      <c r="A2" s="1647" t="s">
        <v>1207</v>
      </c>
      <c r="B2" s="1648" t="e">
        <f ca="1">C40+J29+L46</f>
        <v>#DIV/0!</v>
      </c>
      <c r="C2" s="1649" t="s">
        <v>1208</v>
      </c>
      <c r="D2" s="1649"/>
      <c r="E2" s="1651"/>
      <c r="F2" s="1652"/>
      <c r="G2" s="1653"/>
      <c r="H2" s="1654"/>
      <c r="I2" s="1654"/>
      <c r="J2" s="1654"/>
      <c r="K2" s="1812"/>
      <c r="L2" s="1654"/>
      <c r="M2" s="1654"/>
    </row>
    <row r="3" spans="1:37" ht="18" customHeight="1">
      <c r="A3" s="1655" t="s">
        <v>1209</v>
      </c>
      <c r="B3" s="1656">
        <f ca="1">IF(ISERROR(B2*10000/F43),0,ROUND(B2*10000/F43,0))</f>
        <v>0</v>
      </c>
      <c r="C3" s="1649" t="s">
        <v>1210</v>
      </c>
      <c r="D3" s="1649"/>
      <c r="E3" s="1651"/>
      <c r="F3" s="1652"/>
      <c r="G3" s="1653"/>
      <c r="H3" s="1657" t="s">
        <v>1211</v>
      </c>
      <c r="I3" s="1813"/>
      <c r="J3" s="1813"/>
      <c r="K3" s="1814"/>
      <c r="L3" s="1813"/>
      <c r="M3" s="1813"/>
    </row>
    <row r="4" spans="1:37" ht="18" customHeight="1">
      <c r="A4" s="1658" t="s">
        <v>1212</v>
      </c>
      <c r="B4" s="1659" t="s">
        <v>1213</v>
      </c>
      <c r="C4" s="1659" t="s">
        <v>1214</v>
      </c>
      <c r="D4" s="1659" t="s">
        <v>1215</v>
      </c>
      <c r="E4" s="1660" t="s">
        <v>1216</v>
      </c>
      <c r="F4" s="1661"/>
      <c r="G4" s="838"/>
      <c r="H4" s="1658" t="s">
        <v>1212</v>
      </c>
      <c r="I4" s="1659" t="s">
        <v>1213</v>
      </c>
      <c r="J4" s="1659" t="s">
        <v>1214</v>
      </c>
      <c r="K4" s="1659" t="s">
        <v>1215</v>
      </c>
      <c r="L4" s="1660" t="s">
        <v>1216</v>
      </c>
      <c r="M4" s="1661"/>
    </row>
    <row r="5" spans="1:37" ht="18" customHeight="1">
      <c r="A5" s="1662">
        <v>1</v>
      </c>
      <c r="B5" s="1663" t="s">
        <v>1217</v>
      </c>
      <c r="C5" s="1664">
        <f ca="1">C6+C10+C12</f>
        <v>0</v>
      </c>
      <c r="D5" s="1665" t="s">
        <v>1218</v>
      </c>
      <c r="E5" s="1666"/>
      <c r="F5" s="1667"/>
      <c r="G5" s="838"/>
      <c r="H5" s="1662">
        <v>1</v>
      </c>
      <c r="I5" s="1663" t="s">
        <v>1217</v>
      </c>
      <c r="J5" s="1664">
        <f ca="1">J6+J10+J12</f>
        <v>0</v>
      </c>
      <c r="K5" s="1665" t="s">
        <v>1218</v>
      </c>
      <c r="L5" s="1666"/>
      <c r="M5" s="1667"/>
    </row>
    <row r="6" spans="1:37" ht="18" customHeight="1">
      <c r="A6" s="1668" t="s">
        <v>833</v>
      </c>
      <c r="B6" s="3417" t="s">
        <v>1219</v>
      </c>
      <c r="C6" s="1669">
        <f ca="1">ROUND(F6*F8*F7*(1-F9)/10000,0)</f>
        <v>0</v>
      </c>
      <c r="D6" s="1670" t="s">
        <v>1220</v>
      </c>
      <c r="E6" s="1671" t="s">
        <v>1221</v>
      </c>
      <c r="F6" s="1672">
        <f ca="1">INDIRECT("'数据-取费表'!u"&amp;$G$1)</f>
        <v>0</v>
      </c>
      <c r="G6" s="838"/>
      <c r="H6" s="1668" t="s">
        <v>833</v>
      </c>
      <c r="I6" s="3417" t="s">
        <v>1219</v>
      </c>
      <c r="J6" s="1743">
        <f ca="1">ROUND(M6*M8*M7*(1-M9)/10000,0)</f>
        <v>0</v>
      </c>
      <c r="K6" s="1670" t="s">
        <v>1222</v>
      </c>
      <c r="L6" s="1671" t="s">
        <v>1221</v>
      </c>
      <c r="M6" s="1672">
        <f ca="1">INDIRECT("'数据-取费表'!z"&amp;$G$1)</f>
        <v>0</v>
      </c>
    </row>
    <row r="7" spans="1:37" ht="18" customHeight="1">
      <c r="A7" s="1673"/>
      <c r="B7" s="3418"/>
      <c r="C7" s="1674"/>
      <c r="D7" s="1675"/>
      <c r="E7" s="1676" t="s">
        <v>1223</v>
      </c>
      <c r="F7" s="1672">
        <f ca="1">IF(INDIRECT("'数据-取费表'!ah"&amp;$G$1)="",INDIRECT("'数据-取费表'!k"&amp;$G$1),INDIRECT("'数据-取费表'!ah"&amp;$G$1))</f>
        <v>0</v>
      </c>
      <c r="G7" s="838"/>
      <c r="H7" s="1677"/>
      <c r="I7" s="3418"/>
      <c r="J7" s="1678"/>
      <c r="K7" s="1675"/>
      <c r="L7" s="1671" t="s">
        <v>1223</v>
      </c>
      <c r="M7" s="1672">
        <f ca="1">F7</f>
        <v>0</v>
      </c>
    </row>
    <row r="8" spans="1:37" ht="18" customHeight="1">
      <c r="A8" s="1677"/>
      <c r="B8" s="3418"/>
      <c r="C8" s="1678"/>
      <c r="D8" s="1675"/>
      <c r="E8" s="1671" t="s">
        <v>1224</v>
      </c>
      <c r="F8" s="1672">
        <f ca="1">INDIRECT("'数据-取费表'!ai"&amp;$G$1)</f>
        <v>0</v>
      </c>
      <c r="G8" s="838"/>
      <c r="H8" s="1677"/>
      <c r="I8" s="3418"/>
      <c r="J8" s="1678"/>
      <c r="K8" s="1675"/>
      <c r="L8" s="1671" t="s">
        <v>1224</v>
      </c>
      <c r="M8" s="1672">
        <f ca="1">INDIRECT("'数据-取费表'!ai"&amp;$G$1)</f>
        <v>0</v>
      </c>
    </row>
    <row r="9" spans="1:37" ht="18" customHeight="1">
      <c r="A9" s="1677"/>
      <c r="B9" s="3419"/>
      <c r="C9" s="1678"/>
      <c r="D9" s="1675"/>
      <c r="E9" s="1671" t="s">
        <v>1225</v>
      </c>
      <c r="F9" s="1679">
        <f ca="1">INDIRECT("'数据-取费表'!w"&amp;$G$1)</f>
        <v>0</v>
      </c>
      <c r="G9" s="838"/>
      <c r="H9" s="1677"/>
      <c r="I9" s="3419"/>
      <c r="J9" s="1678"/>
      <c r="K9" s="1675"/>
      <c r="L9" s="1682" t="s">
        <v>1225</v>
      </c>
      <c r="M9" s="1687">
        <f ca="1">INDIRECT("'数据-取费表'!ab"&amp;$G$1)</f>
        <v>0</v>
      </c>
    </row>
    <row r="10" spans="1:37" ht="18" customHeight="1">
      <c r="A10" s="1668" t="s">
        <v>837</v>
      </c>
      <c r="B10" s="1680" t="s">
        <v>1226</v>
      </c>
      <c r="C10" s="380">
        <f ca="1">ROUND(IF(F10="押一",C6/12*F11,IF(F10="押二",C6/12*2*F11,IF(F10="押三",C6/12*3*F11,C11*F11))),0)</f>
        <v>0</v>
      </c>
      <c r="D10" s="1681" t="s">
        <v>1227</v>
      </c>
      <c r="E10" s="1682" t="s">
        <v>1228</v>
      </c>
      <c r="F10" s="1683"/>
      <c r="G10" s="838"/>
      <c r="H10" s="1668" t="s">
        <v>837</v>
      </c>
      <c r="I10" s="1680" t="s">
        <v>1226</v>
      </c>
      <c r="J10" s="1743">
        <f ca="1">ROUND(IF(M10="押一",J6/12*M11,IF(M10="押二",J6/12*2*M11,IF(M10="押三",J6/12*3*M11,J11*M11))),0)</f>
        <v>0</v>
      </c>
      <c r="K10" s="1681" t="s">
        <v>1227</v>
      </c>
      <c r="L10" s="1682" t="s">
        <v>1228</v>
      </c>
      <c r="M10" s="1683" t="s">
        <v>1229</v>
      </c>
    </row>
    <row r="11" spans="1:37" ht="18" customHeight="1">
      <c r="A11" s="1684"/>
      <c r="B11" s="1685" t="s">
        <v>1230</v>
      </c>
      <c r="C11" s="1686"/>
      <c r="D11" s="1918"/>
      <c r="E11" s="1682" t="s">
        <v>1231</v>
      </c>
      <c r="F11" s="1687">
        <f ca="1">'数据-取费表'!B39</f>
        <v>1.4999999999999999E-2</v>
      </c>
      <c r="G11" s="838"/>
      <c r="H11" s="1688"/>
      <c r="I11" s="1685" t="s">
        <v>1230</v>
      </c>
      <c r="J11" s="1686"/>
      <c r="K11" s="1817"/>
      <c r="L11" s="1682" t="s">
        <v>1231</v>
      </c>
      <c r="M11" s="1818">
        <f ca="1">'数据-取费表'!B39</f>
        <v>1.4999999999999999E-2</v>
      </c>
    </row>
    <row r="12" spans="1:37" ht="18" customHeight="1">
      <c r="A12" s="1689" t="s">
        <v>882</v>
      </c>
      <c r="B12" s="1690" t="s">
        <v>1232</v>
      </c>
      <c r="C12" s="1691"/>
      <c r="D12" s="1692"/>
      <c r="E12" s="1693"/>
      <c r="F12" s="1694"/>
      <c r="G12" s="838"/>
      <c r="H12" s="1689" t="s">
        <v>882</v>
      </c>
      <c r="I12" s="1690" t="s">
        <v>1232</v>
      </c>
      <c r="J12" s="1691"/>
      <c r="K12" s="1819"/>
      <c r="L12" s="1693"/>
      <c r="M12" s="1820"/>
    </row>
    <row r="13" spans="1:37" ht="18" customHeight="1">
      <c r="A13" s="1695">
        <v>2</v>
      </c>
      <c r="B13" s="1696" t="s">
        <v>1233</v>
      </c>
      <c r="C13" s="1697">
        <f ca="1">ROUND(C29*F13,0)</f>
        <v>0</v>
      </c>
      <c r="D13" s="1698" t="s">
        <v>1234</v>
      </c>
      <c r="E13" s="1698" t="s">
        <v>1235</v>
      </c>
      <c r="F13" s="1699">
        <f ca="1">INDIRECT("'数据-取费表'!y"&amp;$G$1)</f>
        <v>0</v>
      </c>
      <c r="G13" s="838"/>
      <c r="H13" s="1695">
        <v>2</v>
      </c>
      <c r="I13" s="1696" t="s">
        <v>1233</v>
      </c>
      <c r="J13" s="1821">
        <f ca="1">ROUND(J14*J15,0)</f>
        <v>0</v>
      </c>
      <c r="K13" s="1721" t="s">
        <v>1234</v>
      </c>
      <c r="L13" s="1822"/>
      <c r="M13" s="1823"/>
    </row>
    <row r="14" spans="1:37" ht="18" customHeight="1">
      <c r="A14" s="1700" t="s">
        <v>856</v>
      </c>
      <c r="B14" s="1671" t="s">
        <v>1236</v>
      </c>
      <c r="C14" s="1701">
        <f ca="1">INDIRECT("'数据-取费表'!m"&amp;$G$1)+INDIRECT("'数据-取费表'!t"&amp;$G$1)</f>
        <v>0</v>
      </c>
      <c r="D14" s="1702" t="s">
        <v>1237</v>
      </c>
      <c r="E14" s="1703"/>
      <c r="F14" s="1704"/>
      <c r="G14" s="838"/>
      <c r="H14" s="1700" t="s">
        <v>833</v>
      </c>
      <c r="I14" s="1671" t="s">
        <v>1238</v>
      </c>
      <c r="J14" s="381">
        <f ca="1">C29</f>
        <v>0</v>
      </c>
      <c r="K14" s="1824"/>
      <c r="L14" s="1825"/>
      <c r="M14" s="1826"/>
    </row>
    <row r="15" spans="1:37" s="1638" customFormat="1" ht="18" customHeight="1">
      <c r="A15" s="1700" t="s">
        <v>860</v>
      </c>
      <c r="B15" s="1671" t="s">
        <v>1166</v>
      </c>
      <c r="C15" s="381">
        <f ca="1">ROUND(C14*F15,0)</f>
        <v>0</v>
      </c>
      <c r="D15" s="1705" t="s">
        <v>1239</v>
      </c>
      <c r="E15" s="1705" t="s">
        <v>1240</v>
      </c>
      <c r="F15" s="1706">
        <f>'数据-取费表'!B33</f>
        <v>0.03</v>
      </c>
      <c r="G15" s="1707"/>
      <c r="H15" s="1708" t="s">
        <v>837</v>
      </c>
      <c r="I15" s="1693" t="s">
        <v>1235</v>
      </c>
      <c r="J15" s="1820">
        <f ca="1">INDIRECT("'数据-取费表'!ad"&amp;$G$1)</f>
        <v>0</v>
      </c>
      <c r="K15" s="1827"/>
      <c r="L15" s="1828"/>
      <c r="M15" s="1829"/>
      <c r="N15" s="1707"/>
      <c r="O15" s="1707"/>
      <c r="P15" s="1707"/>
      <c r="Q15" s="1707"/>
      <c r="R15" s="1707"/>
      <c r="S15" s="1707"/>
      <c r="T15" s="1707"/>
      <c r="U15" s="1707"/>
      <c r="V15" s="1707"/>
      <c r="W15" s="1707"/>
      <c r="X15" s="1707"/>
      <c r="Y15" s="1707"/>
      <c r="Z15" s="1707"/>
      <c r="AA15" s="1707"/>
      <c r="AB15" s="1707"/>
      <c r="AC15" s="1707"/>
      <c r="AD15" s="1707"/>
      <c r="AE15" s="1707"/>
      <c r="AF15" s="1707"/>
      <c r="AG15" s="1707"/>
      <c r="AH15" s="1707"/>
      <c r="AI15" s="1707"/>
      <c r="AJ15" s="1707"/>
      <c r="AK15" s="1707"/>
    </row>
    <row r="16" spans="1:37" ht="18" customHeight="1">
      <c r="A16" s="1700" t="s">
        <v>863</v>
      </c>
      <c r="B16" s="1671" t="s">
        <v>1169</v>
      </c>
      <c r="C16" s="381">
        <f ca="1">ROUND(INDIRECT("'数据-取费表'!m"&amp;$G$1)*F16,0)</f>
        <v>0</v>
      </c>
      <c r="D16" s="1671" t="s">
        <v>1239</v>
      </c>
      <c r="E16" s="1671" t="s">
        <v>1240</v>
      </c>
      <c r="F16" s="1709">
        <f ca="1">IF(INDIRECT("'数据-取费表'!c"&amp;$G$1)="住宅",'数据-取费表'!B34,0)</f>
        <v>0</v>
      </c>
      <c r="G16" s="838"/>
      <c r="H16" s="1695" t="s">
        <v>1241</v>
      </c>
      <c r="I16" s="1696" t="s">
        <v>1242</v>
      </c>
      <c r="J16" s="1697">
        <f ca="1">ROUND(J17+J22+J23+J24,0)</f>
        <v>0</v>
      </c>
      <c r="K16" s="1721" t="s">
        <v>1243</v>
      </c>
      <c r="L16" s="1722"/>
      <c r="M16" s="1667"/>
    </row>
    <row r="17" spans="1:37" s="1638" customFormat="1" ht="18" customHeight="1">
      <c r="A17" s="1700" t="s">
        <v>1244</v>
      </c>
      <c r="B17" s="1671" t="s">
        <v>1245</v>
      </c>
      <c r="C17" s="381">
        <f ca="1">ROUND(F17*(F43+INDIRECT("'数据-取费表'!S"&amp;$G$1))/10000,0)</f>
        <v>0</v>
      </c>
      <c r="D17" s="1671" t="s">
        <v>1246</v>
      </c>
      <c r="E17" s="1671" t="s">
        <v>1247</v>
      </c>
      <c r="F17" s="1710">
        <f>'数据-取费表'!B35</f>
        <v>200</v>
      </c>
      <c r="G17" s="1707"/>
      <c r="H17" s="1700" t="s">
        <v>833</v>
      </c>
      <c r="I17" s="1671" t="s">
        <v>1248</v>
      </c>
      <c r="J17" s="1724">
        <f ca="1">ROUND(IF(AND(项目基本情况!B11="自然人",项目基本情况!B10="北京市"),J6*M17/(1+'数据-取费表'!C42),J18+J19+J20),0)</f>
        <v>0</v>
      </c>
      <c r="K17" s="1702" t="s">
        <v>1249</v>
      </c>
      <c r="L17" s="1725" t="s">
        <v>1250</v>
      </c>
      <c r="M17" s="1726" t="str">
        <f>IF(项目基本情况!B11="企业","",IF('数据-取费表'!B10="住宅",IF(M6*M7*M8/12/(1+'数据-取费表'!F30)&gt;100000,4%,2.5%),IF(M6*M7*M8/12/(1+'数据-取费表'!F30)&gt;100000,12%,7%)))</f>
        <v/>
      </c>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row>
    <row r="18" spans="1:37" s="1638" customFormat="1" ht="18" customHeight="1">
      <c r="A18" s="1700" t="s">
        <v>1251</v>
      </c>
      <c r="B18" s="1671" t="s">
        <v>1175</v>
      </c>
      <c r="C18" s="381">
        <f ca="1">ROUND(C14*F18,0)</f>
        <v>0</v>
      </c>
      <c r="D18" s="1671" t="s">
        <v>1239</v>
      </c>
      <c r="E18" s="1671" t="s">
        <v>1240</v>
      </c>
      <c r="F18" s="1709">
        <f>'数据-取费表'!B36</f>
        <v>1.4999999999999999E-2</v>
      </c>
      <c r="G18" s="1707"/>
      <c r="H18" s="1700" t="s">
        <v>856</v>
      </c>
      <c r="I18" s="1671" t="s">
        <v>1252</v>
      </c>
      <c r="J18" s="381">
        <f ca="1">ROUND(J6*M18/(1+'数据-取费表'!C42),2)</f>
        <v>0</v>
      </c>
      <c r="K18" s="1725" t="s">
        <v>1253</v>
      </c>
      <c r="L18" s="1671" t="s">
        <v>1240</v>
      </c>
      <c r="M18" s="1709">
        <f>'数据-取费表'!B41</f>
        <v>5.6000000000000001E-2</v>
      </c>
      <c r="N18" s="1707"/>
      <c r="O18" s="1707"/>
      <c r="P18" s="1707"/>
      <c r="Q18" s="1707"/>
      <c r="R18" s="1707"/>
      <c r="S18" s="1707"/>
      <c r="T18" s="1707"/>
      <c r="U18" s="1707"/>
      <c r="V18" s="1707"/>
      <c r="W18" s="1707"/>
      <c r="X18" s="1707"/>
      <c r="Y18" s="1707"/>
      <c r="Z18" s="1707"/>
      <c r="AA18" s="1707"/>
      <c r="AB18" s="1707"/>
      <c r="AC18" s="1707"/>
      <c r="AD18" s="1707"/>
      <c r="AE18" s="1707"/>
      <c r="AF18" s="1707"/>
      <c r="AG18" s="1707"/>
      <c r="AH18" s="1707"/>
      <c r="AI18" s="1707"/>
      <c r="AJ18" s="1707"/>
      <c r="AK18" s="1707"/>
    </row>
    <row r="19" spans="1:37" ht="18" customHeight="1">
      <c r="A19" s="1700" t="s">
        <v>833</v>
      </c>
      <c r="B19" s="1671" t="s">
        <v>1254</v>
      </c>
      <c r="C19" s="381">
        <f ca="1">SUM(C14:C18)</f>
        <v>0</v>
      </c>
      <c r="D19" s="1711" t="s">
        <v>1255</v>
      </c>
      <c r="E19" s="383"/>
      <c r="F19" s="1710"/>
      <c r="G19" s="838"/>
      <c r="H19" s="1700" t="s">
        <v>860</v>
      </c>
      <c r="I19" s="1671" t="s">
        <v>1256</v>
      </c>
      <c r="J19" s="381">
        <f ca="1">IF(K19="按租金收入计税",ROUND(J6*M19/(1+'数据-取费表'!C42),2),ROUND(C29*M19*0.7,2))</f>
        <v>0</v>
      </c>
      <c r="K19" s="1728" t="s">
        <v>1257</v>
      </c>
      <c r="L19" s="1671" t="s">
        <v>1240</v>
      </c>
      <c r="M19" s="1709">
        <f>IF(K19="按租金收入计税",'数据-取费表'!B51,'数据-取费表'!B50)</f>
        <v>1.2E-2</v>
      </c>
    </row>
    <row r="20" spans="1:37" s="1638" customFormat="1" ht="18" customHeight="1">
      <c r="A20" s="1700" t="s">
        <v>837</v>
      </c>
      <c r="B20" s="1671" t="s">
        <v>1258</v>
      </c>
      <c r="C20" s="381">
        <f ca="1">ROUND(C19*F20,0)</f>
        <v>0</v>
      </c>
      <c r="D20" s="1712" t="s">
        <v>1259</v>
      </c>
      <c r="E20" s="1671" t="s">
        <v>1240</v>
      </c>
      <c r="F20" s="1709">
        <f>'数据-取费表'!B37</f>
        <v>0.02</v>
      </c>
      <c r="G20" s="1707"/>
      <c r="H20" s="1700" t="s">
        <v>863</v>
      </c>
      <c r="I20" s="1670" t="s">
        <v>1260</v>
      </c>
      <c r="J20" s="1730">
        <f ca="1">ROUND(M20*M21/10000,2)</f>
        <v>0</v>
      </c>
      <c r="K20" s="1731" t="s">
        <v>1261</v>
      </c>
      <c r="L20" s="1671" t="s">
        <v>1262</v>
      </c>
      <c r="M20" s="1715">
        <f>'数据-取费表'!B52</f>
        <v>1.5</v>
      </c>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row>
    <row r="21" spans="1:37" s="1638" customFormat="1" ht="18" customHeight="1">
      <c r="A21" s="1700" t="s">
        <v>882</v>
      </c>
      <c r="B21" s="1671" t="s">
        <v>1263</v>
      </c>
      <c r="C21" s="381" t="s">
        <v>124</v>
      </c>
      <c r="D21" s="1712" t="s">
        <v>1264</v>
      </c>
      <c r="E21" s="1671" t="s">
        <v>1265</v>
      </c>
      <c r="F21" s="1709">
        <f>'数据-取费表'!B38</f>
        <v>0.01</v>
      </c>
      <c r="G21" s="1707"/>
      <c r="H21" s="1713"/>
      <c r="I21" s="1830"/>
      <c r="J21" s="1734"/>
      <c r="K21" s="1735"/>
      <c r="L21" s="1671" t="s">
        <v>1266</v>
      </c>
      <c r="M21" s="1672">
        <f ca="1">INDIRECT("'数据-取费表'!r"&amp;$G$1)</f>
        <v>0</v>
      </c>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row>
    <row r="22" spans="1:37" ht="18" customHeight="1">
      <c r="A22" s="1700" t="s">
        <v>885</v>
      </c>
      <c r="B22" s="1671" t="s">
        <v>1267</v>
      </c>
      <c r="C22" s="381"/>
      <c r="D22" s="1711" t="str">
        <f>IF(F23&lt;=1,"单利计息。","复利计息。")&amp;"建造成本、管理费用、销售费用产生的利息。"</f>
        <v>复利计息。建造成本、管理费用、销售费用产生的利息。</v>
      </c>
      <c r="E22" s="383"/>
      <c r="F22" s="1710"/>
      <c r="G22" s="838"/>
      <c r="H22" s="1700" t="s">
        <v>837</v>
      </c>
      <c r="I22" s="1671" t="s">
        <v>1268</v>
      </c>
      <c r="J22" s="381">
        <f ca="1">ROUND(J14*M22,1)</f>
        <v>0</v>
      </c>
      <c r="K22" s="1725" t="s">
        <v>1269</v>
      </c>
      <c r="L22" s="1671" t="s">
        <v>1240</v>
      </c>
      <c r="M22" s="1737">
        <f ca="1">INDIRECT("'数据-取费表'!Ak"&amp;$G$1)</f>
        <v>0</v>
      </c>
    </row>
    <row r="23" spans="1:37" s="1638" customFormat="1" ht="18" customHeight="1">
      <c r="A23" s="1700" t="s">
        <v>856</v>
      </c>
      <c r="B23" s="1671" t="s">
        <v>1270</v>
      </c>
      <c r="C23" s="381">
        <f ca="1">IF('数据-取费表'!B22&lt;=1,ROUND(C19*F24*F23/2,0)+ROUND(C20*F24*F23/2,0),ROUND(C19*(POWER((1+F24),F23/2)-1),0)+ROUND(C20*(POWER((1+F24),F23/2)-1),0))</f>
        <v>0</v>
      </c>
      <c r="D23" s="1714" t="str">
        <f>IF(F23&lt;=1,"(建造成本+管理费用)×利率×(建设周期÷2)","(建造成本+管理费用)×((1+利率)^(建设周期÷2)-1)")</f>
        <v>(建造成本+管理费用)×((1+利率)^(建设周期÷2)-1)</v>
      </c>
      <c r="E23" s="1671" t="s">
        <v>1271</v>
      </c>
      <c r="F23" s="1715">
        <f>'数据-取费表'!B20</f>
        <v>3</v>
      </c>
      <c r="G23" s="1707"/>
      <c r="H23" s="1700" t="s">
        <v>882</v>
      </c>
      <c r="I23" s="1671" t="s">
        <v>1272</v>
      </c>
      <c r="J23" s="381">
        <f ca="1">ROUND(J13*M23,1)</f>
        <v>0</v>
      </c>
      <c r="K23" s="1725" t="s">
        <v>1273</v>
      </c>
      <c r="L23" s="1671" t="s">
        <v>1240</v>
      </c>
      <c r="M23" s="1738">
        <f ca="1">INDIRECT("'数据-取费表'!Al"&amp;$G$1)</f>
        <v>0</v>
      </c>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row>
    <row r="24" spans="1:37" s="1638" customFormat="1" ht="18" customHeight="1">
      <c r="A24" s="1700" t="s">
        <v>860</v>
      </c>
      <c r="B24" s="1671" t="s">
        <v>1274</v>
      </c>
      <c r="C24" s="381">
        <f ca="1">ROUND(IF('数据-取费表'!B22&lt;=1,F21*F24*F23/2,F21*(POWER((1+F24),F23/2)-1)),4)</f>
        <v>6.9999999999999999E-4</v>
      </c>
      <c r="D24" s="1714" t="str">
        <f>IF(F23&lt;=1,"销售费用×利率×(建设周期÷2)","销售费用×((1+利率)^(建设周期÷2)-1)")</f>
        <v>销售费用×((1+利率)^(建设周期÷2)-1)</v>
      </c>
      <c r="E24" s="1671" t="s">
        <v>1275</v>
      </c>
      <c r="F24" s="1716">
        <f ca="1">'数据-取费表'!B40</f>
        <v>4.3499999999999997E-2</v>
      </c>
      <c r="G24" s="1707"/>
      <c r="H24" s="1708" t="s">
        <v>885</v>
      </c>
      <c r="I24" s="1693" t="s">
        <v>1258</v>
      </c>
      <c r="J24" s="1717">
        <f ca="1">ROUND(J5*M24,1)</f>
        <v>0</v>
      </c>
      <c r="K24" s="1718" t="s">
        <v>1276</v>
      </c>
      <c r="L24" s="1693" t="s">
        <v>1240</v>
      </c>
      <c r="M24" s="1694">
        <f ca="1">INDIRECT("'数据-取费表'!Am"&amp;$G$1)</f>
        <v>0</v>
      </c>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row>
    <row r="25" spans="1:37" ht="24" customHeight="1">
      <c r="A25" s="1700" t="s">
        <v>889</v>
      </c>
      <c r="B25" s="1671" t="s">
        <v>1277</v>
      </c>
      <c r="C25" s="381"/>
      <c r="D25" s="1711" t="s">
        <v>1278</v>
      </c>
      <c r="E25" s="383"/>
      <c r="F25" s="1710"/>
      <c r="G25" s="838"/>
      <c r="H25" s="1695" t="s">
        <v>1279</v>
      </c>
      <c r="I25" s="1739" t="s">
        <v>1280</v>
      </c>
      <c r="J25" s="1697">
        <f ca="1">J5-J16</f>
        <v>0</v>
      </c>
      <c r="K25" s="1740" t="s">
        <v>1281</v>
      </c>
      <c r="L25" s="1741"/>
      <c r="M25" s="1742"/>
    </row>
    <row r="26" spans="1:37">
      <c r="A26" s="1700" t="s">
        <v>856</v>
      </c>
      <c r="B26" s="1671" t="s">
        <v>1282</v>
      </c>
      <c r="C26" s="381">
        <f ca="1">ROUND((C19+C20)*F26,0)</f>
        <v>0</v>
      </c>
      <c r="D26" s="1712" t="s">
        <v>1283</v>
      </c>
      <c r="E26" s="1682" t="s">
        <v>1284</v>
      </c>
      <c r="F26" s="1679">
        <f ca="1">INDIRECT("'数据-取费表'!q"&amp;$G$1)</f>
        <v>0</v>
      </c>
      <c r="G26" s="838"/>
      <c r="H26" s="1662" t="s">
        <v>1285</v>
      </c>
      <c r="I26" s="1663" t="s">
        <v>1286</v>
      </c>
      <c r="J26" s="1743">
        <f ca="1">IF(J5&lt;&gt;0,ROUND(J25*(1-((1+M28)/(1+M26))^M27)/(M26-M28),0),0)</f>
        <v>0</v>
      </c>
      <c r="K26" s="1731" t="s">
        <v>1287</v>
      </c>
      <c r="L26" s="1671" t="s">
        <v>1288</v>
      </c>
      <c r="M26" s="1679">
        <f ca="1">INDIRECT("'数据-取费表'!I"&amp;$G$1)</f>
        <v>0</v>
      </c>
    </row>
    <row r="27" spans="1:37" ht="18" customHeight="1">
      <c r="A27" s="1700" t="s">
        <v>860</v>
      </c>
      <c r="B27" s="1671" t="s">
        <v>1289</v>
      </c>
      <c r="C27" s="381">
        <f ca="1">ROUND(F21*F26,4)</f>
        <v>0</v>
      </c>
      <c r="D27" s="1712" t="s">
        <v>1290</v>
      </c>
      <c r="E27" s="1705"/>
      <c r="F27" s="1706"/>
      <c r="G27" s="838"/>
      <c r="H27" s="1677"/>
      <c r="I27" s="1745"/>
      <c r="J27" s="1678"/>
      <c r="K27" s="1746" t="s">
        <v>1291</v>
      </c>
      <c r="L27" s="1671" t="s">
        <v>1292</v>
      </c>
      <c r="M27" s="1747">
        <f ca="1">INDIRECT("'数据-取费表'!ag"&amp;$G$1)</f>
        <v>0</v>
      </c>
    </row>
    <row r="28" spans="1:37" s="1638" customFormat="1" ht="18" customHeight="1">
      <c r="A28" s="1700" t="s">
        <v>890</v>
      </c>
      <c r="B28" s="1671" t="s">
        <v>1293</v>
      </c>
      <c r="C28" s="381">
        <f>ROUND(F28/(1+'数据-取费表'!C42),4)</f>
        <v>5.33E-2</v>
      </c>
      <c r="D28" s="1712" t="s">
        <v>1294</v>
      </c>
      <c r="E28" s="1671" t="s">
        <v>1240</v>
      </c>
      <c r="F28" s="1709">
        <f>'数据-取费表'!B41</f>
        <v>5.6000000000000001E-2</v>
      </c>
      <c r="G28" s="1707"/>
      <c r="H28" s="1684"/>
      <c r="I28" s="1749"/>
      <c r="J28" s="1697"/>
      <c r="K28" s="1735"/>
      <c r="L28" s="1671" t="s">
        <v>1295</v>
      </c>
      <c r="M28" s="1679">
        <f ca="1">INDIRECT("'数据-取费表'!aa"&amp;$G$1)</f>
        <v>0</v>
      </c>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row>
    <row r="29" spans="1:37" s="1638" customFormat="1" ht="18" customHeight="1">
      <c r="A29" s="1708" t="s">
        <v>1200</v>
      </c>
      <c r="B29" s="1693" t="s">
        <v>1296</v>
      </c>
      <c r="C29" s="1717">
        <f ca="1">ROUND((C19+C20+C23+C26)/(1-F21-C24-C27-C28),0)</f>
        <v>0</v>
      </c>
      <c r="D29" s="1718"/>
      <c r="E29" s="1693"/>
      <c r="F29" s="1719"/>
      <c r="G29" s="1707"/>
      <c r="H29" s="1720" t="s">
        <v>1297</v>
      </c>
      <c r="I29" s="1750" t="s">
        <v>1298</v>
      </c>
      <c r="J29" s="1751">
        <f ca="1">ROUND(J26/(1+F40)^F41,0)</f>
        <v>0</v>
      </c>
      <c r="K29" s="1752" t="s">
        <v>1299</v>
      </c>
      <c r="L29" s="1753"/>
      <c r="M29" s="1754">
        <f ca="1">INDIRECT("'数据-取费表'!k"&amp;$G$1)</f>
        <v>0</v>
      </c>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row>
    <row r="30" spans="1:37" ht="18" customHeight="1">
      <c r="A30" s="1695" t="s">
        <v>1241</v>
      </c>
      <c r="B30" s="1696" t="s">
        <v>1242</v>
      </c>
      <c r="C30" s="1697">
        <f ca="1">ROUND(C31+C36+C37+C38,0)</f>
        <v>0</v>
      </c>
      <c r="D30" s="1721" t="s">
        <v>1243</v>
      </c>
      <c r="E30" s="1722"/>
      <c r="F30" s="1667"/>
      <c r="G30" s="838"/>
      <c r="H30" s="1723"/>
      <c r="I30" s="1831"/>
      <c r="J30" s="1832"/>
      <c r="K30" s="1833"/>
      <c r="L30" s="1834"/>
      <c r="M30" s="1835"/>
    </row>
    <row r="31" spans="1:37" ht="18" customHeight="1">
      <c r="A31" s="1700" t="s">
        <v>833</v>
      </c>
      <c r="B31" s="1671" t="s">
        <v>1248</v>
      </c>
      <c r="C31" s="1724">
        <f ca="1">ROUND(IF(AND(项目基本情况!B11="自然人",项目基本情况!B10="北京市"),C6*F31/(1+'数据-取费表'!C42),C32+C33+C34),0)</f>
        <v>0</v>
      </c>
      <c r="D31" s="1702" t="s">
        <v>1249</v>
      </c>
      <c r="E31" s="1725" t="s">
        <v>1250</v>
      </c>
      <c r="F31" s="1726" t="str">
        <f>IF(项目基本情况!B11="企业","——",IF('数据-取费表'!B10="住宅",IF(F6*F7*F8/12/(1+'数据-取费表'!F30)&gt;100000,4%,2.5%),IF(F6*F7*F8/12/(1+'数据-取费表'!F30)&gt;100000,12%,7%)))</f>
        <v>——</v>
      </c>
      <c r="G31" s="838"/>
      <c r="H31" s="1727" t="s">
        <v>1300</v>
      </c>
      <c r="I31" s="1831"/>
      <c r="J31" s="1832"/>
      <c r="K31" s="1833"/>
      <c r="L31" s="1834"/>
      <c r="M31" s="1835"/>
    </row>
    <row r="32" spans="1:37" ht="18" customHeight="1">
      <c r="A32" s="1700" t="s">
        <v>856</v>
      </c>
      <c r="B32" s="1671" t="s">
        <v>1252</v>
      </c>
      <c r="C32" s="381">
        <f ca="1">IF(项目基本情况!B11="自然人","——",ROUND(C6*F32/(1+'数据-取费表'!C42),2))</f>
        <v>0</v>
      </c>
      <c r="D32" s="1725" t="s">
        <v>1253</v>
      </c>
      <c r="E32" s="1671" t="s">
        <v>1240</v>
      </c>
      <c r="F32" s="1716">
        <f>'数据-取费表'!B41</f>
        <v>5.6000000000000001E-2</v>
      </c>
      <c r="G32" s="838"/>
      <c r="H32" s="1723"/>
      <c r="I32" s="1831"/>
      <c r="J32" s="1832"/>
      <c r="K32" s="1833"/>
      <c r="L32" s="1834"/>
      <c r="M32" s="1835"/>
    </row>
    <row r="33" spans="1:18" ht="18" customHeight="1">
      <c r="A33" s="1700" t="s">
        <v>860</v>
      </c>
      <c r="B33" s="1671" t="s">
        <v>1256</v>
      </c>
      <c r="C33" s="381">
        <f ca="1">IF(项目基本情况!B11="自然人","——",IF(D33="按租金收入计税",ROUND(C6*F33/(1+'数据-取费表'!C42),2),IF(D33="按房产原值计税",ROUND(C29*F33*0.7,2),INDIRECT("'数据-取费表'!Aj"&amp;$G$1))))</f>
        <v>0</v>
      </c>
      <c r="D33" s="1728" t="s">
        <v>1257</v>
      </c>
      <c r="E33" s="1671" t="s">
        <v>1240</v>
      </c>
      <c r="F33" s="1709">
        <f>IF(D33="按票据","——",IF(D33="按租金收入计税",'数据-取费表'!B51,'数据-取费表'!B50))</f>
        <v>1.2E-2</v>
      </c>
      <c r="G33" s="838"/>
      <c r="H33" s="1729"/>
      <c r="I33" s="1831"/>
      <c r="J33" s="1832"/>
      <c r="K33" s="1836"/>
      <c r="L33" s="1729"/>
      <c r="M33" s="1729"/>
    </row>
    <row r="34" spans="1:18" ht="18" customHeight="1">
      <c r="A34" s="1668" t="s">
        <v>863</v>
      </c>
      <c r="B34" s="1670" t="s">
        <v>1260</v>
      </c>
      <c r="C34" s="1730">
        <f ca="1">IF(项目基本情况!B11="自然人","——",ROUND(F34*F35/10000,2))</f>
        <v>0</v>
      </c>
      <c r="D34" s="1731" t="s">
        <v>1261</v>
      </c>
      <c r="E34" s="1671" t="s">
        <v>1262</v>
      </c>
      <c r="F34" s="1715">
        <f>'数据-取费表'!B52</f>
        <v>1.5</v>
      </c>
      <c r="G34" s="838"/>
      <c r="H34" s="1723"/>
      <c r="I34" s="1831"/>
      <c r="J34" s="1832"/>
      <c r="K34" s="1837"/>
      <c r="L34" s="1838"/>
      <c r="M34" s="1838"/>
    </row>
    <row r="35" spans="1:18" ht="18" customHeight="1">
      <c r="A35" s="1732"/>
      <c r="B35" s="1733"/>
      <c r="C35" s="1734"/>
      <c r="D35" s="1735"/>
      <c r="E35" s="1671" t="s">
        <v>1266</v>
      </c>
      <c r="F35" s="1672">
        <f ca="1">INDIRECT("'数据-取费表'!r"&amp;$G$1)</f>
        <v>0</v>
      </c>
      <c r="G35" s="838"/>
      <c r="H35" s="1723"/>
      <c r="I35" s="1831"/>
      <c r="J35" s="1832"/>
      <c r="K35" s="1836"/>
      <c r="L35" s="1729"/>
      <c r="M35" s="1729"/>
    </row>
    <row r="36" spans="1:18" ht="18" customHeight="1">
      <c r="A36" s="1736" t="s">
        <v>837</v>
      </c>
      <c r="B36" s="1671" t="s">
        <v>1268</v>
      </c>
      <c r="C36" s="381">
        <f ca="1">ROUND(C29*F36,1)</f>
        <v>0</v>
      </c>
      <c r="D36" s="1725" t="s">
        <v>1301</v>
      </c>
      <c r="E36" s="1671" t="s">
        <v>1240</v>
      </c>
      <c r="F36" s="1737">
        <f ca="1">INDIRECT("'数据-取费表'!Ak"&amp;$G$1)</f>
        <v>0</v>
      </c>
      <c r="G36" s="838"/>
      <c r="H36" s="1729"/>
      <c r="I36" s="1831"/>
      <c r="J36" s="1832"/>
      <c r="K36" s="1839"/>
      <c r="L36" s="1729"/>
      <c r="M36" s="1729"/>
    </row>
    <row r="37" spans="1:18" ht="18" customHeight="1">
      <c r="A37" s="1700" t="s">
        <v>882</v>
      </c>
      <c r="B37" s="1671" t="s">
        <v>1272</v>
      </c>
      <c r="C37" s="381">
        <f ca="1">ROUND(C13*F37,1)</f>
        <v>0</v>
      </c>
      <c r="D37" s="1725" t="s">
        <v>1273</v>
      </c>
      <c r="E37" s="1671" t="s">
        <v>1240</v>
      </c>
      <c r="F37" s="1738">
        <f ca="1">INDIRECT("'数据-取费表'!Al"&amp;$G$1)</f>
        <v>0</v>
      </c>
      <c r="G37" s="838"/>
      <c r="H37" s="1729"/>
      <c r="I37" s="1831"/>
      <c r="J37" s="1832"/>
      <c r="K37" s="1839"/>
      <c r="L37" s="1729"/>
      <c r="M37" s="1729"/>
    </row>
    <row r="38" spans="1:18" ht="18" customHeight="1">
      <c r="A38" s="1708" t="s">
        <v>885</v>
      </c>
      <c r="B38" s="1693" t="s">
        <v>1258</v>
      </c>
      <c r="C38" s="1717">
        <f ca="1">ROUND(C5*F38,1)</f>
        <v>0</v>
      </c>
      <c r="D38" s="1718" t="s">
        <v>1276</v>
      </c>
      <c r="E38" s="1693" t="s">
        <v>1240</v>
      </c>
      <c r="F38" s="1694">
        <f ca="1">INDIRECT("'数据-取费表'!Am"&amp;$G$1)</f>
        <v>0</v>
      </c>
      <c r="G38" s="838"/>
      <c r="H38" s="1729"/>
      <c r="I38" s="1831"/>
      <c r="J38" s="1832"/>
      <c r="K38" s="1840"/>
      <c r="L38" s="1729"/>
      <c r="M38" s="1729"/>
    </row>
    <row r="39" spans="1:18" ht="24.6" customHeight="1">
      <c r="A39" s="1695" t="s">
        <v>1279</v>
      </c>
      <c r="B39" s="1739" t="s">
        <v>1280</v>
      </c>
      <c r="C39" s="1697">
        <f ca="1">C5-C30</f>
        <v>0</v>
      </c>
      <c r="D39" s="1740" t="s">
        <v>1281</v>
      </c>
      <c r="E39" s="1741"/>
      <c r="F39" s="1742"/>
      <c r="G39" s="838"/>
      <c r="H39" s="1729"/>
      <c r="I39" s="1831"/>
      <c r="J39" s="1832"/>
      <c r="K39" s="1840"/>
      <c r="L39" s="1729"/>
      <c r="M39" s="1729"/>
    </row>
    <row r="40" spans="1:18" ht="18" customHeight="1">
      <c r="A40" s="1662" t="s">
        <v>1285</v>
      </c>
      <c r="B40" s="1663" t="s">
        <v>1302</v>
      </c>
      <c r="C40" s="1743" t="e">
        <f ca="1">ROUND(C39*(1-((1+F42)/(1+F40))^F41)/(F40-F42),0)</f>
        <v>#DIV/0!</v>
      </c>
      <c r="D40" s="1731" t="s">
        <v>1287</v>
      </c>
      <c r="E40" s="1671" t="s">
        <v>1288</v>
      </c>
      <c r="F40" s="1679">
        <f ca="1">INDIRECT("'数据-取费表'!I"&amp;$G$1)</f>
        <v>0</v>
      </c>
      <c r="G40" s="838"/>
      <c r="H40" s="1744"/>
      <c r="I40" s="1831"/>
      <c r="J40" s="1832"/>
      <c r="K40" s="1840"/>
      <c r="L40" s="1744"/>
      <c r="M40" s="1744"/>
    </row>
    <row r="41" spans="1:18" ht="18" customHeight="1">
      <c r="A41" s="1677"/>
      <c r="B41" s="1745"/>
      <c r="C41" s="1678"/>
      <c r="D41" s="1746" t="s">
        <v>1291</v>
      </c>
      <c r="E41" s="1671" t="s">
        <v>1292</v>
      </c>
      <c r="F41" s="1747">
        <f ca="1">IF(INDIRECT("'数据-取费表'!af"&amp;$G$1)=0,INDIRECT("'数据-取费表'!ae"&amp;$G$1),INDIRECT("'数据-取费表'!af"&amp;$G$1))</f>
        <v>0</v>
      </c>
      <c r="G41" s="838"/>
      <c r="H41" s="1748"/>
      <c r="I41" s="1831"/>
      <c r="J41" s="1832"/>
      <c r="K41" s="1839"/>
      <c r="L41" s="1748"/>
      <c r="M41" s="1748"/>
    </row>
    <row r="42" spans="1:18" ht="18" customHeight="1">
      <c r="A42" s="1684"/>
      <c r="B42" s="1749"/>
      <c r="C42" s="1697"/>
      <c r="D42" s="1735"/>
      <c r="E42" s="1671" t="s">
        <v>1295</v>
      </c>
      <c r="F42" s="1679">
        <f ca="1">INDIRECT("'数据-取费表'!v"&amp;$G$1)</f>
        <v>0</v>
      </c>
      <c r="G42" s="838"/>
      <c r="H42" s="1748"/>
      <c r="I42" s="1831"/>
      <c r="J42" s="1832"/>
      <c r="K42" s="1839"/>
      <c r="L42" s="1748"/>
      <c r="M42" s="1748"/>
    </row>
    <row r="43" spans="1:18" ht="18" customHeight="1">
      <c r="A43" s="1720" t="s">
        <v>1297</v>
      </c>
      <c r="B43" s="1750" t="s">
        <v>1303</v>
      </c>
      <c r="C43" s="1751" t="e">
        <f ca="1">ROUND(C40*10000/F43,0)</f>
        <v>#DIV/0!</v>
      </c>
      <c r="D43" s="1752" t="s">
        <v>1304</v>
      </c>
      <c r="E43" s="1753" t="s">
        <v>1305</v>
      </c>
      <c r="F43" s="1754">
        <f ca="1">INDIRECT("'数据-取费表'!k"&amp;$G$1)</f>
        <v>0</v>
      </c>
      <c r="G43" s="838"/>
      <c r="H43" s="1748"/>
      <c r="I43" s="1748"/>
      <c r="J43" s="1748"/>
      <c r="K43" s="1839"/>
      <c r="L43" s="1748"/>
      <c r="M43" s="1748"/>
    </row>
    <row r="44" spans="1:18" s="838" customFormat="1" ht="18" customHeight="1">
      <c r="A44" s="1755"/>
      <c r="B44" s="1755"/>
      <c r="C44" s="1756"/>
      <c r="D44" s="1755"/>
      <c r="E44" s="1755"/>
      <c r="F44" s="1755"/>
      <c r="K44" s="1841"/>
    </row>
    <row r="45" spans="1:18" s="838" customFormat="1" ht="18" customHeight="1">
      <c r="A45" s="1755"/>
      <c r="B45" s="1755"/>
      <c r="C45" s="1756"/>
      <c r="D45" s="1755"/>
      <c r="E45" s="1755"/>
      <c r="F45" s="1755"/>
      <c r="J45" s="415"/>
      <c r="O45" s="1924" t="s">
        <v>1306</v>
      </c>
      <c r="P45" s="1744"/>
      <c r="Q45" s="1744"/>
      <c r="R45" s="1744"/>
    </row>
    <row r="46" spans="1:18" s="838" customFormat="1">
      <c r="A46" s="1759" t="s">
        <v>1307</v>
      </c>
      <c r="C46" s="1760" t="e">
        <f ca="1">C68-C40</f>
        <v>#DIV/0!</v>
      </c>
      <c r="D46" s="1761" t="str">
        <f>C2</f>
        <v>万元</v>
      </c>
      <c r="E46" s="1755"/>
      <c r="F46" s="1755"/>
      <c r="I46" s="1843" t="s">
        <v>1308</v>
      </c>
      <c r="J46" s="1844"/>
      <c r="K46" s="1845"/>
      <c r="L46" s="1846" t="e">
        <f ca="1">IF(M47="住宅",0,IF(L48&gt;J51,L60,J60))</f>
        <v>#DIV/0!</v>
      </c>
      <c r="O46" s="1847" t="s">
        <v>1309</v>
      </c>
      <c r="P46" s="1848" t="s">
        <v>1310</v>
      </c>
      <c r="Q46" s="1892" t="s">
        <v>1311</v>
      </c>
      <c r="R46" s="1892" t="s">
        <v>1312</v>
      </c>
    </row>
    <row r="47" spans="1:18" s="838" customFormat="1">
      <c r="A47" s="1762" t="s">
        <v>1212</v>
      </c>
      <c r="B47" s="1763" t="s">
        <v>1213</v>
      </c>
      <c r="C47" s="1919" t="s">
        <v>1214</v>
      </c>
      <c r="D47" s="1763" t="s">
        <v>1215</v>
      </c>
      <c r="E47" s="1764" t="s">
        <v>1216</v>
      </c>
      <c r="F47" s="374"/>
      <c r="G47" s="1765"/>
      <c r="I47" s="1849" t="s">
        <v>1313</v>
      </c>
      <c r="J47" s="1850"/>
      <c r="K47" s="1851" t="s">
        <v>1314</v>
      </c>
      <c r="L47" s="1852">
        <f ca="1">INDIRECT("'数据-取费表'!d"&amp;$G$1)</f>
        <v>0</v>
      </c>
      <c r="M47" s="1853" t="str">
        <f>IF(ISNUMBER(FIND("住宅",C1)),"住宅","非住宅")</f>
        <v>非住宅</v>
      </c>
      <c r="O47" s="1854" t="s">
        <v>938</v>
      </c>
      <c r="P47" s="1855" t="s">
        <v>1315</v>
      </c>
      <c r="Q47" s="1893" t="e">
        <f ca="1">C40+J29</f>
        <v>#DIV/0!</v>
      </c>
      <c r="R47" s="1893" t="s">
        <v>1316</v>
      </c>
    </row>
    <row r="48" spans="1:18" s="838" customFormat="1" ht="27.75">
      <c r="A48" s="1766" t="s">
        <v>1317</v>
      </c>
      <c r="B48" s="1663" t="s">
        <v>1217</v>
      </c>
      <c r="C48" s="382">
        <f ca="1">C49+C53+C55</f>
        <v>0</v>
      </c>
      <c r="D48" s="1767"/>
      <c r="E48" s="1768"/>
      <c r="F48" s="1769"/>
      <c r="G48" s="1765"/>
      <c r="H48" s="1770"/>
      <c r="I48" s="899" t="s">
        <v>1318</v>
      </c>
      <c r="J48" s="1856"/>
      <c r="K48" s="1857" t="s">
        <v>1319</v>
      </c>
      <c r="L48" s="1858">
        <f ca="1">INDIRECT("'数据-取费表'!f"&amp;$G$1)</f>
        <v>0</v>
      </c>
      <c r="O48" s="1854" t="s">
        <v>941</v>
      </c>
      <c r="P48" s="1855" t="s">
        <v>1320</v>
      </c>
      <c r="Q48" s="1893" t="e">
        <f ca="1">J60</f>
        <v>#DIV/0!</v>
      </c>
      <c r="R48" s="1893" t="s">
        <v>1321</v>
      </c>
    </row>
    <row r="49" spans="1:18" s="838" customFormat="1">
      <c r="A49" s="1771" t="s">
        <v>1322</v>
      </c>
      <c r="B49" s="1772" t="s">
        <v>1323</v>
      </c>
      <c r="C49" s="1773">
        <f ca="1">ROUND(F49*F51*F50*(1-F52)/10000,0)</f>
        <v>0</v>
      </c>
      <c r="D49" s="1774" t="s">
        <v>1222</v>
      </c>
      <c r="E49" s="1775" t="s">
        <v>1324</v>
      </c>
      <c r="F49" s="1776"/>
      <c r="G49" s="1777"/>
      <c r="H49" s="1770"/>
      <c r="I49" s="899" t="s">
        <v>1325</v>
      </c>
      <c r="J49" s="1859"/>
      <c r="K49" s="1857" t="s">
        <v>1326</v>
      </c>
      <c r="L49" s="1860"/>
      <c r="O49" s="1861" t="s">
        <v>1327</v>
      </c>
      <c r="P49" s="1855" t="s">
        <v>1328</v>
      </c>
      <c r="Q49" s="1893">
        <f ca="1">C29</f>
        <v>0</v>
      </c>
      <c r="R49" s="1893" t="s">
        <v>1316</v>
      </c>
    </row>
    <row r="50" spans="1:18" s="838" customFormat="1">
      <c r="A50" s="1778"/>
      <c r="B50" s="1779"/>
      <c r="C50" s="1920"/>
      <c r="D50" s="1781"/>
      <c r="E50" s="1782" t="s">
        <v>1223</v>
      </c>
      <c r="F50" s="1783">
        <f ca="1">F7</f>
        <v>0</v>
      </c>
      <c r="H50" s="1770"/>
      <c r="I50" s="899" t="s">
        <v>1329</v>
      </c>
      <c r="J50" s="1862">
        <f>SUMPRODUCT((I63:I65=J47)*(J62:L62=J48)*(J63:L65))</f>
        <v>0</v>
      </c>
      <c r="K50" s="1857" t="s">
        <v>1330</v>
      </c>
      <c r="L50" s="1860"/>
      <c r="M50" s="1863"/>
      <c r="O50" s="1861" t="s">
        <v>1331</v>
      </c>
      <c r="P50" s="1855" t="s">
        <v>1332</v>
      </c>
      <c r="Q50" s="1894" t="e">
        <f ca="1">J58</f>
        <v>#DIV/0!</v>
      </c>
      <c r="R50" s="1893"/>
    </row>
    <row r="51" spans="1:18" s="838" customFormat="1">
      <c r="A51" s="1784"/>
      <c r="B51" s="1779"/>
      <c r="C51" s="1780"/>
      <c r="D51" s="1781"/>
      <c r="E51" s="1785" t="s">
        <v>1224</v>
      </c>
      <c r="F51" s="1672">
        <f ca="1">F8</f>
        <v>0</v>
      </c>
      <c r="I51" s="1864" t="s">
        <v>1333</v>
      </c>
      <c r="J51" s="1865">
        <f>IF(J49="",J50,J49+J50-YEAR('数据-取费表'!B2))</f>
        <v>0</v>
      </c>
      <c r="K51" s="1866" t="s">
        <v>1334</v>
      </c>
      <c r="L51" s="1867">
        <f ca="1">ROUND(-PV(INDIRECT("'数据-取费表'!h"&amp;$G$1),J51,(C39-C13*C76),0),0)</f>
        <v>0</v>
      </c>
      <c r="M51" s="1868"/>
      <c r="O51" s="1861" t="s">
        <v>1335</v>
      </c>
      <c r="P51" s="1855" t="s">
        <v>1336</v>
      </c>
      <c r="Q51" s="1894">
        <f>J52</f>
        <v>0</v>
      </c>
      <c r="R51" s="1893"/>
    </row>
    <row r="52" spans="1:18" s="838" customFormat="1">
      <c r="A52" s="1784"/>
      <c r="B52" s="1779"/>
      <c r="C52" s="1780"/>
      <c r="D52" s="1781"/>
      <c r="E52" s="1785" t="s">
        <v>1225</v>
      </c>
      <c r="F52" s="1786"/>
      <c r="I52" s="1869" t="s">
        <v>1337</v>
      </c>
      <c r="J52" s="1870"/>
      <c r="K52" s="1869" t="s">
        <v>1338</v>
      </c>
      <c r="L52" s="1870"/>
      <c r="O52" s="1861" t="s">
        <v>1339</v>
      </c>
      <c r="P52" s="1855" t="s">
        <v>1340</v>
      </c>
      <c r="Q52" s="1893">
        <f ca="1">J53</f>
        <v>0</v>
      </c>
      <c r="R52" s="1893" t="s">
        <v>1341</v>
      </c>
    </row>
    <row r="53" spans="1:18" s="838" customFormat="1" ht="24">
      <c r="A53" s="1921" t="s">
        <v>1342</v>
      </c>
      <c r="B53" s="1922" t="s">
        <v>1226</v>
      </c>
      <c r="C53" s="380">
        <f ca="1">ROUND(IF(F53="押一",C49/12*F11,IF(F53="押二",C49/12*2*F11,IF(F53="押三",C49/12*3*F11,C54*F11))),0)</f>
        <v>0</v>
      </c>
      <c r="D53" s="1681" t="s">
        <v>1227</v>
      </c>
      <c r="E53" s="1682" t="s">
        <v>1228</v>
      </c>
      <c r="F53" s="1683"/>
      <c r="I53" s="1871" t="s">
        <v>1343</v>
      </c>
      <c r="J53" s="1872">
        <f ca="1">IF(M47="住宅",IF(D1="——",MAX(J51,L48),MAX(J51,L48-'数据-取费表'!B24)),IF(D1="——",MIN(J51,L48),MIN(J51,L48-'数据-取费表'!B24)))</f>
        <v>0</v>
      </c>
      <c r="K53" s="3415" t="s">
        <v>1344</v>
      </c>
      <c r="L53" s="3416"/>
      <c r="O53" s="1854" t="s">
        <v>1168</v>
      </c>
      <c r="P53" s="1855" t="s">
        <v>1345</v>
      </c>
      <c r="Q53" s="1893" t="e">
        <f ca="1">Q47+Q48</f>
        <v>#DIV/0!</v>
      </c>
      <c r="R53" s="1893" t="s">
        <v>1346</v>
      </c>
    </row>
    <row r="54" spans="1:18" s="838" customFormat="1">
      <c r="A54" s="1923"/>
      <c r="B54" s="1685" t="s">
        <v>1230</v>
      </c>
      <c r="C54" s="1686"/>
      <c r="D54" s="1681"/>
      <c r="E54" s="1789"/>
      <c r="F54" s="1790"/>
      <c r="I54" s="1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4"/>
      <c r="K54" s="1874"/>
      <c r="L54" s="1874"/>
      <c r="M54" s="1777"/>
      <c r="O54" s="1842" t="s">
        <v>1347</v>
      </c>
      <c r="P54" s="1875"/>
      <c r="Q54" s="1875"/>
      <c r="R54" s="1875"/>
    </row>
    <row r="55" spans="1:18" s="838" customFormat="1">
      <c r="A55" s="1689" t="s">
        <v>882</v>
      </c>
      <c r="B55" s="1690" t="s">
        <v>1232</v>
      </c>
      <c r="C55" s="1691"/>
      <c r="D55" s="1681"/>
      <c r="E55" s="1789"/>
      <c r="F55" s="1790"/>
      <c r="I55" s="1876" t="s">
        <v>1348</v>
      </c>
      <c r="J55" s="1877" t="e">
        <f ca="1">ROUND(IF(J47="钢混",J57/J50,1-(1-2%)*(J50-J57)/J50),3)</f>
        <v>#DIV/0!</v>
      </c>
      <c r="K55" s="1878" t="s">
        <v>1349</v>
      </c>
      <c r="L55" s="1879" t="s">
        <v>1350</v>
      </c>
      <c r="O55" s="1847" t="s">
        <v>1309</v>
      </c>
      <c r="P55" s="1848" t="s">
        <v>1310</v>
      </c>
      <c r="Q55" s="1892" t="s">
        <v>1311</v>
      </c>
      <c r="R55" s="1892" t="s">
        <v>1312</v>
      </c>
    </row>
    <row r="56" spans="1:18" s="838" customFormat="1" ht="24">
      <c r="A56" s="1791">
        <v>2</v>
      </c>
      <c r="B56" s="1792" t="s">
        <v>1233</v>
      </c>
      <c r="C56" s="274">
        <f ca="1">C13</f>
        <v>0</v>
      </c>
      <c r="D56" s="1793"/>
      <c r="E56" s="1794"/>
      <c r="F56" s="1790"/>
      <c r="I56" s="1880" t="s">
        <v>1351</v>
      </c>
      <c r="J56" s="1881"/>
      <c r="K56" s="899" t="s">
        <v>1352</v>
      </c>
      <c r="L56" s="1858">
        <f ca="1">IF(L48&lt;J51,"——",L48-J53)</f>
        <v>0</v>
      </c>
      <c r="O56" s="1854" t="s">
        <v>938</v>
      </c>
      <c r="P56" s="1855" t="s">
        <v>1315</v>
      </c>
      <c r="Q56" s="1893" t="e">
        <f ca="1">C40+J29</f>
        <v>#DIV/0!</v>
      </c>
      <c r="R56" s="1893" t="s">
        <v>1316</v>
      </c>
    </row>
    <row r="57" spans="1:18" s="838" customFormat="1" ht="24">
      <c r="A57" s="1795"/>
      <c r="B57" s="1796" t="s">
        <v>1296</v>
      </c>
      <c r="C57" s="284">
        <f ca="1">C29</f>
        <v>0</v>
      </c>
      <c r="D57" s="1797"/>
      <c r="E57" s="1798"/>
      <c r="F57" s="1799"/>
      <c r="I57" s="1882" t="s">
        <v>1353</v>
      </c>
      <c r="J57" s="1883">
        <f ca="1">IF(OR(M47="住宅",J51&lt;L48,J56="是"),"——",J51-L48)</f>
        <v>0</v>
      </c>
      <c r="K57" s="899" t="s">
        <v>1354</v>
      </c>
      <c r="L57" s="1858">
        <f ca="1">IF(L48&lt;J51,"——",IF(L55="比较法",L49,IF(L55="基准地价",L50,L51)))</f>
        <v>0</v>
      </c>
      <c r="O57" s="1854" t="s">
        <v>941</v>
      </c>
      <c r="P57" s="1855" t="s">
        <v>1355</v>
      </c>
      <c r="Q57" s="1893" t="e">
        <f ca="1">L60</f>
        <v>#DIV/0!</v>
      </c>
      <c r="R57" s="1893" t="s">
        <v>1356</v>
      </c>
    </row>
    <row r="58" spans="1:18" s="838" customFormat="1" ht="24">
      <c r="A58" s="1800" t="s">
        <v>1241</v>
      </c>
      <c r="B58" s="1792" t="s">
        <v>1242</v>
      </c>
      <c r="C58" s="380">
        <f ca="1">ROUND(C59+C64+C65+C66,0)</f>
        <v>0</v>
      </c>
      <c r="D58" s="1801" t="s">
        <v>1243</v>
      </c>
      <c r="E58" s="1802"/>
      <c r="F58" s="1769"/>
      <c r="I58" s="1882" t="s">
        <v>1357</v>
      </c>
      <c r="J58" s="1884" t="e">
        <f ca="1">IF(J55&lt;0.4,0.4,J55)</f>
        <v>#DIV/0!</v>
      </c>
      <c r="K58" s="1866" t="s">
        <v>1358</v>
      </c>
      <c r="L58" s="1858" t="e">
        <f ca="1">ROUND(POWER(1+L52,L47-L48)*(POWER(1+L52,L48)-1)/(POWER(1+L52,L47)-1),4)</f>
        <v>#DIV/0!</v>
      </c>
      <c r="O58" s="1861" t="s">
        <v>1327</v>
      </c>
      <c r="P58" s="1855" t="s">
        <v>1359</v>
      </c>
      <c r="Q58" s="1893">
        <f>IF(L55="比较法",L49,IF(L55="基准地价",L50,0))</f>
        <v>0</v>
      </c>
      <c r="R58" s="1893" t="s">
        <v>1316</v>
      </c>
    </row>
    <row r="59" spans="1:18" s="838" customFormat="1" ht="24">
      <c r="A59" s="1700" t="s">
        <v>833</v>
      </c>
      <c r="B59" s="1796" t="s">
        <v>1248</v>
      </c>
      <c r="C59" s="1724">
        <f ca="1">ROUND(IF(AND(项目基本情况!B11="自然人",项目基本情况!B10="北京市"),C49*F59/(1+'数据-取费表'!C42),C60+C61+C62),0)</f>
        <v>0</v>
      </c>
      <c r="D59" s="1803" t="s">
        <v>1249</v>
      </c>
      <c r="E59" s="1804" t="s">
        <v>1250</v>
      </c>
      <c r="F59" s="1726" t="str">
        <f>IF(项目基本情况!B11="企业","——",IF('数据-取费表'!B10="住宅",IF(F49*F50*F51/12/(1+'数据-取费表'!F30)&gt;100000,4%,2.5%),IF(F49*F50*F51/12/(1+'数据-取费表'!F30)&gt;100000,12%,7%)))</f>
        <v>——</v>
      </c>
      <c r="I59" s="1882" t="s">
        <v>1360</v>
      </c>
      <c r="J59" s="1883" t="e">
        <f ca="1">IF(OR(M47="住宅",J51&lt;L48,J56="是"),"——",ROUND(C29*J58,0))</f>
        <v>#DIV/0!</v>
      </c>
      <c r="K59" s="8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8" t="e">
        <f ca="1">ROUND(IF(D1="在建（套用方法）",M59,IF(D1="土地（套用方法）",N59,POWER(1+L52,L47-J51)*(POWER(1+L52,J51)-1)/(POWER(1+L52,L47)-1))),4)</f>
        <v>#DIV/0!</v>
      </c>
      <c r="M59" s="1853" t="e">
        <f ca="1">ROUND(POWER(1+L52,L47-(J51+'数据-取费表'!B24))*(POWER(1+L52,(J51+'数据-取费表'!B24))-1)/(POWER(1+L52,L47)-1),4)</f>
        <v>#DIV/0!</v>
      </c>
      <c r="N59" s="1853" t="e">
        <f ca="1">ROUND(POWER(1+L52,L47-(J51+'数据-取费表'!B20))*(POWER(1+L52,(J51+'数据-取费表'!B20))-1)/(POWER(1+L52,L47)-1),4)</f>
        <v>#DIV/0!</v>
      </c>
      <c r="O59" s="1861" t="s">
        <v>1331</v>
      </c>
      <c r="P59" s="1855" t="s">
        <v>1361</v>
      </c>
      <c r="Q59" s="1894">
        <f>L52</f>
        <v>0</v>
      </c>
      <c r="R59" s="1893"/>
    </row>
    <row r="60" spans="1:18" s="838" customFormat="1" ht="15.75">
      <c r="A60" s="1700" t="s">
        <v>856</v>
      </c>
      <c r="B60" s="1796" t="s">
        <v>1252</v>
      </c>
      <c r="C60" s="381">
        <f ca="1">IF(项目基本情况!B11="自然人","——",ROUND(C48*F60/(1+'数据-取费表'!C42),2))</f>
        <v>0</v>
      </c>
      <c r="D60" s="1804" t="s">
        <v>1253</v>
      </c>
      <c r="E60" s="1796" t="s">
        <v>1240</v>
      </c>
      <c r="F60" s="1716">
        <f t="shared" ref="F60:F66" si="0">F32</f>
        <v>5.6000000000000001E-2</v>
      </c>
      <c r="I60" s="1885" t="s">
        <v>1362</v>
      </c>
      <c r="J60" s="1886" t="e">
        <f ca="1">IF(OR(M47="住宅",J51&lt;L48,J56="是"),"0",ROUND(J59/(1+J52)^J53,0))</f>
        <v>#DIV/0!</v>
      </c>
      <c r="K60" s="1887" t="s">
        <v>1363</v>
      </c>
      <c r="L60" s="1886" t="e">
        <f ca="1">IF(OR(M47="住宅",L48&lt;J51),0,ROUND(L57*(L58/L59-1),0))</f>
        <v>#DIV/0!</v>
      </c>
      <c r="O60" s="1861" t="s">
        <v>1335</v>
      </c>
      <c r="P60" s="1855" t="s">
        <v>1364</v>
      </c>
      <c r="Q60" s="1893" t="e">
        <f ca="1">L58</f>
        <v>#DIV/0!</v>
      </c>
      <c r="R60" s="1893" t="s">
        <v>1365</v>
      </c>
    </row>
    <row r="61" spans="1:18" s="838" customFormat="1">
      <c r="A61" s="1700" t="s">
        <v>860</v>
      </c>
      <c r="B61" s="1796" t="s">
        <v>1256</v>
      </c>
      <c r="C61" s="381">
        <f ca="1">IF(项目基本情况!B11="自然人","——",IF(D61="按租金收入计税",ROUND(C49*F61/(1+'数据-取费表'!C42),2),IF(D61="按房产原值计税",ROUND(C57*F61*0.7,2),INDIRECT("'数据-取费表'!Aj"&amp;$G$1))))</f>
        <v>0</v>
      </c>
      <c r="D61" s="1728" t="s">
        <v>1257</v>
      </c>
      <c r="E61" s="1796" t="s">
        <v>1240</v>
      </c>
      <c r="F61" s="1709">
        <f t="shared" si="0"/>
        <v>1.2E-2</v>
      </c>
      <c r="I61" s="1744"/>
      <c r="J61" s="1744"/>
      <c r="K61" s="1744"/>
      <c r="L61" s="1744"/>
      <c r="O61" s="1861" t="s">
        <v>1339</v>
      </c>
      <c r="P61" s="1855" t="str">
        <f>K59</f>
        <v>建设期及建筑物耐用年限下的土地年期修正系数Kn</v>
      </c>
      <c r="Q61" s="1893" t="e">
        <f ca="1">L59</f>
        <v>#DIV/0!</v>
      </c>
      <c r="R61" s="1893" t="s">
        <v>1366</v>
      </c>
    </row>
    <row r="62" spans="1:18" s="838" customFormat="1">
      <c r="A62" s="1700" t="s">
        <v>863</v>
      </c>
      <c r="B62" s="1805" t="s">
        <v>1260</v>
      </c>
      <c r="C62" s="1730">
        <f ca="1">IF(项目基本情况!B11="自然人","——",ROUND(F62*F63/10000,2))</f>
        <v>0</v>
      </c>
      <c r="D62" s="1806" t="s">
        <v>1261</v>
      </c>
      <c r="E62" s="1796" t="s">
        <v>1262</v>
      </c>
      <c r="F62" s="1715">
        <f t="shared" si="0"/>
        <v>1.5</v>
      </c>
      <c r="I62" s="1888" t="s">
        <v>1367</v>
      </c>
      <c r="J62" s="1889" t="s">
        <v>1368</v>
      </c>
      <c r="K62" s="1889" t="s">
        <v>1369</v>
      </c>
      <c r="L62" s="1889" t="s">
        <v>1370</v>
      </c>
      <c r="M62" s="1890" t="s">
        <v>1371</v>
      </c>
      <c r="O62" s="1854" t="s">
        <v>1168</v>
      </c>
      <c r="P62" s="1855" t="s">
        <v>1345</v>
      </c>
      <c r="Q62" s="1893" t="e">
        <f ca="1">Q56+Q57</f>
        <v>#DIV/0!</v>
      </c>
      <c r="R62" s="1893" t="s">
        <v>1346</v>
      </c>
    </row>
    <row r="63" spans="1:18" s="838" customFormat="1">
      <c r="A63" s="1713"/>
      <c r="B63" s="1807"/>
      <c r="C63" s="1734"/>
      <c r="D63" s="1808"/>
      <c r="E63" s="1796" t="s">
        <v>1266</v>
      </c>
      <c r="F63" s="1672">
        <f t="shared" ca="1" si="0"/>
        <v>0</v>
      </c>
      <c r="I63" s="1888" t="s">
        <v>1372</v>
      </c>
      <c r="J63" s="1889">
        <v>70</v>
      </c>
      <c r="K63" s="1889">
        <v>50</v>
      </c>
      <c r="L63" s="1889">
        <v>80</v>
      </c>
      <c r="M63" s="1891">
        <v>0.02</v>
      </c>
      <c r="O63" s="1842" t="s">
        <v>1373</v>
      </c>
      <c r="P63" s="1875"/>
      <c r="Q63" s="1875"/>
      <c r="R63" s="1875"/>
    </row>
    <row r="64" spans="1:18" s="838" customFormat="1">
      <c r="A64" s="1700" t="s">
        <v>837</v>
      </c>
      <c r="B64" s="1796" t="s">
        <v>1268</v>
      </c>
      <c r="C64" s="381">
        <f ca="1">ROUND(C57*F64,1)</f>
        <v>0</v>
      </c>
      <c r="D64" s="1804" t="s">
        <v>1301</v>
      </c>
      <c r="E64" s="1796" t="s">
        <v>1240</v>
      </c>
      <c r="F64" s="1737">
        <f t="shared" ca="1" si="0"/>
        <v>0</v>
      </c>
      <c r="I64" s="1888" t="s">
        <v>1374</v>
      </c>
      <c r="J64" s="1889">
        <v>50</v>
      </c>
      <c r="K64" s="1889">
        <v>35</v>
      </c>
      <c r="L64" s="1889">
        <v>60</v>
      </c>
      <c r="M64" s="1890">
        <v>0</v>
      </c>
      <c r="O64" s="1847" t="s">
        <v>1309</v>
      </c>
      <c r="P64" s="1848" t="s">
        <v>1310</v>
      </c>
      <c r="Q64" s="1892" t="s">
        <v>1311</v>
      </c>
      <c r="R64" s="1892" t="s">
        <v>1312</v>
      </c>
    </row>
    <row r="65" spans="1:18" s="838" customFormat="1">
      <c r="A65" s="1700" t="s">
        <v>882</v>
      </c>
      <c r="B65" s="1796" t="s">
        <v>1272</v>
      </c>
      <c r="C65" s="381">
        <f ca="1">ROUND(C56*F65,1)</f>
        <v>0</v>
      </c>
      <c r="D65" s="1804" t="s">
        <v>1273</v>
      </c>
      <c r="E65" s="1796" t="s">
        <v>1240</v>
      </c>
      <c r="F65" s="1738">
        <f t="shared" ca="1" si="0"/>
        <v>0</v>
      </c>
      <c r="I65" s="1888" t="s">
        <v>1375</v>
      </c>
      <c r="J65" s="1889">
        <v>40</v>
      </c>
      <c r="K65" s="1889">
        <v>30</v>
      </c>
      <c r="L65" s="1889">
        <v>50</v>
      </c>
      <c r="M65" s="1891">
        <v>0.02</v>
      </c>
      <c r="O65" s="1854" t="s">
        <v>938</v>
      </c>
      <c r="P65" s="1855" t="s">
        <v>1315</v>
      </c>
      <c r="Q65" s="1893" t="e">
        <f ca="1">C40+J29</f>
        <v>#DIV/0!</v>
      </c>
      <c r="R65" s="1893" t="s">
        <v>1316</v>
      </c>
    </row>
    <row r="66" spans="1:18" s="838" customFormat="1" ht="15.75">
      <c r="A66" s="1700" t="s">
        <v>885</v>
      </c>
      <c r="B66" s="1796" t="s">
        <v>1258</v>
      </c>
      <c r="C66" s="381">
        <f ca="1">ROUND(C48*F66,1)</f>
        <v>0</v>
      </c>
      <c r="D66" s="1804" t="s">
        <v>1276</v>
      </c>
      <c r="E66" s="1796" t="s">
        <v>1240</v>
      </c>
      <c r="F66" s="1679">
        <f t="shared" ca="1" si="0"/>
        <v>0</v>
      </c>
      <c r="O66" s="1854" t="s">
        <v>941</v>
      </c>
      <c r="P66" s="1855" t="s">
        <v>1355</v>
      </c>
      <c r="Q66" s="1893" t="e">
        <f ca="1">L60</f>
        <v>#DIV/0!</v>
      </c>
      <c r="R66" s="1893" t="s">
        <v>1356</v>
      </c>
    </row>
    <row r="67" spans="1:18" s="838" customFormat="1" ht="15.75">
      <c r="A67" s="1791" t="s">
        <v>1279</v>
      </c>
      <c r="B67" s="1895" t="s">
        <v>1280</v>
      </c>
      <c r="C67" s="380">
        <f ca="1">C48-C58</f>
        <v>0</v>
      </c>
      <c r="D67" s="1803" t="s">
        <v>1281</v>
      </c>
      <c r="E67" s="1896"/>
      <c r="F67" s="1897"/>
      <c r="O67" s="1861" t="s">
        <v>1327</v>
      </c>
      <c r="P67" s="1855" t="s">
        <v>1359</v>
      </c>
      <c r="Q67" s="1917">
        <f ca="1">L51</f>
        <v>0</v>
      </c>
      <c r="R67" s="1893" t="s">
        <v>1376</v>
      </c>
    </row>
    <row r="68" spans="1:18" s="838" customFormat="1" ht="15.75">
      <c r="A68" s="1898" t="s">
        <v>1285</v>
      </c>
      <c r="B68" s="1899" t="s">
        <v>1302</v>
      </c>
      <c r="C68" s="1743" t="e">
        <f ca="1">ROUND(C67*(1-((1+F70)/(1+F68))^F69)/(F68-F70),0)</f>
        <v>#DIV/0!</v>
      </c>
      <c r="D68" s="1806" t="s">
        <v>1287</v>
      </c>
      <c r="E68" s="1796" t="s">
        <v>1288</v>
      </c>
      <c r="F68" s="1679">
        <f ca="1">F40</f>
        <v>0</v>
      </c>
      <c r="O68" s="1861" t="s">
        <v>1331</v>
      </c>
      <c r="P68" s="1916" t="s">
        <v>1377</v>
      </c>
      <c r="Q68" s="1893">
        <f ca="1">ROUND(Q69-Q70*Q71,0)</f>
        <v>0</v>
      </c>
      <c r="R68" s="1893" t="s">
        <v>1378</v>
      </c>
    </row>
    <row r="69" spans="1:18" s="838" customFormat="1">
      <c r="A69" s="1900"/>
      <c r="B69" s="1901"/>
      <c r="C69" s="1678"/>
      <c r="D69" s="1902" t="s">
        <v>1291</v>
      </c>
      <c r="E69" s="1796" t="s">
        <v>1292</v>
      </c>
      <c r="F69" s="1747">
        <f ca="1">F41</f>
        <v>0</v>
      </c>
      <c r="O69" s="1861" t="s">
        <v>1379</v>
      </c>
      <c r="P69" s="1916" t="s">
        <v>1380</v>
      </c>
      <c r="Q69" s="1893">
        <f ca="1">C39</f>
        <v>0</v>
      </c>
      <c r="R69" s="1893" t="s">
        <v>1316</v>
      </c>
    </row>
    <row r="70" spans="1:18" s="838" customFormat="1">
      <c r="A70" s="1903"/>
      <c r="B70" s="1904"/>
      <c r="C70" s="1697"/>
      <c r="D70" s="1808"/>
      <c r="E70" s="1796" t="s">
        <v>1295</v>
      </c>
      <c r="F70" s="1786"/>
      <c r="O70" s="1861" t="s">
        <v>1381</v>
      </c>
      <c r="P70" s="1916" t="s">
        <v>1382</v>
      </c>
      <c r="Q70" s="1893">
        <f ca="1">C13</f>
        <v>0</v>
      </c>
      <c r="R70" s="1893" t="s">
        <v>1316</v>
      </c>
    </row>
    <row r="71" spans="1:18" s="838" customFormat="1">
      <c r="A71" s="1905" t="s">
        <v>1297</v>
      </c>
      <c r="B71" s="1906" t="s">
        <v>1303</v>
      </c>
      <c r="C71" s="1751" t="e">
        <f ca="1">ROUND(C68*10000/F71,0)</f>
        <v>#DIV/0!</v>
      </c>
      <c r="D71" s="1907" t="s">
        <v>1304</v>
      </c>
      <c r="E71" s="1908" t="s">
        <v>1305</v>
      </c>
      <c r="F71" s="1754">
        <f ca="1">F43</f>
        <v>0</v>
      </c>
      <c r="O71" s="1861" t="s">
        <v>1383</v>
      </c>
      <c r="P71" s="1916" t="s">
        <v>1384</v>
      </c>
      <c r="Q71" s="1894">
        <f ca="1">C76</f>
        <v>0</v>
      </c>
      <c r="R71" s="1893"/>
    </row>
    <row r="72" spans="1:18" s="838" customFormat="1">
      <c r="B72" s="415"/>
      <c r="C72" s="415"/>
      <c r="O72" s="1861" t="s">
        <v>1335</v>
      </c>
      <c r="P72" s="1855" t="s">
        <v>1361</v>
      </c>
      <c r="Q72" s="1894">
        <f>L52</f>
        <v>0</v>
      </c>
      <c r="R72" s="1893"/>
    </row>
    <row r="73" spans="1:18" ht="15.75">
      <c r="A73" s="838"/>
      <c r="B73" s="415"/>
      <c r="C73" s="415"/>
      <c r="D73" s="838"/>
      <c r="E73" s="838"/>
      <c r="F73" s="838"/>
      <c r="O73" s="1861" t="s">
        <v>1339</v>
      </c>
      <c r="P73" s="1855" t="s">
        <v>1364</v>
      </c>
      <c r="Q73" s="1893" t="e">
        <f ca="1">L58</f>
        <v>#DIV/0!</v>
      </c>
      <c r="R73" s="1893" t="s">
        <v>1365</v>
      </c>
    </row>
    <row r="74" spans="1:18">
      <c r="A74" s="838"/>
      <c r="B74" s="316" t="s">
        <v>1385</v>
      </c>
      <c r="C74" s="1909"/>
      <c r="D74" s="838"/>
      <c r="E74" s="838"/>
      <c r="F74" s="838"/>
      <c r="O74" s="1861" t="s">
        <v>1386</v>
      </c>
      <c r="P74" s="1855" t="str">
        <f>K59</f>
        <v>建设期及建筑物耐用年限下的土地年期修正系数Kn</v>
      </c>
      <c r="Q74" s="1893" t="e">
        <f ca="1">L59</f>
        <v>#DIV/0!</v>
      </c>
      <c r="R74" s="1893" t="s">
        <v>1366</v>
      </c>
    </row>
    <row r="75" spans="1:18">
      <c r="A75" s="838"/>
      <c r="B75" s="1910" t="s">
        <v>1387</v>
      </c>
      <c r="C75" s="1911">
        <f ca="1">ROUND(C13*C76,0)</f>
        <v>0</v>
      </c>
      <c r="D75" s="838"/>
      <c r="E75" s="838"/>
      <c r="F75" s="838"/>
      <c r="K75" s="1841"/>
      <c r="L75" s="838"/>
      <c r="O75" s="1854" t="s">
        <v>1168</v>
      </c>
      <c r="P75" s="1855" t="s">
        <v>1345</v>
      </c>
      <c r="Q75" s="1893" t="e">
        <f ca="1">Q65+Q66</f>
        <v>#DIV/0!</v>
      </c>
      <c r="R75" s="1893" t="s">
        <v>1346</v>
      </c>
    </row>
    <row r="76" spans="1:18">
      <c r="B76" s="657" t="s">
        <v>1388</v>
      </c>
      <c r="C76" s="1912">
        <f ca="1">INDIRECT("'数据-取费表'!j"&amp;$G$1)</f>
        <v>0</v>
      </c>
      <c r="I76" s="838"/>
      <c r="J76" s="838"/>
      <c r="K76" s="1841"/>
      <c r="L76" s="838"/>
    </row>
    <row r="77" spans="1:18">
      <c r="B77" s="1913" t="s">
        <v>1389</v>
      </c>
      <c r="C77" s="1914"/>
      <c r="I77" s="838"/>
      <c r="J77" s="838"/>
      <c r="K77" s="1841"/>
      <c r="L77" s="838"/>
    </row>
    <row r="78" spans="1:18">
      <c r="B78" s="314" t="s">
        <v>1390</v>
      </c>
      <c r="C78" s="1915"/>
    </row>
    <row r="79" spans="1:18">
      <c r="B79" s="1910" t="s">
        <v>1391</v>
      </c>
      <c r="C79" s="317" t="e">
        <f ca="1">1-C80</f>
        <v>#DIV/0!</v>
      </c>
    </row>
    <row r="80" spans="1:18">
      <c r="B80" s="1910" t="s">
        <v>1392</v>
      </c>
      <c r="C80" s="317" t="e">
        <f ca="1">ROUND(C75/C39,3)</f>
        <v>#DIV/0!</v>
      </c>
    </row>
    <row r="81" spans="2:3">
      <c r="B81" s="314" t="s">
        <v>1393</v>
      </c>
      <c r="C81" s="284"/>
    </row>
    <row r="82" spans="2:3">
      <c r="B82" s="316" t="s">
        <v>1017</v>
      </c>
      <c r="C82" s="318" t="e">
        <f ca="1">1-C83</f>
        <v>#DIV/0!</v>
      </c>
    </row>
    <row r="83" spans="2:3">
      <c r="B83" s="316" t="s">
        <v>1018</v>
      </c>
      <c r="C83" s="31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30" customWidth="1"/>
    <col min="2" max="2" width="20.625" style="319" customWidth="1"/>
    <col min="3" max="3" width="11.875" style="319" customWidth="1"/>
    <col min="4" max="4" width="40.5" style="230" customWidth="1"/>
    <col min="5" max="5" width="15.75" style="230" customWidth="1"/>
    <col min="6" max="6" width="10.625" style="230" customWidth="1"/>
    <col min="7" max="7" width="4.875" style="230" customWidth="1"/>
    <col min="8" max="8" width="8.5" style="230" customWidth="1"/>
    <col min="9" max="9" width="21.25" style="230" customWidth="1"/>
    <col min="10" max="10" width="12.25" style="230" customWidth="1"/>
    <col min="11" max="11" width="40.125" style="1639" customWidth="1"/>
    <col min="12" max="12" width="16.375" style="230" customWidth="1"/>
    <col min="13" max="13" width="13" style="230" customWidth="1"/>
    <col min="14" max="14" width="13.75" style="838" customWidth="1"/>
    <col min="15" max="15" width="5.125" style="838" customWidth="1"/>
    <col min="16" max="16" width="25.75" style="838" customWidth="1"/>
    <col min="17" max="17" width="13.75" style="838" customWidth="1"/>
    <col min="18" max="18" width="20.5" style="838" customWidth="1"/>
    <col min="19" max="19" width="13.25" style="838" customWidth="1"/>
    <col min="20" max="37" width="9" style="838"/>
    <col min="38" max="16384" width="9" style="230"/>
  </cols>
  <sheetData>
    <row r="1" spans="1:37" s="1637" customFormat="1" ht="21">
      <c r="A1" s="1640" t="s">
        <v>1205</v>
      </c>
      <c r="B1" s="1191"/>
      <c r="C1" s="1641"/>
      <c r="D1" s="1642"/>
      <c r="E1" s="1643" t="s">
        <v>1206</v>
      </c>
      <c r="F1" s="1644">
        <f ca="1">J53</f>
        <v>0</v>
      </c>
      <c r="G1" s="1645">
        <f>MATCH(C1,'数据-取费表'!A6:A16,0)+5</f>
        <v>7</v>
      </c>
      <c r="H1" s="1646"/>
      <c r="I1" s="1809"/>
      <c r="J1" s="1809"/>
      <c r="K1" s="1810"/>
      <c r="L1" s="1809"/>
      <c r="M1" s="1809"/>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row>
    <row r="2" spans="1:37" ht="18" customHeight="1">
      <c r="A2" s="1647" t="s">
        <v>1207</v>
      </c>
      <c r="B2" s="1648" t="e">
        <f ca="1">ROUND(D2/10000,0)</f>
        <v>#DIV/0!</v>
      </c>
      <c r="C2" s="1649" t="s">
        <v>1208</v>
      </c>
      <c r="D2" s="1650" t="e">
        <f ca="1">C40+J29+L46</f>
        <v>#DIV/0!</v>
      </c>
      <c r="E2" s="1651" t="s">
        <v>1394</v>
      </c>
      <c r="F2" s="1652"/>
      <c r="G2" s="1653"/>
      <c r="H2" s="1654"/>
      <c r="I2" s="1654"/>
      <c r="J2" s="1654"/>
      <c r="K2" s="1812"/>
      <c r="L2" s="1654"/>
      <c r="M2" s="1654"/>
    </row>
    <row r="3" spans="1:37" ht="18" customHeight="1">
      <c r="A3" s="1655" t="s">
        <v>1209</v>
      </c>
      <c r="B3" s="1656">
        <f ca="1">IF(ISERROR(D2/F43),0,ROUND(D2/F43,0))</f>
        <v>0</v>
      </c>
      <c r="C3" s="1649" t="s">
        <v>1210</v>
      </c>
      <c r="D3" s="1649"/>
      <c r="E3" s="1651"/>
      <c r="F3" s="1652"/>
      <c r="G3" s="1653"/>
      <c r="H3" s="1657" t="s">
        <v>1211</v>
      </c>
      <c r="I3" s="1813"/>
      <c r="J3" s="1813"/>
      <c r="K3" s="1814"/>
      <c r="L3" s="1813"/>
      <c r="M3" s="1813"/>
    </row>
    <row r="4" spans="1:37" ht="18" customHeight="1">
      <c r="A4" s="1658" t="s">
        <v>1212</v>
      </c>
      <c r="B4" s="1659" t="s">
        <v>1213</v>
      </c>
      <c r="C4" s="1659" t="s">
        <v>1214</v>
      </c>
      <c r="D4" s="1659" t="s">
        <v>1215</v>
      </c>
      <c r="E4" s="1660" t="s">
        <v>1216</v>
      </c>
      <c r="F4" s="1661"/>
      <c r="G4" s="838"/>
      <c r="H4" s="1658" t="s">
        <v>1212</v>
      </c>
      <c r="I4" s="1659" t="s">
        <v>1213</v>
      </c>
      <c r="J4" s="1659" t="s">
        <v>1214</v>
      </c>
      <c r="K4" s="1659" t="s">
        <v>1215</v>
      </c>
      <c r="L4" s="1660" t="s">
        <v>1216</v>
      </c>
      <c r="M4" s="1661"/>
    </row>
    <row r="5" spans="1:37" ht="18" customHeight="1">
      <c r="A5" s="1662">
        <v>1</v>
      </c>
      <c r="B5" s="1663" t="s">
        <v>1217</v>
      </c>
      <c r="C5" s="1664">
        <f ca="1">C6+C10+C12</f>
        <v>0</v>
      </c>
      <c r="D5" s="1665" t="s">
        <v>1218</v>
      </c>
      <c r="E5" s="1666"/>
      <c r="F5" s="1667"/>
      <c r="G5" s="838"/>
      <c r="H5" s="1662">
        <v>1</v>
      </c>
      <c r="I5" s="1663" t="s">
        <v>1217</v>
      </c>
      <c r="J5" s="1664">
        <f ca="1">J6+J10+J12</f>
        <v>0</v>
      </c>
      <c r="K5" s="1665" t="s">
        <v>1218</v>
      </c>
      <c r="L5" s="1666"/>
      <c r="M5" s="1667"/>
    </row>
    <row r="6" spans="1:37" ht="18" customHeight="1">
      <c r="A6" s="1668" t="s">
        <v>833</v>
      </c>
      <c r="B6" s="3417" t="s">
        <v>1219</v>
      </c>
      <c r="C6" s="1669">
        <f ca="1">ROUND(F6*F8*F7*(1-F9),0)</f>
        <v>0</v>
      </c>
      <c r="D6" s="1670" t="s">
        <v>1395</v>
      </c>
      <c r="E6" s="1671" t="s">
        <v>1221</v>
      </c>
      <c r="F6" s="1672">
        <f ca="1">INDIRECT("'数据-取费表'!u"&amp;$G$1)</f>
        <v>0</v>
      </c>
      <c r="G6" s="838"/>
      <c r="H6" s="1668" t="s">
        <v>833</v>
      </c>
      <c r="I6" s="3417" t="s">
        <v>1219</v>
      </c>
      <c r="J6" s="1743">
        <f ca="1">ROUND(M6*M8*M7*(1-M9),0)</f>
        <v>0</v>
      </c>
      <c r="K6" s="1815" t="s">
        <v>1396</v>
      </c>
      <c r="L6" s="1671" t="s">
        <v>1221</v>
      </c>
      <c r="M6" s="1672">
        <f ca="1">INDIRECT("'数据-取费表'!z"&amp;$G$1)</f>
        <v>0</v>
      </c>
    </row>
    <row r="7" spans="1:37" ht="18" customHeight="1">
      <c r="A7" s="1673"/>
      <c r="B7" s="3418"/>
      <c r="C7" s="1674"/>
      <c r="D7" s="1675"/>
      <c r="E7" s="1676" t="s">
        <v>1223</v>
      </c>
      <c r="F7" s="1672">
        <f ca="1">IF(INDIRECT("'数据-取费表'!ah"&amp;$G$1)="",INDIRECT("'数据-取费表'!k"&amp;$G$1),INDIRECT("'数据-取费表'!ah"&amp;$G$1))</f>
        <v>0</v>
      </c>
      <c r="G7" s="838"/>
      <c r="H7" s="1677"/>
      <c r="I7" s="3418"/>
      <c r="J7" s="1678"/>
      <c r="K7" s="1675"/>
      <c r="L7" s="1671" t="s">
        <v>1223</v>
      </c>
      <c r="M7" s="1672">
        <f ca="1">F7</f>
        <v>0</v>
      </c>
    </row>
    <row r="8" spans="1:37" ht="18" customHeight="1">
      <c r="A8" s="1677"/>
      <c r="B8" s="3418"/>
      <c r="C8" s="1678"/>
      <c r="D8" s="1675"/>
      <c r="E8" s="1671" t="s">
        <v>1224</v>
      </c>
      <c r="F8" s="1672">
        <f ca="1">INDIRECT("'数据-取费表'!ai"&amp;$G$1)</f>
        <v>0</v>
      </c>
      <c r="G8" s="838"/>
      <c r="H8" s="1677"/>
      <c r="I8" s="3418"/>
      <c r="J8" s="1678"/>
      <c r="K8" s="1675"/>
      <c r="L8" s="1671" t="s">
        <v>1224</v>
      </c>
      <c r="M8" s="1672">
        <f ca="1">INDIRECT("'数据-取费表'!ai"&amp;$G$1)</f>
        <v>0</v>
      </c>
    </row>
    <row r="9" spans="1:37" ht="18" customHeight="1">
      <c r="A9" s="1677"/>
      <c r="B9" s="3419"/>
      <c r="C9" s="1678"/>
      <c r="D9" s="1675"/>
      <c r="E9" s="1671" t="s">
        <v>1225</v>
      </c>
      <c r="F9" s="1679">
        <f ca="1">INDIRECT("'数据-取费表'!w"&amp;$G$1)</f>
        <v>0</v>
      </c>
      <c r="G9" s="838"/>
      <c r="H9" s="1677"/>
      <c r="I9" s="3419"/>
      <c r="J9" s="1678"/>
      <c r="K9" s="1675"/>
      <c r="L9" s="1682" t="s">
        <v>1225</v>
      </c>
      <c r="M9" s="1687">
        <f ca="1">INDIRECT("'数据-取费表'!ab"&amp;$G$1)</f>
        <v>0</v>
      </c>
    </row>
    <row r="10" spans="1:37" ht="18" customHeight="1">
      <c r="A10" s="1668" t="s">
        <v>837</v>
      </c>
      <c r="B10" s="1680" t="s">
        <v>1226</v>
      </c>
      <c r="C10" s="380">
        <f ca="1">ROUND(IF(F10="押一",C6/12*F11,IF(F10="押二",C6/12*2*F11,IF(F10="押三",C6/12*3*F11,C11*F11))),0)</f>
        <v>0</v>
      </c>
      <c r="D10" s="1681" t="s">
        <v>1227</v>
      </c>
      <c r="E10" s="1682" t="s">
        <v>1228</v>
      </c>
      <c r="F10" s="1683"/>
      <c r="G10" s="838"/>
      <c r="H10" s="1668" t="s">
        <v>837</v>
      </c>
      <c r="I10" s="1680" t="s">
        <v>1226</v>
      </c>
      <c r="J10" s="1743">
        <f ca="1">ROUND(IF(M10="押一",J6/12*M11,IF(M10="押二",J6/12*2*M11,IF(M10="押三",J6/12*3*M11,J11*M11))),0)</f>
        <v>0</v>
      </c>
      <c r="K10" s="1816" t="s">
        <v>1397</v>
      </c>
      <c r="L10" s="1682" t="s">
        <v>1228</v>
      </c>
      <c r="M10" s="1683"/>
    </row>
    <row r="11" spans="1:37" ht="18" customHeight="1">
      <c r="A11" s="1684"/>
      <c r="B11" s="1685" t="s">
        <v>1398</v>
      </c>
      <c r="C11" s="1686"/>
      <c r="D11" s="1675"/>
      <c r="E11" s="1682" t="s">
        <v>1231</v>
      </c>
      <c r="F11" s="1687">
        <f ca="1">'数据-取费表'!B39</f>
        <v>1.4999999999999999E-2</v>
      </c>
      <c r="G11" s="838"/>
      <c r="H11" s="1688"/>
      <c r="I11" s="1685" t="s">
        <v>1399</v>
      </c>
      <c r="J11" s="1686"/>
      <c r="K11" s="1817"/>
      <c r="L11" s="1682" t="s">
        <v>1231</v>
      </c>
      <c r="M11" s="1818">
        <f ca="1">'数据-取费表'!B39</f>
        <v>1.4999999999999999E-2</v>
      </c>
    </row>
    <row r="12" spans="1:37" ht="18" customHeight="1">
      <c r="A12" s="1689" t="s">
        <v>882</v>
      </c>
      <c r="B12" s="1690" t="s">
        <v>1232</v>
      </c>
      <c r="C12" s="1691"/>
      <c r="D12" s="1692"/>
      <c r="E12" s="1693"/>
      <c r="F12" s="1694"/>
      <c r="G12" s="838"/>
      <c r="H12" s="1689" t="s">
        <v>882</v>
      </c>
      <c r="I12" s="1690" t="s">
        <v>1232</v>
      </c>
      <c r="J12" s="1691"/>
      <c r="K12" s="1819"/>
      <c r="L12" s="1693"/>
      <c r="M12" s="1820"/>
    </row>
    <row r="13" spans="1:37" ht="18" customHeight="1">
      <c r="A13" s="1695">
        <v>2</v>
      </c>
      <c r="B13" s="1696" t="s">
        <v>1233</v>
      </c>
      <c r="C13" s="1697">
        <f ca="1">ROUND(C29*F13,0)</f>
        <v>0</v>
      </c>
      <c r="D13" s="1698" t="s">
        <v>1234</v>
      </c>
      <c r="E13" s="1698" t="s">
        <v>1235</v>
      </c>
      <c r="F13" s="1699">
        <f ca="1">INDIRECT("'数据-取费表'!y"&amp;$G$1)</f>
        <v>0</v>
      </c>
      <c r="G13" s="838"/>
      <c r="H13" s="1695">
        <v>2</v>
      </c>
      <c r="I13" s="1696" t="s">
        <v>1233</v>
      </c>
      <c r="J13" s="1821">
        <f ca="1">ROUND(J14*J15,0)</f>
        <v>0</v>
      </c>
      <c r="K13" s="1721" t="s">
        <v>1234</v>
      </c>
      <c r="L13" s="1822"/>
      <c r="M13" s="1823"/>
    </row>
    <row r="14" spans="1:37" ht="18" customHeight="1">
      <c r="A14" s="1700" t="s">
        <v>856</v>
      </c>
      <c r="B14" s="1671" t="s">
        <v>1236</v>
      </c>
      <c r="C14" s="1701">
        <f ca="1">ROUND(INDIRECT("'数据-取费表'!l"&amp;$G$1)*F43+'数据-取费表'!L14*INDIRECT("'数据-取费表'!S"&amp;$G$1),0)</f>
        <v>0</v>
      </c>
      <c r="D14" s="1702" t="s">
        <v>1237</v>
      </c>
      <c r="E14" s="1703"/>
      <c r="F14" s="1704"/>
      <c r="G14" s="838"/>
      <c r="H14" s="1700" t="s">
        <v>833</v>
      </c>
      <c r="I14" s="1671" t="s">
        <v>1238</v>
      </c>
      <c r="J14" s="381">
        <f ca="1">C29</f>
        <v>0</v>
      </c>
      <c r="K14" s="1824"/>
      <c r="L14" s="1825"/>
      <c r="M14" s="1826"/>
    </row>
    <row r="15" spans="1:37" s="1638" customFormat="1" ht="18" customHeight="1">
      <c r="A15" s="1700" t="s">
        <v>860</v>
      </c>
      <c r="B15" s="1671" t="s">
        <v>1166</v>
      </c>
      <c r="C15" s="381">
        <f ca="1">ROUND(C14*F15,0)</f>
        <v>0</v>
      </c>
      <c r="D15" s="1705" t="s">
        <v>1239</v>
      </c>
      <c r="E15" s="1705" t="s">
        <v>1240</v>
      </c>
      <c r="F15" s="1706">
        <f>'数据-取费表'!B33</f>
        <v>0.03</v>
      </c>
      <c r="G15" s="1707"/>
      <c r="H15" s="1708" t="s">
        <v>837</v>
      </c>
      <c r="I15" s="1693" t="s">
        <v>1235</v>
      </c>
      <c r="J15" s="1820">
        <f ca="1">INDIRECT("'数据-取费表'!ad"&amp;$G$1)</f>
        <v>0</v>
      </c>
      <c r="K15" s="1827"/>
      <c r="L15" s="1828"/>
      <c r="M15" s="1829"/>
      <c r="N15" s="1707"/>
      <c r="O15" s="1707"/>
      <c r="P15" s="1707"/>
      <c r="Q15" s="1707"/>
      <c r="R15" s="1707"/>
      <c r="S15" s="1707"/>
      <c r="T15" s="1707"/>
      <c r="U15" s="1707"/>
      <c r="V15" s="1707"/>
      <c r="W15" s="1707"/>
      <c r="X15" s="1707"/>
      <c r="Y15" s="1707"/>
      <c r="Z15" s="1707"/>
      <c r="AA15" s="1707"/>
      <c r="AB15" s="1707"/>
      <c r="AC15" s="1707"/>
      <c r="AD15" s="1707"/>
      <c r="AE15" s="1707"/>
      <c r="AF15" s="1707"/>
      <c r="AG15" s="1707"/>
      <c r="AH15" s="1707"/>
      <c r="AI15" s="1707"/>
      <c r="AJ15" s="1707"/>
      <c r="AK15" s="1707"/>
    </row>
    <row r="16" spans="1:37" ht="18" customHeight="1">
      <c r="A16" s="1700" t="s">
        <v>863</v>
      </c>
      <c r="B16" s="1671" t="s">
        <v>1169</v>
      </c>
      <c r="C16" s="381">
        <f ca="1">ROUND(INDIRECT("'数据-取费表'!l"&amp;$G$1)*F43*F16,0)</f>
        <v>0</v>
      </c>
      <c r="D16" s="1671" t="s">
        <v>1239</v>
      </c>
      <c r="E16" s="1671" t="s">
        <v>1240</v>
      </c>
      <c r="F16" s="1709">
        <f ca="1">IF(INDIRECT("'数据-取费表'!c"&amp;$G$1)="住宅",'数据-取费表'!B34,0)</f>
        <v>0</v>
      </c>
      <c r="G16" s="838"/>
      <c r="H16" s="1695" t="s">
        <v>1241</v>
      </c>
      <c r="I16" s="1696" t="s">
        <v>1242</v>
      </c>
      <c r="J16" s="1697">
        <f ca="1">ROUND(J17+J22+J23+J24,0)</f>
        <v>0</v>
      </c>
      <c r="K16" s="1721" t="s">
        <v>1243</v>
      </c>
      <c r="L16" s="1722"/>
      <c r="M16" s="1667"/>
    </row>
    <row r="17" spans="1:37" s="1638" customFormat="1" ht="18" customHeight="1">
      <c r="A17" s="1700" t="s">
        <v>1244</v>
      </c>
      <c r="B17" s="1671" t="s">
        <v>1245</v>
      </c>
      <c r="C17" s="381">
        <f ca="1">ROUND(F17*(F43+INDIRECT("'数据-取费表'!S"&amp;$G$1)),0)</f>
        <v>0</v>
      </c>
      <c r="D17" s="1671" t="s">
        <v>1246</v>
      </c>
      <c r="E17" s="1671" t="s">
        <v>1247</v>
      </c>
      <c r="F17" s="1710">
        <f>'数据-取费表'!B35</f>
        <v>200</v>
      </c>
      <c r="G17" s="1707"/>
      <c r="H17" s="1700" t="s">
        <v>833</v>
      </c>
      <c r="I17" s="1671" t="s">
        <v>1248</v>
      </c>
      <c r="J17" s="1724">
        <f ca="1">ROUND(IF(AND(项目基本情况!B11="自然人",项目基本情况!B10="北京市"),J6*M17/(1+'数据-取费表'!C42),J18+J19+J20),0)</f>
        <v>0</v>
      </c>
      <c r="K17" s="1702" t="s">
        <v>1249</v>
      </c>
      <c r="L17" s="1725" t="s">
        <v>1250</v>
      </c>
      <c r="M17" s="1726" t="str">
        <f>IF(项目基本情况!B11="企业","",IF('数据-取费表'!B10="住宅",IF(M6*M7*M8/12/(1+'数据-取费表'!F30)&gt;100000,4%,2.5%),IF(M6*M7*M8/12/(1+'数据-取费表'!F30)&gt;100000,12%,7%)))</f>
        <v/>
      </c>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row>
    <row r="18" spans="1:37" s="1638" customFormat="1" ht="18" customHeight="1">
      <c r="A18" s="1700" t="s">
        <v>1251</v>
      </c>
      <c r="B18" s="1671" t="s">
        <v>1175</v>
      </c>
      <c r="C18" s="381">
        <f ca="1">ROUND(C14*F18,0)</f>
        <v>0</v>
      </c>
      <c r="D18" s="1671" t="s">
        <v>1239</v>
      </c>
      <c r="E18" s="1671" t="s">
        <v>1240</v>
      </c>
      <c r="F18" s="1709">
        <f>'数据-取费表'!B36</f>
        <v>1.4999999999999999E-2</v>
      </c>
      <c r="G18" s="1707"/>
      <c r="H18" s="1700" t="s">
        <v>856</v>
      </c>
      <c r="I18" s="1671" t="s">
        <v>1252</v>
      </c>
      <c r="J18" s="381">
        <f ca="1">ROUND(J6*M18/(1+'数据-取费表'!C42),0)</f>
        <v>0</v>
      </c>
      <c r="K18" s="1725" t="s">
        <v>1253</v>
      </c>
      <c r="L18" s="1671" t="s">
        <v>1240</v>
      </c>
      <c r="M18" s="1709">
        <f>'数据-取费表'!B41</f>
        <v>5.6000000000000001E-2</v>
      </c>
      <c r="N18" s="1707"/>
      <c r="O18" s="1707"/>
      <c r="P18" s="1707"/>
      <c r="Q18" s="1707"/>
      <c r="R18" s="1707"/>
      <c r="S18" s="1707"/>
      <c r="T18" s="1707"/>
      <c r="U18" s="1707"/>
      <c r="V18" s="1707"/>
      <c r="W18" s="1707"/>
      <c r="X18" s="1707"/>
      <c r="Y18" s="1707"/>
      <c r="Z18" s="1707"/>
      <c r="AA18" s="1707"/>
      <c r="AB18" s="1707"/>
      <c r="AC18" s="1707"/>
      <c r="AD18" s="1707"/>
      <c r="AE18" s="1707"/>
      <c r="AF18" s="1707"/>
      <c r="AG18" s="1707"/>
      <c r="AH18" s="1707"/>
      <c r="AI18" s="1707"/>
      <c r="AJ18" s="1707"/>
      <c r="AK18" s="1707"/>
    </row>
    <row r="19" spans="1:37" ht="18" customHeight="1">
      <c r="A19" s="1700" t="s">
        <v>833</v>
      </c>
      <c r="B19" s="1671" t="s">
        <v>1254</v>
      </c>
      <c r="C19" s="381">
        <f ca="1">SUM(C14:C18)</f>
        <v>0</v>
      </c>
      <c r="D19" s="1711" t="s">
        <v>1255</v>
      </c>
      <c r="E19" s="383"/>
      <c r="F19" s="1710"/>
      <c r="G19" s="838"/>
      <c r="H19" s="1700" t="s">
        <v>860</v>
      </c>
      <c r="I19" s="1671" t="s">
        <v>1256</v>
      </c>
      <c r="J19" s="381">
        <f ca="1">IF(K19="按租金收入计税",ROUND(J6*M19/(1+'数据-取费表'!C42),0),ROUND(C29*M19*0.7,0))</f>
        <v>0</v>
      </c>
      <c r="K19" s="1728" t="s">
        <v>1257</v>
      </c>
      <c r="L19" s="1671" t="s">
        <v>1240</v>
      </c>
      <c r="M19" s="1709">
        <f>IF(K19="按租金收入计税",'数据-取费表'!B51,'数据-取费表'!B50)</f>
        <v>1.2E-2</v>
      </c>
    </row>
    <row r="20" spans="1:37" s="1638" customFormat="1" ht="18" customHeight="1">
      <c r="A20" s="1700" t="s">
        <v>837</v>
      </c>
      <c r="B20" s="1671" t="s">
        <v>1258</v>
      </c>
      <c r="C20" s="381">
        <f ca="1">ROUND(C19*F20,0)</f>
        <v>0</v>
      </c>
      <c r="D20" s="1712" t="s">
        <v>1259</v>
      </c>
      <c r="E20" s="1671" t="s">
        <v>1240</v>
      </c>
      <c r="F20" s="1709">
        <f>'数据-取费表'!B37</f>
        <v>0.02</v>
      </c>
      <c r="G20" s="1707"/>
      <c r="H20" s="1700" t="s">
        <v>863</v>
      </c>
      <c r="I20" s="1670" t="s">
        <v>1260</v>
      </c>
      <c r="J20" s="1730">
        <f ca="1">ROUND(M20*M21,0)</f>
        <v>0</v>
      </c>
      <c r="K20" s="1731" t="s">
        <v>1261</v>
      </c>
      <c r="L20" s="1671" t="s">
        <v>1262</v>
      </c>
      <c r="M20" s="1715">
        <f>'数据-取费表'!B52</f>
        <v>1.5</v>
      </c>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row>
    <row r="21" spans="1:37" s="1638" customFormat="1" ht="18" customHeight="1">
      <c r="A21" s="1700" t="s">
        <v>882</v>
      </c>
      <c r="B21" s="1671" t="s">
        <v>1263</v>
      </c>
      <c r="C21" s="381" t="s">
        <v>124</v>
      </c>
      <c r="D21" s="1712" t="s">
        <v>1264</v>
      </c>
      <c r="E21" s="1671" t="s">
        <v>1265</v>
      </c>
      <c r="F21" s="1709">
        <f>'数据-取费表'!B38</f>
        <v>0.01</v>
      </c>
      <c r="G21" s="1707"/>
      <c r="H21" s="1713"/>
      <c r="I21" s="1830"/>
      <c r="J21" s="1734"/>
      <c r="K21" s="1735"/>
      <c r="L21" s="1671" t="s">
        <v>1266</v>
      </c>
      <c r="M21" s="1672">
        <f ca="1">INDIRECT("'数据-取费表'!r"&amp;$G$1)</f>
        <v>0</v>
      </c>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row>
    <row r="22" spans="1:37" ht="18" customHeight="1">
      <c r="A22" s="1700" t="s">
        <v>885</v>
      </c>
      <c r="B22" s="1671" t="s">
        <v>1267</v>
      </c>
      <c r="C22" s="381"/>
      <c r="D22" s="1711" t="str">
        <f>IF(F23&lt;=1,"单利计息。","复利计息。")&amp;"建造成本、管理费用、销售费用产生的利息。"</f>
        <v>复利计息。建造成本、管理费用、销售费用产生的利息。</v>
      </c>
      <c r="E22" s="383"/>
      <c r="F22" s="1710"/>
      <c r="G22" s="838"/>
      <c r="H22" s="1700" t="s">
        <v>837</v>
      </c>
      <c r="I22" s="1671" t="s">
        <v>1268</v>
      </c>
      <c r="J22" s="381">
        <f ca="1">ROUND(J14*M22,0)</f>
        <v>0</v>
      </c>
      <c r="K22" s="1725" t="s">
        <v>1269</v>
      </c>
      <c r="L22" s="1671" t="s">
        <v>1240</v>
      </c>
      <c r="M22" s="1737">
        <f ca="1">INDIRECT("'数据-取费表'!Ak"&amp;$G$1)</f>
        <v>0</v>
      </c>
    </row>
    <row r="23" spans="1:37" s="1638" customFormat="1" ht="18" customHeight="1">
      <c r="A23" s="1700" t="s">
        <v>856</v>
      </c>
      <c r="B23" s="1671" t="s">
        <v>1270</v>
      </c>
      <c r="C23" s="381">
        <f ca="1">IF('数据-取费表'!B22&lt;=1,ROUND(C19*F24*F23/2,0)+ROUND(C20*F24*F23/2,0),ROUND(C19*(POWER((1+F24),F23/2)-1),0)+ROUND(C20*(POWER((1+F24),F23/2)-1),0))</f>
        <v>0</v>
      </c>
      <c r="D23" s="1714" t="str">
        <f>IF(F23&lt;=1,"(建造成本+管理费用)×利率×(建设周期÷2)","(建造成本+管理费用)×((1+利率)^(建设周期÷2)-1)")</f>
        <v>(建造成本+管理费用)×((1+利率)^(建设周期÷2)-1)</v>
      </c>
      <c r="E23" s="1671" t="s">
        <v>1271</v>
      </c>
      <c r="F23" s="1715">
        <f>'数据-取费表'!B20</f>
        <v>3</v>
      </c>
      <c r="G23" s="1707"/>
      <c r="H23" s="1700" t="s">
        <v>882</v>
      </c>
      <c r="I23" s="1671" t="s">
        <v>1272</v>
      </c>
      <c r="J23" s="381">
        <f ca="1">ROUND(J13*M23,0)</f>
        <v>0</v>
      </c>
      <c r="K23" s="1725" t="s">
        <v>1273</v>
      </c>
      <c r="L23" s="1671" t="s">
        <v>1240</v>
      </c>
      <c r="M23" s="1738">
        <f ca="1">INDIRECT("'数据-取费表'!Al"&amp;$G$1)</f>
        <v>0</v>
      </c>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row>
    <row r="24" spans="1:37" s="1638" customFormat="1" ht="18" customHeight="1">
      <c r="A24" s="1700" t="s">
        <v>860</v>
      </c>
      <c r="B24" s="1671" t="s">
        <v>1274</v>
      </c>
      <c r="C24" s="381">
        <f ca="1">ROUND(IF('数据-取费表'!B22&lt;=1,F21*F24*F23/2,F21*(POWER((1+F24),F23/2)-1)),4)</f>
        <v>6.9999999999999999E-4</v>
      </c>
      <c r="D24" s="1714" t="str">
        <f>IF(F23&lt;=1,"销售费用×利率×(建设周期÷2)","销售费用×((1+利率)^(建设周期÷2)-1)")</f>
        <v>销售费用×((1+利率)^(建设周期÷2)-1)</v>
      </c>
      <c r="E24" s="1671" t="s">
        <v>1275</v>
      </c>
      <c r="F24" s="1716">
        <f ca="1">'数据-取费表'!B40</f>
        <v>4.3499999999999997E-2</v>
      </c>
      <c r="G24" s="1707"/>
      <c r="H24" s="1708" t="s">
        <v>885</v>
      </c>
      <c r="I24" s="1693" t="s">
        <v>1258</v>
      </c>
      <c r="J24" s="1717">
        <f ca="1">ROUND(J5*M24,0)</f>
        <v>0</v>
      </c>
      <c r="K24" s="1718" t="s">
        <v>1276</v>
      </c>
      <c r="L24" s="1693" t="s">
        <v>1240</v>
      </c>
      <c r="M24" s="1694">
        <f ca="1">INDIRECT("'数据-取费表'!Am"&amp;$G$1)</f>
        <v>0</v>
      </c>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row>
    <row r="25" spans="1:37" ht="18" customHeight="1">
      <c r="A25" s="1700" t="s">
        <v>889</v>
      </c>
      <c r="B25" s="1671" t="s">
        <v>1277</v>
      </c>
      <c r="C25" s="381"/>
      <c r="D25" s="1711" t="s">
        <v>1278</v>
      </c>
      <c r="E25" s="383"/>
      <c r="F25" s="1710"/>
      <c r="G25" s="838"/>
      <c r="H25" s="1695" t="s">
        <v>1279</v>
      </c>
      <c r="I25" s="1739" t="s">
        <v>1280</v>
      </c>
      <c r="J25" s="1697">
        <f ca="1">J5-J16</f>
        <v>0</v>
      </c>
      <c r="K25" s="1740" t="s">
        <v>1281</v>
      </c>
      <c r="L25" s="1741"/>
      <c r="M25" s="1742"/>
    </row>
    <row r="26" spans="1:37" ht="18" customHeight="1">
      <c r="A26" s="1700" t="s">
        <v>856</v>
      </c>
      <c r="B26" s="1671" t="s">
        <v>1282</v>
      </c>
      <c r="C26" s="381">
        <f ca="1">ROUND((C19+C20)*F26,0)</f>
        <v>0</v>
      </c>
      <c r="D26" s="1712" t="s">
        <v>1283</v>
      </c>
      <c r="E26" s="1682" t="s">
        <v>1284</v>
      </c>
      <c r="F26" s="1679">
        <f ca="1">INDIRECT("'数据-取费表'!q"&amp;$G$1)</f>
        <v>0</v>
      </c>
      <c r="G26" s="838"/>
      <c r="H26" s="1662" t="s">
        <v>1285</v>
      </c>
      <c r="I26" s="1663" t="s">
        <v>1286</v>
      </c>
      <c r="J26" s="1743">
        <f ca="1">IF(J5&lt;&gt;0,ROUND(J25*(1-((1+M28)/(1+M26))^M27)/(M26-M28),0),0)</f>
        <v>0</v>
      </c>
      <c r="K26" s="1731" t="s">
        <v>1287</v>
      </c>
      <c r="L26" s="1671" t="s">
        <v>1288</v>
      </c>
      <c r="M26" s="1679">
        <f ca="1">INDIRECT("'数据-取费表'!I"&amp;$G$1)</f>
        <v>0</v>
      </c>
    </row>
    <row r="27" spans="1:37" ht="18" customHeight="1">
      <c r="A27" s="1700" t="s">
        <v>860</v>
      </c>
      <c r="B27" s="1671" t="s">
        <v>1289</v>
      </c>
      <c r="C27" s="381">
        <f ca="1">ROUND(F21*F26,4)</f>
        <v>0</v>
      </c>
      <c r="D27" s="1712" t="s">
        <v>1290</v>
      </c>
      <c r="E27" s="1705"/>
      <c r="F27" s="1706"/>
      <c r="G27" s="838"/>
      <c r="H27" s="1677"/>
      <c r="I27" s="1745"/>
      <c r="J27" s="1678"/>
      <c r="K27" s="1746" t="s">
        <v>1291</v>
      </c>
      <c r="L27" s="1671" t="s">
        <v>1292</v>
      </c>
      <c r="M27" s="1747">
        <f ca="1">INDIRECT("'数据-取费表'!ag"&amp;$G$1)</f>
        <v>0</v>
      </c>
    </row>
    <row r="28" spans="1:37" s="1638" customFormat="1" ht="18" customHeight="1">
      <c r="A28" s="1700" t="s">
        <v>890</v>
      </c>
      <c r="B28" s="1671" t="s">
        <v>1293</v>
      </c>
      <c r="C28" s="381">
        <f>ROUND(F28/(1+'数据-取费表'!C42),4)</f>
        <v>5.33E-2</v>
      </c>
      <c r="D28" s="1712" t="s">
        <v>1294</v>
      </c>
      <c r="E28" s="1671" t="s">
        <v>1240</v>
      </c>
      <c r="F28" s="1709">
        <f>'数据-取费表'!B41</f>
        <v>5.6000000000000001E-2</v>
      </c>
      <c r="G28" s="1707"/>
      <c r="H28" s="1684"/>
      <c r="I28" s="1749"/>
      <c r="J28" s="1697"/>
      <c r="K28" s="1735"/>
      <c r="L28" s="1671" t="s">
        <v>1295</v>
      </c>
      <c r="M28" s="1679">
        <f ca="1">INDIRECT("'数据-取费表'!aa"&amp;$G$1)</f>
        <v>0</v>
      </c>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row>
    <row r="29" spans="1:37" s="1638" customFormat="1" ht="18" customHeight="1">
      <c r="A29" s="1708" t="s">
        <v>1200</v>
      </c>
      <c r="B29" s="1693" t="s">
        <v>1296</v>
      </c>
      <c r="C29" s="1717">
        <f ca="1">ROUND((C19+C20+C23+C26)/(1-F21-C24-C27-C28),0)</f>
        <v>0</v>
      </c>
      <c r="D29" s="1718"/>
      <c r="E29" s="1693"/>
      <c r="F29" s="1719"/>
      <c r="G29" s="1707"/>
      <c r="H29" s="1720" t="s">
        <v>1297</v>
      </c>
      <c r="I29" s="1750" t="s">
        <v>1298</v>
      </c>
      <c r="J29" s="1751">
        <f ca="1">ROUND(J26/(1+F40)^F41,0)</f>
        <v>0</v>
      </c>
      <c r="K29" s="1752" t="s">
        <v>1299</v>
      </c>
      <c r="L29" s="1753"/>
      <c r="M29" s="1754">
        <f ca="1">INDIRECT("'数据-取费表'!k"&amp;$G$1)</f>
        <v>0</v>
      </c>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row>
    <row r="30" spans="1:37" ht="18" customHeight="1">
      <c r="A30" s="1695" t="s">
        <v>1241</v>
      </c>
      <c r="B30" s="1696" t="s">
        <v>1242</v>
      </c>
      <c r="C30" s="1697">
        <f ca="1">ROUND(C31+C36+C37+C38,0)</f>
        <v>0</v>
      </c>
      <c r="D30" s="1721" t="s">
        <v>1243</v>
      </c>
      <c r="E30" s="1722"/>
      <c r="F30" s="1667"/>
      <c r="G30" s="838"/>
      <c r="H30" s="1723"/>
      <c r="I30" s="1831"/>
      <c r="J30" s="1832"/>
      <c r="K30" s="1833"/>
      <c r="L30" s="1834"/>
      <c r="M30" s="1835"/>
    </row>
    <row r="31" spans="1:37" ht="18" customHeight="1">
      <c r="A31" s="1700" t="s">
        <v>833</v>
      </c>
      <c r="B31" s="1671" t="s">
        <v>1248</v>
      </c>
      <c r="C31" s="1724">
        <f ca="1">ROUND(IF(AND(项目基本情况!B11="自然人",项目基本情况!B10="北京市"),C6*F31/(1+'数据-取费表'!C42),C32+C33+C34),0)</f>
        <v>0</v>
      </c>
      <c r="D31" s="1702" t="s">
        <v>1249</v>
      </c>
      <c r="E31" s="1725" t="s">
        <v>1250</v>
      </c>
      <c r="F31" s="1726" t="str">
        <f>IF(项目基本情况!B11="企业","——",IF('数据-取费表'!B10="住宅",IF(F6*F7*F8/12/(1+'数据-取费表'!F30)&gt;100000,4%,2.5%),IF(F6*F7*F8/12/(1+'数据-取费表'!F30)&gt;100000,12%,7%)))</f>
        <v>——</v>
      </c>
      <c r="G31" s="838"/>
      <c r="H31" s="1727" t="s">
        <v>1300</v>
      </c>
      <c r="I31" s="1831"/>
      <c r="J31" s="1832"/>
      <c r="K31" s="1833"/>
      <c r="L31" s="1834"/>
      <c r="M31" s="1835"/>
    </row>
    <row r="32" spans="1:37" ht="18" customHeight="1">
      <c r="A32" s="1700" t="s">
        <v>856</v>
      </c>
      <c r="B32" s="1671" t="s">
        <v>1252</v>
      </c>
      <c r="C32" s="381">
        <f ca="1">IF(项目基本情况!B11="自然人","——",ROUND(C6*F32/(1+'数据-取费表'!C42),0))</f>
        <v>0</v>
      </c>
      <c r="D32" s="1725" t="s">
        <v>1253</v>
      </c>
      <c r="E32" s="1671" t="s">
        <v>1240</v>
      </c>
      <c r="F32" s="1716">
        <f>'数据-取费表'!B41</f>
        <v>5.6000000000000001E-2</v>
      </c>
      <c r="G32" s="838"/>
      <c r="H32" s="1723"/>
      <c r="I32" s="1831"/>
      <c r="J32" s="1832"/>
      <c r="K32" s="1833"/>
      <c r="L32" s="1834"/>
      <c r="M32" s="1835"/>
    </row>
    <row r="33" spans="1:18" ht="18" customHeight="1">
      <c r="A33" s="1700" t="s">
        <v>860</v>
      </c>
      <c r="B33" s="1671" t="s">
        <v>1256</v>
      </c>
      <c r="C33" s="381">
        <f ca="1">IF(项目基本情况!B11="自然人","——",IF(D33="按租金收入计税",ROUND(C6*F33/(1+'数据-取费表'!C42),0),IF(D33="按房产原值计税",ROUND(C29*F33*0.7,0),INDIRECT("'数据-取费表'!Aj"&amp;$G$1))))</f>
        <v>0</v>
      </c>
      <c r="D33" s="1728" t="s">
        <v>1257</v>
      </c>
      <c r="E33" s="1671" t="s">
        <v>1240</v>
      </c>
      <c r="F33" s="1709">
        <f>IF(D33="按票据","——",IF(D33="按租金收入计税",'数据-取费表'!B51,'数据-取费表'!B50))</f>
        <v>1.2E-2</v>
      </c>
      <c r="G33" s="838"/>
      <c r="H33" s="1729"/>
      <c r="I33" s="1831"/>
      <c r="J33" s="1832"/>
      <c r="K33" s="1836"/>
      <c r="L33" s="1729"/>
      <c r="M33" s="1729"/>
    </row>
    <row r="34" spans="1:18" ht="18" customHeight="1">
      <c r="A34" s="1668" t="s">
        <v>863</v>
      </c>
      <c r="B34" s="1670" t="s">
        <v>1260</v>
      </c>
      <c r="C34" s="1730">
        <f ca="1">IF(项目基本情况!B11="自然人","——",ROUND(F34*F35,))</f>
        <v>0</v>
      </c>
      <c r="D34" s="1731" t="s">
        <v>1261</v>
      </c>
      <c r="E34" s="1671" t="s">
        <v>1262</v>
      </c>
      <c r="F34" s="1715">
        <f>'数据-取费表'!B52</f>
        <v>1.5</v>
      </c>
      <c r="G34" s="838"/>
      <c r="H34" s="1723"/>
      <c r="I34" s="1831"/>
      <c r="J34" s="1832"/>
      <c r="K34" s="1837"/>
      <c r="L34" s="1838"/>
      <c r="M34" s="1838"/>
    </row>
    <row r="35" spans="1:18" ht="18" customHeight="1">
      <c r="A35" s="1732"/>
      <c r="B35" s="1733"/>
      <c r="C35" s="1734"/>
      <c r="D35" s="1735"/>
      <c r="E35" s="1671" t="s">
        <v>1266</v>
      </c>
      <c r="F35" s="1672">
        <f ca="1">INDIRECT("'数据-取费表'!r"&amp;$G$1)</f>
        <v>0</v>
      </c>
      <c r="G35" s="838"/>
      <c r="H35" s="1723"/>
      <c r="I35" s="1831"/>
      <c r="J35" s="1832"/>
      <c r="K35" s="1836"/>
      <c r="L35" s="1729"/>
      <c r="M35" s="1729"/>
    </row>
    <row r="36" spans="1:18" ht="18" customHeight="1">
      <c r="A36" s="1736" t="s">
        <v>837</v>
      </c>
      <c r="B36" s="1671" t="s">
        <v>1268</v>
      </c>
      <c r="C36" s="381">
        <f ca="1">ROUND(C29*F36,0)</f>
        <v>0</v>
      </c>
      <c r="D36" s="1725" t="s">
        <v>1301</v>
      </c>
      <c r="E36" s="1671" t="s">
        <v>1240</v>
      </c>
      <c r="F36" s="1737">
        <f ca="1">INDIRECT("'数据-取费表'!Ak"&amp;$G$1)</f>
        <v>0</v>
      </c>
      <c r="G36" s="838"/>
      <c r="H36" s="1729"/>
      <c r="I36" s="1831"/>
      <c r="J36" s="1832"/>
      <c r="K36" s="1839"/>
      <c r="L36" s="1729"/>
      <c r="M36" s="1729"/>
    </row>
    <row r="37" spans="1:18" ht="18" customHeight="1">
      <c r="A37" s="1700" t="s">
        <v>882</v>
      </c>
      <c r="B37" s="1671" t="s">
        <v>1272</v>
      </c>
      <c r="C37" s="381">
        <f ca="1">ROUND(C13*F37,0)</f>
        <v>0</v>
      </c>
      <c r="D37" s="1725" t="s">
        <v>1273</v>
      </c>
      <c r="E37" s="1671" t="s">
        <v>1240</v>
      </c>
      <c r="F37" s="1738">
        <f ca="1">INDIRECT("'数据-取费表'!Al"&amp;$G$1)</f>
        <v>0</v>
      </c>
      <c r="G37" s="838"/>
      <c r="H37" s="1729"/>
      <c r="I37" s="1831"/>
      <c r="J37" s="1832"/>
      <c r="K37" s="1839"/>
      <c r="L37" s="1729"/>
      <c r="M37" s="1729"/>
    </row>
    <row r="38" spans="1:18" ht="18" customHeight="1">
      <c r="A38" s="1708" t="s">
        <v>885</v>
      </c>
      <c r="B38" s="1693" t="s">
        <v>1258</v>
      </c>
      <c r="C38" s="1717">
        <f ca="1">ROUND(C5*F38,1)</f>
        <v>0</v>
      </c>
      <c r="D38" s="1718" t="s">
        <v>1276</v>
      </c>
      <c r="E38" s="1693" t="s">
        <v>1240</v>
      </c>
      <c r="F38" s="1694">
        <f ca="1">INDIRECT("'数据-取费表'!Am"&amp;$G$1)</f>
        <v>0</v>
      </c>
      <c r="G38" s="838"/>
      <c r="H38" s="1729"/>
      <c r="I38" s="1831"/>
      <c r="J38" s="1832"/>
      <c r="K38" s="1840"/>
      <c r="L38" s="1729"/>
      <c r="M38" s="1729"/>
    </row>
    <row r="39" spans="1:18" ht="24.6" customHeight="1">
      <c r="A39" s="1695" t="s">
        <v>1279</v>
      </c>
      <c r="B39" s="1739" t="s">
        <v>1280</v>
      </c>
      <c r="C39" s="1697">
        <f ca="1">C5-C30</f>
        <v>0</v>
      </c>
      <c r="D39" s="1740" t="s">
        <v>1281</v>
      </c>
      <c r="E39" s="1741"/>
      <c r="F39" s="1742"/>
      <c r="G39" s="838"/>
      <c r="H39" s="1729"/>
      <c r="I39" s="1831"/>
      <c r="J39" s="1832"/>
      <c r="K39" s="1840"/>
      <c r="L39" s="1729"/>
      <c r="M39" s="1729"/>
    </row>
    <row r="40" spans="1:18" ht="18" customHeight="1">
      <c r="A40" s="1662" t="s">
        <v>1285</v>
      </c>
      <c r="B40" s="1663" t="s">
        <v>1302</v>
      </c>
      <c r="C40" s="1743" t="e">
        <f ca="1">ROUND(C39*(1-((1+F42)/(1+F40))^F41)/(F40-F42),0)</f>
        <v>#DIV/0!</v>
      </c>
      <c r="D40" s="1731" t="s">
        <v>1287</v>
      </c>
      <c r="E40" s="1671" t="s">
        <v>1288</v>
      </c>
      <c r="F40" s="1679">
        <f ca="1">INDIRECT("'数据-取费表'!I"&amp;$G$1)</f>
        <v>0</v>
      </c>
      <c r="G40" s="838"/>
      <c r="H40" s="1744"/>
      <c r="I40" s="1831"/>
      <c r="J40" s="1832"/>
      <c r="K40" s="1840"/>
      <c r="L40" s="1744"/>
      <c r="M40" s="1744"/>
    </row>
    <row r="41" spans="1:18" ht="18" customHeight="1">
      <c r="A41" s="1677"/>
      <c r="B41" s="1745"/>
      <c r="C41" s="1678"/>
      <c r="D41" s="1746" t="s">
        <v>1291</v>
      </c>
      <c r="E41" s="1671" t="s">
        <v>1292</v>
      </c>
      <c r="F41" s="1747">
        <f ca="1">IF(INDIRECT("'数据-取费表'!af"&amp;$G$1)=0,INDIRECT("'数据-取费表'!ae"&amp;$G$1),INDIRECT("'数据-取费表'!af"&amp;$G$1))</f>
        <v>0</v>
      </c>
      <c r="G41" s="838"/>
      <c r="H41" s="1748"/>
      <c r="I41" s="1831"/>
      <c r="J41" s="1832"/>
      <c r="K41" s="1839"/>
      <c r="L41" s="1748"/>
      <c r="M41" s="1748"/>
    </row>
    <row r="42" spans="1:18" ht="18" customHeight="1">
      <c r="A42" s="1684"/>
      <c r="B42" s="1749"/>
      <c r="C42" s="1697"/>
      <c r="D42" s="1735"/>
      <c r="E42" s="1671" t="s">
        <v>1295</v>
      </c>
      <c r="F42" s="1679">
        <f ca="1">INDIRECT("'数据-取费表'!v"&amp;$G$1)</f>
        <v>0</v>
      </c>
      <c r="G42" s="838"/>
      <c r="H42" s="1748"/>
      <c r="I42" s="1831"/>
      <c r="J42" s="1832"/>
      <c r="K42" s="1839"/>
      <c r="L42" s="1748"/>
      <c r="M42" s="1748"/>
    </row>
    <row r="43" spans="1:18" ht="18" customHeight="1">
      <c r="A43" s="1720" t="s">
        <v>1297</v>
      </c>
      <c r="B43" s="1750" t="s">
        <v>1303</v>
      </c>
      <c r="C43" s="1751" t="e">
        <f ca="1">ROUND(C40/F43,0)</f>
        <v>#DIV/0!</v>
      </c>
      <c r="D43" s="1752" t="s">
        <v>1304</v>
      </c>
      <c r="E43" s="1753" t="s">
        <v>1305</v>
      </c>
      <c r="F43" s="1754">
        <f ca="1">INDIRECT("'数据-取费表'!k"&amp;$G$1)</f>
        <v>0</v>
      </c>
      <c r="G43" s="838"/>
      <c r="H43" s="1748"/>
      <c r="I43" s="1748"/>
      <c r="J43" s="1748"/>
      <c r="K43" s="1839"/>
      <c r="L43" s="1748"/>
      <c r="M43" s="1748"/>
    </row>
    <row r="44" spans="1:18" s="838" customFormat="1" ht="18" customHeight="1">
      <c r="A44" s="1755"/>
      <c r="B44" s="1755"/>
      <c r="C44" s="1756"/>
      <c r="D44" s="1755"/>
      <c r="E44" s="1755"/>
      <c r="F44" s="1755"/>
      <c r="K44" s="1841"/>
    </row>
    <row r="45" spans="1:18" s="838" customFormat="1" ht="18" customHeight="1">
      <c r="A45" s="1755"/>
      <c r="B45" s="1755"/>
      <c r="C45" s="1757" t="e">
        <f ca="1">C68-C40</f>
        <v>#DIV/0!</v>
      </c>
      <c r="D45" s="1758" t="s">
        <v>1400</v>
      </c>
      <c r="E45" s="1755"/>
      <c r="F45" s="1755"/>
      <c r="O45" s="1842" t="s">
        <v>1306</v>
      </c>
      <c r="P45" s="1744"/>
      <c r="Q45" s="1744"/>
      <c r="R45" s="1744"/>
    </row>
    <row r="46" spans="1:18" s="838" customFormat="1">
      <c r="A46" s="1759" t="s">
        <v>1307</v>
      </c>
      <c r="C46" s="1760" t="e">
        <f ca="1">ROUND(C45/10000,0)</f>
        <v>#DIV/0!</v>
      </c>
      <c r="D46" s="1761" t="str">
        <f>C2</f>
        <v>万元</v>
      </c>
      <c r="I46" s="1843" t="s">
        <v>1308</v>
      </c>
      <c r="J46" s="1844"/>
      <c r="K46" s="1845"/>
      <c r="L46" s="1846" t="e">
        <f ca="1">IF(M47="住宅",0,IF(L48&gt;J51,L60,J60))</f>
        <v>#DIV/0!</v>
      </c>
      <c r="O46" s="1847" t="s">
        <v>1309</v>
      </c>
      <c r="P46" s="1848" t="s">
        <v>1310</v>
      </c>
      <c r="Q46" s="1892" t="s">
        <v>1311</v>
      </c>
      <c r="R46" s="1892" t="s">
        <v>1312</v>
      </c>
    </row>
    <row r="47" spans="1:18" s="838" customFormat="1">
      <c r="A47" s="1762" t="s">
        <v>1212</v>
      </c>
      <c r="B47" s="1763" t="s">
        <v>1213</v>
      </c>
      <c r="C47" s="1763" t="s">
        <v>1214</v>
      </c>
      <c r="D47" s="1763" t="s">
        <v>1215</v>
      </c>
      <c r="E47" s="1764" t="s">
        <v>1216</v>
      </c>
      <c r="F47" s="374"/>
      <c r="G47" s="1765"/>
      <c r="I47" s="1849" t="s">
        <v>1313</v>
      </c>
      <c r="J47" s="1850"/>
      <c r="K47" s="1851" t="s">
        <v>1314</v>
      </c>
      <c r="L47" s="1852">
        <f ca="1">INDIRECT("'数据-取费表'!d"&amp;$G$1)</f>
        <v>0</v>
      </c>
      <c r="M47" s="1853" t="str">
        <f>IF(ISNUMBER(FIND("住宅",C1)),"住宅","非住宅")</f>
        <v>非住宅</v>
      </c>
      <c r="O47" s="1854" t="s">
        <v>938</v>
      </c>
      <c r="P47" s="1855" t="s">
        <v>1315</v>
      </c>
      <c r="Q47" s="1893" t="e">
        <f ca="1">C40+J29</f>
        <v>#DIV/0!</v>
      </c>
      <c r="R47" s="1893" t="s">
        <v>1316</v>
      </c>
    </row>
    <row r="48" spans="1:18" s="838" customFormat="1" ht="27.75">
      <c r="A48" s="1766" t="s">
        <v>1317</v>
      </c>
      <c r="B48" s="1663" t="s">
        <v>1217</v>
      </c>
      <c r="C48" s="382">
        <f ca="1">C49+C53+C55</f>
        <v>0</v>
      </c>
      <c r="D48" s="1767"/>
      <c r="E48" s="1768"/>
      <c r="F48" s="1769"/>
      <c r="G48" s="1765"/>
      <c r="H48" s="1770"/>
      <c r="I48" s="899" t="s">
        <v>1318</v>
      </c>
      <c r="J48" s="1856"/>
      <c r="K48" s="1857" t="s">
        <v>1319</v>
      </c>
      <c r="L48" s="1858">
        <f ca="1">INDIRECT("'数据-取费表'!f"&amp;$G$1)</f>
        <v>0</v>
      </c>
      <c r="O48" s="1854" t="s">
        <v>941</v>
      </c>
      <c r="P48" s="1855" t="s">
        <v>1320</v>
      </c>
      <c r="Q48" s="1893" t="e">
        <f ca="1">J60</f>
        <v>#DIV/0!</v>
      </c>
      <c r="R48" s="1893" t="s">
        <v>1321</v>
      </c>
    </row>
    <row r="49" spans="1:18" s="838" customFormat="1">
      <c r="A49" s="1771" t="s">
        <v>1322</v>
      </c>
      <c r="B49" s="1772" t="s">
        <v>1323</v>
      </c>
      <c r="C49" s="1773">
        <f ca="1">ROUND(F49*F51*F50*(1-F52),0)</f>
        <v>0</v>
      </c>
      <c r="D49" s="1774" t="s">
        <v>1401</v>
      </c>
      <c r="E49" s="1775" t="s">
        <v>1324</v>
      </c>
      <c r="F49" s="1776"/>
      <c r="G49" s="1777"/>
      <c r="H49" s="1770"/>
      <c r="I49" s="899" t="s">
        <v>1325</v>
      </c>
      <c r="J49" s="1859"/>
      <c r="K49" s="1857" t="s">
        <v>1326</v>
      </c>
      <c r="L49" s="1860"/>
      <c r="O49" s="1861" t="s">
        <v>1327</v>
      </c>
      <c r="P49" s="1855" t="s">
        <v>1328</v>
      </c>
      <c r="Q49" s="1893">
        <f ca="1">C29</f>
        <v>0</v>
      </c>
      <c r="R49" s="1893" t="s">
        <v>1316</v>
      </c>
    </row>
    <row r="50" spans="1:18" s="838" customFormat="1">
      <c r="A50" s="1778"/>
      <c r="B50" s="1779"/>
      <c r="C50" s="1780"/>
      <c r="D50" s="1781"/>
      <c r="E50" s="1782" t="s">
        <v>1223</v>
      </c>
      <c r="F50" s="1783">
        <f ca="1">F7</f>
        <v>0</v>
      </c>
      <c r="H50" s="1770"/>
      <c r="I50" s="899" t="s">
        <v>1329</v>
      </c>
      <c r="J50" s="1862">
        <f>SUMPRODUCT((I63:I65=J47)*(J62:L62=J48)*(J63:L65))</f>
        <v>0</v>
      </c>
      <c r="K50" s="1857" t="s">
        <v>1330</v>
      </c>
      <c r="L50" s="1860"/>
      <c r="M50" s="1863"/>
      <c r="O50" s="1861" t="s">
        <v>1331</v>
      </c>
      <c r="P50" s="1855" t="s">
        <v>1332</v>
      </c>
      <c r="Q50" s="1894" t="e">
        <f ca="1">J58</f>
        <v>#DIV/0!</v>
      </c>
      <c r="R50" s="1893"/>
    </row>
    <row r="51" spans="1:18" s="838" customFormat="1">
      <c r="A51" s="1784"/>
      <c r="B51" s="1779"/>
      <c r="C51" s="1780"/>
      <c r="D51" s="1781"/>
      <c r="E51" s="1785" t="s">
        <v>1224</v>
      </c>
      <c r="F51" s="1672">
        <f ca="1">F8</f>
        <v>0</v>
      </c>
      <c r="I51" s="1864" t="s">
        <v>1333</v>
      </c>
      <c r="J51" s="1865">
        <f>IF(J49="",J50,J49+J50-YEAR('数据-取费表'!B2))</f>
        <v>0</v>
      </c>
      <c r="K51" s="1866" t="s">
        <v>1334</v>
      </c>
      <c r="L51" s="1867">
        <f ca="1">ROUND(-PV(INDIRECT("'数据-取费表'!h"&amp;$G$1),J51,(C39-C13*C76),0),0)</f>
        <v>0</v>
      </c>
      <c r="M51" s="1868"/>
      <c r="O51" s="1861" t="s">
        <v>1335</v>
      </c>
      <c r="P51" s="1855" t="s">
        <v>1336</v>
      </c>
      <c r="Q51" s="1894">
        <f>J52</f>
        <v>0</v>
      </c>
      <c r="R51" s="1893"/>
    </row>
    <row r="52" spans="1:18" s="838" customFormat="1">
      <c r="A52" s="1784"/>
      <c r="B52" s="1779"/>
      <c r="C52" s="1780"/>
      <c r="D52" s="1781"/>
      <c r="E52" s="1785" t="s">
        <v>1225</v>
      </c>
      <c r="F52" s="1786"/>
      <c r="I52" s="1869" t="s">
        <v>1337</v>
      </c>
      <c r="J52" s="1870"/>
      <c r="K52" s="1869" t="s">
        <v>1338</v>
      </c>
      <c r="L52" s="1870"/>
      <c r="O52" s="1861" t="s">
        <v>1339</v>
      </c>
      <c r="P52" s="1855" t="s">
        <v>1340</v>
      </c>
      <c r="Q52" s="1893">
        <f ca="1">J53</f>
        <v>0</v>
      </c>
      <c r="R52" s="1893" t="s">
        <v>1341</v>
      </c>
    </row>
    <row r="53" spans="1:18" s="838" customFormat="1" ht="30.75" customHeight="1">
      <c r="A53" s="1787" t="s">
        <v>1342</v>
      </c>
      <c r="B53" s="1712" t="s">
        <v>1226</v>
      </c>
      <c r="C53" s="380">
        <f ca="1">ROUND(IF(F53="押一",C49/12*F11,IF(F53="押二",C49/12*2*F11,IF(F53="押三",C49/12*3*F11,C54*F11))),0)</f>
        <v>0</v>
      </c>
      <c r="D53" s="1681" t="s">
        <v>1402</v>
      </c>
      <c r="E53" s="1682" t="s">
        <v>1228</v>
      </c>
      <c r="F53" s="1683"/>
      <c r="I53" s="1871" t="s">
        <v>1343</v>
      </c>
      <c r="J53" s="1872">
        <f ca="1">IF(M47="住宅",IF(D1="——",MAX(J51,L48),MAX(J51,L48-'数据-取费表'!B24)),IF(D1="——",MIN(J51,L48),MIN(J51,L48-'数据-取费表'!B24)))</f>
        <v>0</v>
      </c>
      <c r="K53" s="3415" t="s">
        <v>1344</v>
      </c>
      <c r="L53" s="3416"/>
      <c r="O53" s="1854" t="s">
        <v>1168</v>
      </c>
      <c r="P53" s="1855" t="s">
        <v>1345</v>
      </c>
      <c r="Q53" s="1893" t="e">
        <f ca="1">Q47+Q48</f>
        <v>#DIV/0!</v>
      </c>
      <c r="R53" s="1893" t="s">
        <v>1346</v>
      </c>
    </row>
    <row r="54" spans="1:18" s="838" customFormat="1">
      <c r="A54" s="1771"/>
      <c r="B54" s="1788" t="s">
        <v>1399</v>
      </c>
      <c r="C54" s="1686"/>
      <c r="D54" s="1681"/>
      <c r="E54" s="1789"/>
      <c r="F54" s="1790"/>
      <c r="I54" s="1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4"/>
      <c r="K54" s="1874"/>
      <c r="L54" s="1874"/>
      <c r="M54" s="1777"/>
      <c r="O54" s="1842" t="s">
        <v>1347</v>
      </c>
      <c r="P54" s="1875"/>
      <c r="Q54" s="1875"/>
      <c r="R54" s="1875"/>
    </row>
    <row r="55" spans="1:18" s="838" customFormat="1">
      <c r="A55" s="1689" t="s">
        <v>882</v>
      </c>
      <c r="B55" s="1690" t="s">
        <v>1232</v>
      </c>
      <c r="C55" s="1691"/>
      <c r="D55" s="1681"/>
      <c r="E55" s="1789"/>
      <c r="F55" s="1790"/>
      <c r="I55" s="1876" t="s">
        <v>1348</v>
      </c>
      <c r="J55" s="1877" t="e">
        <f ca="1">ROUND(IF(J47="钢混",J57/J50,1-(1-2%)*(J50-J57)/J50),3)</f>
        <v>#DIV/0!</v>
      </c>
      <c r="K55" s="1878" t="s">
        <v>1349</v>
      </c>
      <c r="L55" s="1879"/>
      <c r="O55" s="1847" t="s">
        <v>1309</v>
      </c>
      <c r="P55" s="1848" t="s">
        <v>1310</v>
      </c>
      <c r="Q55" s="1892" t="s">
        <v>1311</v>
      </c>
      <c r="R55" s="1892" t="s">
        <v>1312</v>
      </c>
    </row>
    <row r="56" spans="1:18" s="838" customFormat="1" ht="36" customHeight="1">
      <c r="A56" s="1791">
        <v>2</v>
      </c>
      <c r="B56" s="1792" t="s">
        <v>1233</v>
      </c>
      <c r="C56" s="274">
        <f ca="1">C13</f>
        <v>0</v>
      </c>
      <c r="D56" s="1793"/>
      <c r="E56" s="1794"/>
      <c r="F56" s="1790"/>
      <c r="I56" s="1880" t="s">
        <v>1351</v>
      </c>
      <c r="J56" s="1881"/>
      <c r="K56" s="899" t="s">
        <v>1352</v>
      </c>
      <c r="L56" s="1858">
        <f ca="1">IF(L48&lt;J51,"——",L48-J51)</f>
        <v>0</v>
      </c>
      <c r="O56" s="1854" t="s">
        <v>938</v>
      </c>
      <c r="P56" s="1855" t="s">
        <v>1315</v>
      </c>
      <c r="Q56" s="1893" t="e">
        <f ca="1">C40+J29</f>
        <v>#DIV/0!</v>
      </c>
      <c r="R56" s="1893" t="s">
        <v>1316</v>
      </c>
    </row>
    <row r="57" spans="1:18" s="838" customFormat="1" ht="24">
      <c r="A57" s="1795"/>
      <c r="B57" s="1796" t="s">
        <v>1296</v>
      </c>
      <c r="C57" s="284">
        <f ca="1">C29</f>
        <v>0</v>
      </c>
      <c r="D57" s="1797"/>
      <c r="E57" s="1798"/>
      <c r="F57" s="1799"/>
      <c r="I57" s="1882" t="s">
        <v>1353</v>
      </c>
      <c r="J57" s="1883">
        <f ca="1">IF(OR(M47="住宅",J51&lt;L48,J56="是"),"——",J51-L48)</f>
        <v>0</v>
      </c>
      <c r="K57" s="899" t="s">
        <v>1403</v>
      </c>
      <c r="L57" s="1858">
        <f ca="1">IF(L48&lt;J51,"——",IF(L55="比较法",L49,IF(L55="基准地价",L50,L51)))</f>
        <v>0</v>
      </c>
      <c r="O57" s="1854" t="s">
        <v>941</v>
      </c>
      <c r="P57" s="1855" t="s">
        <v>1355</v>
      </c>
      <c r="Q57" s="1893" t="e">
        <f ca="1">L60</f>
        <v>#DIV/0!</v>
      </c>
      <c r="R57" s="1893" t="s">
        <v>1356</v>
      </c>
    </row>
    <row r="58" spans="1:18" s="838" customFormat="1" ht="24">
      <c r="A58" s="1800" t="s">
        <v>1241</v>
      </c>
      <c r="B58" s="1792" t="s">
        <v>1242</v>
      </c>
      <c r="C58" s="380">
        <f ca="1">ROUND(C59+C64+C65+C66,0)</f>
        <v>0</v>
      </c>
      <c r="D58" s="1801" t="s">
        <v>1243</v>
      </c>
      <c r="E58" s="1802"/>
      <c r="F58" s="1769"/>
      <c r="I58" s="1882" t="s">
        <v>1357</v>
      </c>
      <c r="J58" s="1884" t="e">
        <f ca="1">IF(J55&lt;0.4,0.4,J55)</f>
        <v>#DIV/0!</v>
      </c>
      <c r="K58" s="1866" t="s">
        <v>1404</v>
      </c>
      <c r="L58" s="1858" t="e">
        <f ca="1">ROUND(POWER(1+L52,L47-L48)*(POWER(1+L52,L48)-1)/(POWER(1+L52,L47)-1),4)</f>
        <v>#DIV/0!</v>
      </c>
      <c r="O58" s="1861" t="s">
        <v>1327</v>
      </c>
      <c r="P58" s="1855" t="s">
        <v>1359</v>
      </c>
      <c r="Q58" s="1893">
        <f>IF(L55="比较法",L49,IF(L55="基准地价",L50,0))</f>
        <v>0</v>
      </c>
      <c r="R58" s="1893" t="s">
        <v>1316</v>
      </c>
    </row>
    <row r="59" spans="1:18" s="838" customFormat="1" ht="24">
      <c r="A59" s="1700" t="s">
        <v>833</v>
      </c>
      <c r="B59" s="1796" t="s">
        <v>1248</v>
      </c>
      <c r="C59" s="1724">
        <f ca="1">ROUND(IF(AND(项目基本情况!B11="自然人",项目基本情况!B10="北京市"),C49*F59/(1+'数据-取费表'!C42),C60+C61+C62),0)</f>
        <v>0</v>
      </c>
      <c r="D59" s="1803" t="s">
        <v>1249</v>
      </c>
      <c r="E59" s="1804" t="s">
        <v>1250</v>
      </c>
      <c r="F59" s="1726" t="str">
        <f>IF(项目基本情况!B11="企业","——",IF('数据-取费表'!B10="住宅",IF(F49*F50*F51/12/(1+'数据-取费表'!F30)&gt;100000,4%,2.5%),IF(F49*F50*F51/12/(1+'数据-取费表'!F30)&gt;100000,12%,7%)))</f>
        <v>——</v>
      </c>
      <c r="I59" s="1882" t="s">
        <v>1360</v>
      </c>
      <c r="J59" s="1883" t="e">
        <f ca="1">IF(OR(M47="住宅",J51&lt;L48,J56="是"),"——",ROUND(C29*J58,0))</f>
        <v>#DIV/0!</v>
      </c>
      <c r="K59" s="8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8" t="e">
        <f ca="1">ROUND(IF(D1="在建（套用方法）",M59,IF(D1="土地（套用方法）",N59,POWER(1+L52,L47-J51)*(POWER(1+L52,J51)-1)/(POWER(1+L52,L47)-1))),4)</f>
        <v>#DIV/0!</v>
      </c>
      <c r="M59" s="1875" t="e">
        <f ca="1">ROUND(POWER(1+L52,L47-(J51+'数据-取费表'!B24))*(POWER(1+L52,(J51+'数据-取费表'!B24))-1)/(POWER(1+L52,L47)-1),4)</f>
        <v>#DIV/0!</v>
      </c>
      <c r="N59" s="1875" t="e">
        <f ca="1">ROUND(POWER(1+L52,L47-(J51+'数据-取费表'!B20))*(POWER(1+L52,(J51+'数据-取费表'!B20))-1)/(POWER(1+L52,L47)-1),4)</f>
        <v>#DIV/0!</v>
      </c>
      <c r="O59" s="1861" t="s">
        <v>1331</v>
      </c>
      <c r="P59" s="1855" t="s">
        <v>1361</v>
      </c>
      <c r="Q59" s="1894">
        <f>L52</f>
        <v>0</v>
      </c>
      <c r="R59" s="1893"/>
    </row>
    <row r="60" spans="1:18" s="838" customFormat="1" ht="15.75">
      <c r="A60" s="1700" t="s">
        <v>856</v>
      </c>
      <c r="B60" s="1796" t="s">
        <v>1252</v>
      </c>
      <c r="C60" s="381">
        <f ca="1">IF(项目基本情况!B11="自然人","——",ROUND(C48*F60/(1+'数据-取费表'!C42),0))</f>
        <v>0</v>
      </c>
      <c r="D60" s="1804" t="s">
        <v>1253</v>
      </c>
      <c r="E60" s="1796" t="s">
        <v>1240</v>
      </c>
      <c r="F60" s="1716">
        <f t="shared" ref="F60:F66" si="0">F32</f>
        <v>5.6000000000000001E-2</v>
      </c>
      <c r="I60" s="1885" t="s">
        <v>1362</v>
      </c>
      <c r="J60" s="1886" t="e">
        <f ca="1">IF(OR(M47="住宅",J51&lt;L48,J56="是"),"0",ROUND(J59/(1+J52)^J53,0))</f>
        <v>#DIV/0!</v>
      </c>
      <c r="K60" s="1887" t="s">
        <v>1363</v>
      </c>
      <c r="L60" s="1886" t="e">
        <f ca="1">IF(OR(M47="住宅",L48&lt;J51),0,ROUND(L57*(L58/L59-1),0))</f>
        <v>#DIV/0!</v>
      </c>
      <c r="O60" s="1861" t="s">
        <v>1335</v>
      </c>
      <c r="P60" s="1855" t="s">
        <v>1364</v>
      </c>
      <c r="Q60" s="1893" t="e">
        <f ca="1">L58</f>
        <v>#DIV/0!</v>
      </c>
      <c r="R60" s="1893" t="s">
        <v>1365</v>
      </c>
    </row>
    <row r="61" spans="1:18" s="838" customFormat="1">
      <c r="A61" s="1700" t="s">
        <v>860</v>
      </c>
      <c r="B61" s="1796" t="s">
        <v>1256</v>
      </c>
      <c r="C61" s="381">
        <f ca="1">IF(项目基本情况!B11="自然人","——",IF(D61="按租金收入计税",ROUND(C49*F61/(1+'数据-取费表'!C42),0),IF(D61="按房产原值计税",ROUND(C57*F61*0.7,0),INDIRECT("'数据-取费表'!Aj"&amp;$G$1))))</f>
        <v>0</v>
      </c>
      <c r="D61" s="1728" t="s">
        <v>1257</v>
      </c>
      <c r="E61" s="1796" t="s">
        <v>1240</v>
      </c>
      <c r="F61" s="1709">
        <f t="shared" si="0"/>
        <v>1.2E-2</v>
      </c>
      <c r="I61" s="1744"/>
      <c r="J61" s="1744"/>
      <c r="K61" s="1744"/>
      <c r="L61" s="1744"/>
      <c r="O61" s="1861" t="s">
        <v>1339</v>
      </c>
      <c r="P61" s="1855" t="str">
        <f>K59</f>
        <v>建设期及建筑物耐用年限下的土地年期修正系数Kn</v>
      </c>
      <c r="Q61" s="1893" t="e">
        <f ca="1">L59</f>
        <v>#DIV/0!</v>
      </c>
      <c r="R61" s="1893" t="s">
        <v>1366</v>
      </c>
    </row>
    <row r="62" spans="1:18" s="838" customFormat="1">
      <c r="A62" s="1700" t="s">
        <v>863</v>
      </c>
      <c r="B62" s="1805" t="s">
        <v>1260</v>
      </c>
      <c r="C62" s="1730">
        <f ca="1">IF(项目基本情况!B11="自然人","——",ROUND(F62*F63,0))</f>
        <v>0</v>
      </c>
      <c r="D62" s="1806" t="s">
        <v>1261</v>
      </c>
      <c r="E62" s="1796" t="s">
        <v>1262</v>
      </c>
      <c r="F62" s="1715">
        <f t="shared" si="0"/>
        <v>1.5</v>
      </c>
      <c r="I62" s="1888" t="s">
        <v>1367</v>
      </c>
      <c r="J62" s="1889" t="s">
        <v>1368</v>
      </c>
      <c r="K62" s="1889" t="s">
        <v>1369</v>
      </c>
      <c r="L62" s="1889" t="s">
        <v>1370</v>
      </c>
      <c r="M62" s="1890" t="s">
        <v>1371</v>
      </c>
      <c r="O62" s="1854" t="s">
        <v>1168</v>
      </c>
      <c r="P62" s="1855" t="s">
        <v>1345</v>
      </c>
      <c r="Q62" s="1893" t="e">
        <f ca="1">Q56+Q57</f>
        <v>#DIV/0!</v>
      </c>
      <c r="R62" s="1893" t="s">
        <v>1346</v>
      </c>
    </row>
    <row r="63" spans="1:18" s="838" customFormat="1">
      <c r="A63" s="1713"/>
      <c r="B63" s="1807"/>
      <c r="C63" s="1734"/>
      <c r="D63" s="1808"/>
      <c r="E63" s="1796" t="s">
        <v>1266</v>
      </c>
      <c r="F63" s="1672">
        <f t="shared" ca="1" si="0"/>
        <v>0</v>
      </c>
      <c r="I63" s="1888" t="s">
        <v>1372</v>
      </c>
      <c r="J63" s="1889">
        <v>70</v>
      </c>
      <c r="K63" s="1889">
        <v>50</v>
      </c>
      <c r="L63" s="1889">
        <v>80</v>
      </c>
      <c r="M63" s="1891">
        <v>0.02</v>
      </c>
      <c r="O63" s="1842" t="s">
        <v>1373</v>
      </c>
      <c r="P63" s="1875"/>
      <c r="Q63" s="1875"/>
      <c r="R63" s="1875"/>
    </row>
    <row r="64" spans="1:18" s="838" customFormat="1">
      <c r="A64" s="1700" t="s">
        <v>837</v>
      </c>
      <c r="B64" s="1796" t="s">
        <v>1268</v>
      </c>
      <c r="C64" s="381">
        <f ca="1">ROUND(C57*F64,0)</f>
        <v>0</v>
      </c>
      <c r="D64" s="1804" t="s">
        <v>1301</v>
      </c>
      <c r="E64" s="1796" t="s">
        <v>1240</v>
      </c>
      <c r="F64" s="1737">
        <f t="shared" ca="1" si="0"/>
        <v>0</v>
      </c>
      <c r="I64" s="1888" t="s">
        <v>1374</v>
      </c>
      <c r="J64" s="1889">
        <v>50</v>
      </c>
      <c r="K64" s="1889">
        <v>35</v>
      </c>
      <c r="L64" s="1889">
        <v>60</v>
      </c>
      <c r="M64" s="1890">
        <v>0</v>
      </c>
      <c r="O64" s="1847" t="s">
        <v>1309</v>
      </c>
      <c r="P64" s="1848" t="s">
        <v>1310</v>
      </c>
      <c r="Q64" s="1892" t="s">
        <v>1311</v>
      </c>
      <c r="R64" s="1892" t="s">
        <v>1312</v>
      </c>
    </row>
    <row r="65" spans="1:18" s="838" customFormat="1">
      <c r="A65" s="1700" t="s">
        <v>882</v>
      </c>
      <c r="B65" s="1796" t="s">
        <v>1272</v>
      </c>
      <c r="C65" s="381">
        <f ca="1">ROUND(C56*F65,0)</f>
        <v>0</v>
      </c>
      <c r="D65" s="1804" t="s">
        <v>1273</v>
      </c>
      <c r="E65" s="1796" t="s">
        <v>1240</v>
      </c>
      <c r="F65" s="1738">
        <f t="shared" ca="1" si="0"/>
        <v>0</v>
      </c>
      <c r="I65" s="1888" t="s">
        <v>1375</v>
      </c>
      <c r="J65" s="1889">
        <v>40</v>
      </c>
      <c r="K65" s="1889">
        <v>30</v>
      </c>
      <c r="L65" s="1889">
        <v>50</v>
      </c>
      <c r="M65" s="1891">
        <v>0.02</v>
      </c>
      <c r="O65" s="1854" t="s">
        <v>938</v>
      </c>
      <c r="P65" s="1855" t="s">
        <v>1315</v>
      </c>
      <c r="Q65" s="1893" t="e">
        <f ca="1">C40+J29</f>
        <v>#DIV/0!</v>
      </c>
      <c r="R65" s="1893" t="s">
        <v>1316</v>
      </c>
    </row>
    <row r="66" spans="1:18" s="838" customFormat="1" ht="15.75">
      <c r="A66" s="1700" t="s">
        <v>885</v>
      </c>
      <c r="B66" s="1796" t="s">
        <v>1258</v>
      </c>
      <c r="C66" s="381">
        <f ca="1">ROUND(C48*F66,0)</f>
        <v>0</v>
      </c>
      <c r="D66" s="1804" t="s">
        <v>1276</v>
      </c>
      <c r="E66" s="1796" t="s">
        <v>1240</v>
      </c>
      <c r="F66" s="1679">
        <f t="shared" ca="1" si="0"/>
        <v>0</v>
      </c>
      <c r="O66" s="1854" t="s">
        <v>941</v>
      </c>
      <c r="P66" s="1855" t="s">
        <v>1355</v>
      </c>
      <c r="Q66" s="1893" t="e">
        <f ca="1">L60</f>
        <v>#DIV/0!</v>
      </c>
      <c r="R66" s="1893" t="s">
        <v>1356</v>
      </c>
    </row>
    <row r="67" spans="1:18" s="838" customFormat="1" ht="15.75">
      <c r="A67" s="1791" t="s">
        <v>1279</v>
      </c>
      <c r="B67" s="1895" t="s">
        <v>1280</v>
      </c>
      <c r="C67" s="380">
        <f ca="1">C48-C58</f>
        <v>0</v>
      </c>
      <c r="D67" s="1803" t="s">
        <v>1281</v>
      </c>
      <c r="E67" s="1896"/>
      <c r="F67" s="1897"/>
      <c r="O67" s="1861" t="s">
        <v>1327</v>
      </c>
      <c r="P67" s="1855" t="s">
        <v>1359</v>
      </c>
      <c r="Q67" s="1917">
        <f ca="1">L51</f>
        <v>0</v>
      </c>
      <c r="R67" s="1893" t="s">
        <v>1376</v>
      </c>
    </row>
    <row r="68" spans="1:18" s="838" customFormat="1" ht="15.75">
      <c r="A68" s="1898" t="s">
        <v>1285</v>
      </c>
      <c r="B68" s="1899" t="s">
        <v>1302</v>
      </c>
      <c r="C68" s="1743" t="e">
        <f ca="1">ROUND(C67*(1-((1+F70)/(1+F68))^F69)/(F68-F70),0)</f>
        <v>#DIV/0!</v>
      </c>
      <c r="D68" s="1806" t="s">
        <v>1287</v>
      </c>
      <c r="E68" s="1796" t="s">
        <v>1288</v>
      </c>
      <c r="F68" s="1679">
        <f ca="1">F40</f>
        <v>0</v>
      </c>
      <c r="O68" s="1861" t="s">
        <v>1331</v>
      </c>
      <c r="P68" s="1916" t="s">
        <v>1377</v>
      </c>
      <c r="Q68" s="1893">
        <f ca="1">ROUND(Q69-Q70*Q71,0)</f>
        <v>0</v>
      </c>
      <c r="R68" s="1893" t="s">
        <v>1378</v>
      </c>
    </row>
    <row r="69" spans="1:18" s="838" customFormat="1">
      <c r="A69" s="1900"/>
      <c r="B69" s="1901"/>
      <c r="C69" s="1678"/>
      <c r="D69" s="1902" t="s">
        <v>1291</v>
      </c>
      <c r="E69" s="1796" t="s">
        <v>1292</v>
      </c>
      <c r="F69" s="1747">
        <f ca="1">F41</f>
        <v>0</v>
      </c>
      <c r="O69" s="1861" t="s">
        <v>1379</v>
      </c>
      <c r="P69" s="1916" t="s">
        <v>1380</v>
      </c>
      <c r="Q69" s="1893">
        <f ca="1">C39</f>
        <v>0</v>
      </c>
      <c r="R69" s="1893" t="s">
        <v>1316</v>
      </c>
    </row>
    <row r="70" spans="1:18" s="838" customFormat="1">
      <c r="A70" s="1903"/>
      <c r="B70" s="1904"/>
      <c r="C70" s="1697"/>
      <c r="D70" s="1808"/>
      <c r="E70" s="1796" t="s">
        <v>1295</v>
      </c>
      <c r="F70" s="1786">
        <f ca="1">F42</f>
        <v>0</v>
      </c>
      <c r="O70" s="1861" t="s">
        <v>1381</v>
      </c>
      <c r="P70" s="1916" t="s">
        <v>1382</v>
      </c>
      <c r="Q70" s="1893">
        <f ca="1">C13</f>
        <v>0</v>
      </c>
      <c r="R70" s="1893" t="s">
        <v>1316</v>
      </c>
    </row>
    <row r="71" spans="1:18" s="838" customFormat="1">
      <c r="A71" s="1905" t="s">
        <v>1297</v>
      </c>
      <c r="B71" s="1906" t="s">
        <v>1303</v>
      </c>
      <c r="C71" s="1751" t="e">
        <f ca="1">ROUND(C68/F71,0)</f>
        <v>#DIV/0!</v>
      </c>
      <c r="D71" s="1907" t="s">
        <v>1304</v>
      </c>
      <c r="E71" s="1908" t="s">
        <v>1305</v>
      </c>
      <c r="F71" s="1754">
        <f ca="1">F43</f>
        <v>0</v>
      </c>
      <c r="O71" s="1861" t="s">
        <v>1383</v>
      </c>
      <c r="P71" s="1916" t="s">
        <v>1384</v>
      </c>
      <c r="Q71" s="1894">
        <f ca="1">C76</f>
        <v>0</v>
      </c>
      <c r="R71" s="1893"/>
    </row>
    <row r="72" spans="1:18" s="838" customFormat="1">
      <c r="B72" s="415"/>
      <c r="C72" s="415"/>
      <c r="O72" s="1861" t="s">
        <v>1335</v>
      </c>
      <c r="P72" s="1855" t="s">
        <v>1361</v>
      </c>
      <c r="Q72" s="1894">
        <f>L52</f>
        <v>0</v>
      </c>
      <c r="R72" s="1893"/>
    </row>
    <row r="73" spans="1:18" ht="15.75">
      <c r="A73" s="838"/>
      <c r="B73" s="415"/>
      <c r="C73" s="415"/>
      <c r="D73" s="838"/>
      <c r="E73" s="838"/>
      <c r="F73" s="838"/>
      <c r="O73" s="1861" t="s">
        <v>1339</v>
      </c>
      <c r="P73" s="1855" t="s">
        <v>1364</v>
      </c>
      <c r="Q73" s="1893" t="e">
        <f ca="1">L58</f>
        <v>#DIV/0!</v>
      </c>
      <c r="R73" s="1893" t="s">
        <v>1365</v>
      </c>
    </row>
    <row r="74" spans="1:18">
      <c r="A74" s="838"/>
      <c r="B74" s="316" t="s">
        <v>1385</v>
      </c>
      <c r="C74" s="1909"/>
      <c r="D74" s="838"/>
      <c r="E74" s="838"/>
      <c r="F74" s="838"/>
      <c r="O74" s="1861" t="s">
        <v>1386</v>
      </c>
      <c r="P74" s="1855" t="str">
        <f>K59</f>
        <v>建设期及建筑物耐用年限下的土地年期修正系数Kn</v>
      </c>
      <c r="Q74" s="1893" t="e">
        <f ca="1">L59</f>
        <v>#DIV/0!</v>
      </c>
      <c r="R74" s="1893" t="s">
        <v>1366</v>
      </c>
    </row>
    <row r="75" spans="1:18">
      <c r="A75" s="838"/>
      <c r="B75" s="1910" t="s">
        <v>1387</v>
      </c>
      <c r="C75" s="1911">
        <f ca="1">ROUND(C13*C76,0)</f>
        <v>0</v>
      </c>
      <c r="D75" s="838"/>
      <c r="E75" s="838"/>
      <c r="F75" s="838"/>
      <c r="K75" s="1841"/>
      <c r="L75" s="838"/>
      <c r="O75" s="1854" t="s">
        <v>1168</v>
      </c>
      <c r="P75" s="1855" t="s">
        <v>1345</v>
      </c>
      <c r="Q75" s="1893" t="e">
        <f ca="1">Q65+Q66</f>
        <v>#DIV/0!</v>
      </c>
      <c r="R75" s="1893" t="s">
        <v>1346</v>
      </c>
    </row>
    <row r="76" spans="1:18">
      <c r="B76" s="657" t="s">
        <v>1388</v>
      </c>
      <c r="C76" s="1912">
        <f ca="1">INDIRECT("'数据-取费表'!j"&amp;$G$1)</f>
        <v>0</v>
      </c>
      <c r="I76" s="838"/>
      <c r="J76" s="838"/>
      <c r="K76" s="1841"/>
      <c r="L76" s="838"/>
    </row>
    <row r="77" spans="1:18">
      <c r="B77" s="1913" t="s">
        <v>1389</v>
      </c>
      <c r="C77" s="1914"/>
      <c r="I77" s="838"/>
      <c r="J77" s="838"/>
      <c r="K77" s="1841"/>
      <c r="L77" s="838"/>
    </row>
    <row r="78" spans="1:18">
      <c r="B78" s="314" t="s">
        <v>1390</v>
      </c>
      <c r="C78" s="1915"/>
    </row>
    <row r="79" spans="1:18">
      <c r="B79" s="1910" t="s">
        <v>1391</v>
      </c>
      <c r="C79" s="317" t="e">
        <f ca="1">1-C80</f>
        <v>#DIV/0!</v>
      </c>
    </row>
    <row r="80" spans="1:18">
      <c r="B80" s="1910" t="s">
        <v>1392</v>
      </c>
      <c r="C80" s="317" t="e">
        <f ca="1">ROUND(C75/C39,3)</f>
        <v>#DIV/0!</v>
      </c>
    </row>
    <row r="81" spans="2:3">
      <c r="B81" s="314" t="s">
        <v>1393</v>
      </c>
      <c r="C81" s="284"/>
    </row>
    <row r="82" spans="2:3">
      <c r="B82" s="316" t="s">
        <v>1017</v>
      </c>
      <c r="C82" s="318" t="e">
        <f ca="1">1-C83</f>
        <v>#DIV/0!</v>
      </c>
    </row>
    <row r="83" spans="2:3">
      <c r="B83" s="316" t="s">
        <v>1018</v>
      </c>
      <c r="C83" s="31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81" customWidth="1"/>
    <col min="2" max="2" width="12" style="581" customWidth="1"/>
    <col min="3" max="3" width="9" style="581"/>
    <col min="4" max="4" width="14.125" style="581" customWidth="1"/>
    <col min="5" max="5" width="9" style="581"/>
    <col min="6" max="6" width="12.875" style="581" customWidth="1"/>
    <col min="7" max="16384" width="9" style="581"/>
  </cols>
  <sheetData>
    <row r="1" spans="1:22" ht="21">
      <c r="A1" s="582" t="s">
        <v>1405</v>
      </c>
      <c r="B1" s="1614"/>
      <c r="C1" s="1614"/>
      <c r="D1" s="1614"/>
      <c r="E1" s="1615"/>
      <c r="F1" s="1616"/>
      <c r="G1" s="1617"/>
      <c r="H1" s="1617"/>
      <c r="I1" s="1617"/>
      <c r="J1" s="1617"/>
      <c r="K1" s="1617"/>
      <c r="L1" s="1617"/>
      <c r="M1" s="1617"/>
      <c r="N1" s="1617"/>
      <c r="O1" s="1617"/>
      <c r="P1" s="1617"/>
      <c r="Q1" s="1617"/>
      <c r="R1" s="1617"/>
      <c r="S1" s="1617"/>
    </row>
    <row r="2" spans="1:22" ht="15.75">
      <c r="A2" s="1618" t="s">
        <v>923</v>
      </c>
      <c r="B2" s="1619">
        <f ca="1">SUMIF(B6:B13,"&lt;&gt;#ref!",B6:B13)</f>
        <v>0</v>
      </c>
      <c r="C2" s="1620" t="s">
        <v>1406</v>
      </c>
      <c r="D2" s="1621" t="s">
        <v>1407</v>
      </c>
      <c r="E2" s="1622">
        <f>SUM(E6:E13)</f>
        <v>0</v>
      </c>
      <c r="F2" s="1616"/>
      <c r="G2" s="1617"/>
      <c r="H2" s="1617"/>
      <c r="I2" s="1617"/>
      <c r="J2" s="1617"/>
      <c r="K2" s="1617"/>
      <c r="L2" s="1617"/>
      <c r="M2" s="1617"/>
      <c r="N2" s="1617"/>
      <c r="O2" s="1617"/>
      <c r="P2" s="1617"/>
      <c r="Q2" s="1617"/>
      <c r="R2" s="1617"/>
      <c r="S2" s="1617"/>
    </row>
    <row r="3" spans="1:22" ht="15.75">
      <c r="A3" s="1618" t="s">
        <v>925</v>
      </c>
      <c r="B3" s="1623" t="e">
        <f ca="1">ROUND(B2*10000/E2,0)</f>
        <v>#DIV/0!</v>
      </c>
      <c r="C3" s="1620" t="s">
        <v>1408</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1409</v>
      </c>
      <c r="B5" s="3420" t="s">
        <v>1410</v>
      </c>
      <c r="C5" s="3421"/>
      <c r="D5" s="1628"/>
      <c r="E5" s="1629" t="s">
        <v>1411</v>
      </c>
      <c r="F5" s="1630" t="s">
        <v>1412</v>
      </c>
      <c r="G5" s="1617"/>
      <c r="H5" s="1617"/>
      <c r="I5" s="1617"/>
      <c r="J5" s="1617"/>
      <c r="K5" s="1617"/>
      <c r="L5" s="1617"/>
      <c r="M5" s="1617"/>
      <c r="N5" s="1617"/>
      <c r="O5" s="1617"/>
      <c r="P5" s="1617"/>
      <c r="Q5" s="1617"/>
      <c r="R5" s="1617"/>
      <c r="S5" s="1617"/>
    </row>
    <row r="6" spans="1:22">
      <c r="A6" s="1631">
        <f>'数据-取费表'!AN6</f>
        <v>0</v>
      </c>
      <c r="B6" s="586" t="e">
        <f ca="1">IF(F6="是",'数据-取费表'!AO6,0)</f>
        <v>#REF!</v>
      </c>
      <c r="C6" s="1620" t="s">
        <v>1406</v>
      </c>
      <c r="D6" s="1624"/>
      <c r="E6" s="1632">
        <f>IF(OR(A6=0,F6="否"),0,'数据-取费表'!K6+'数据-取费表'!S6)</f>
        <v>0</v>
      </c>
      <c r="F6" s="1633" t="s">
        <v>1413</v>
      </c>
      <c r="G6" s="1617"/>
      <c r="H6" s="1617"/>
      <c r="I6" s="1617"/>
      <c r="J6" s="1617"/>
      <c r="K6" s="1617"/>
      <c r="L6" s="1617"/>
      <c r="M6" s="1617"/>
      <c r="N6" s="1617"/>
      <c r="O6" s="1617"/>
      <c r="P6" s="1617"/>
      <c r="Q6" s="1617"/>
      <c r="R6" s="1617"/>
      <c r="S6" s="1617"/>
    </row>
    <row r="7" spans="1:22">
      <c r="A7" s="1631">
        <f>'数据-取费表'!AN7</f>
        <v>0</v>
      </c>
      <c r="B7" s="586" t="e">
        <f ca="1">IF(F7="是",'数据-取费表'!AO7,0)</f>
        <v>#REF!</v>
      </c>
      <c r="C7" s="1620" t="s">
        <v>1406</v>
      </c>
      <c r="D7" s="1624"/>
      <c r="E7" s="1632">
        <f>IF(OR(A7=0,F7="否"),0,'数据-取费表'!K7+'数据-取费表'!S7)</f>
        <v>0</v>
      </c>
      <c r="F7" s="1633" t="s">
        <v>1413</v>
      </c>
      <c r="G7" s="1617"/>
      <c r="H7" s="1617"/>
      <c r="I7" s="1617"/>
      <c r="J7" s="1617"/>
      <c r="K7" s="1617"/>
      <c r="L7" s="1617"/>
      <c r="M7" s="1617"/>
      <c r="N7" s="1617"/>
      <c r="O7" s="1617"/>
      <c r="P7" s="1617"/>
      <c r="Q7" s="1617"/>
      <c r="R7" s="1617"/>
      <c r="S7" s="1617"/>
    </row>
    <row r="8" spans="1:22">
      <c r="A8" s="1631">
        <f>'数据-取费表'!AN8</f>
        <v>0</v>
      </c>
      <c r="B8" s="586" t="e">
        <f ca="1">IF(F8="是",'数据-取费表'!AO8,0)</f>
        <v>#REF!</v>
      </c>
      <c r="C8" s="1620" t="s">
        <v>1406</v>
      </c>
      <c r="D8" s="1624"/>
      <c r="E8" s="1632">
        <f>IF(OR(A8=0,F8="否"),0,'数据-取费表'!K8+'数据-取费表'!S8)</f>
        <v>0</v>
      </c>
      <c r="F8" s="1633" t="s">
        <v>1413</v>
      </c>
      <c r="G8" s="1617"/>
      <c r="H8" s="1617"/>
      <c r="I8" s="1617"/>
      <c r="J8" s="1617"/>
      <c r="K8" s="1617"/>
      <c r="L8" s="1617"/>
      <c r="M8" s="1617"/>
      <c r="N8" s="1617"/>
      <c r="O8" s="1617"/>
      <c r="P8" s="1617"/>
      <c r="Q8" s="1617"/>
      <c r="R8" s="1617"/>
      <c r="S8" s="1617"/>
    </row>
    <row r="9" spans="1:22">
      <c r="A9" s="1631">
        <f>'数据-取费表'!AN9</f>
        <v>0</v>
      </c>
      <c r="B9" s="586" t="e">
        <f ca="1">IF(F9="是",'数据-取费表'!AO9,0)</f>
        <v>#REF!</v>
      </c>
      <c r="C9" s="1620" t="s">
        <v>1406</v>
      </c>
      <c r="D9" s="1624"/>
      <c r="E9" s="1632">
        <f>IF(OR(A9=0,F9="否"),0,'数据-取费表'!K9+'数据-取费表'!S9)</f>
        <v>0</v>
      </c>
      <c r="F9" s="1633" t="s">
        <v>1413</v>
      </c>
      <c r="G9" s="1617"/>
      <c r="H9" s="1617"/>
      <c r="I9" s="1617"/>
      <c r="J9" s="1617"/>
      <c r="K9" s="1617"/>
      <c r="L9" s="1617"/>
      <c r="M9" s="1617"/>
      <c r="N9" s="1617"/>
      <c r="O9" s="1617"/>
      <c r="P9" s="1617"/>
      <c r="Q9" s="1617"/>
      <c r="R9" s="1617"/>
      <c r="S9" s="1617"/>
    </row>
    <row r="10" spans="1:22">
      <c r="A10" s="1631">
        <f>'数据-取费表'!AN10</f>
        <v>0</v>
      </c>
      <c r="B10" s="586" t="e">
        <f ca="1">IF(F10="是",'数据-取费表'!AO10,0)</f>
        <v>#REF!</v>
      </c>
      <c r="C10" s="1620" t="s">
        <v>1406</v>
      </c>
      <c r="D10" s="1624"/>
      <c r="E10" s="1632">
        <f>IF(OR(A10=0,F10="否"),0,'数据-取费表'!K10+'数据-取费表'!S10)</f>
        <v>0</v>
      </c>
      <c r="F10" s="1633" t="s">
        <v>1413</v>
      </c>
      <c r="G10" s="1617"/>
      <c r="H10" s="1617"/>
      <c r="I10" s="1617"/>
      <c r="J10" s="1617"/>
      <c r="K10" s="1617"/>
      <c r="L10" s="1617"/>
      <c r="M10" s="1617"/>
      <c r="N10" s="1617"/>
      <c r="O10" s="1617"/>
      <c r="P10" s="1617"/>
      <c r="Q10" s="1617"/>
      <c r="R10" s="1617"/>
      <c r="S10" s="1617"/>
    </row>
    <row r="11" spans="1:22">
      <c r="A11" s="1631">
        <f>'数据-取费表'!AN11</f>
        <v>0</v>
      </c>
      <c r="B11" s="586" t="e">
        <f ca="1">IF(F11="是",'数据-取费表'!AO11,0)</f>
        <v>#REF!</v>
      </c>
      <c r="C11" s="1620" t="s">
        <v>1406</v>
      </c>
      <c r="D11" s="1624"/>
      <c r="E11" s="1632">
        <f>IF(OR(A11=0,F11="否"),0,'数据-取费表'!K11+'数据-取费表'!S11)</f>
        <v>0</v>
      </c>
      <c r="F11" s="1633" t="s">
        <v>1413</v>
      </c>
      <c r="G11" s="1617"/>
      <c r="H11" s="1617"/>
      <c r="I11" s="1617"/>
      <c r="J11" s="1617"/>
      <c r="K11" s="1617"/>
      <c r="L11" s="1617"/>
      <c r="M11" s="1617"/>
      <c r="N11" s="1617"/>
      <c r="O11" s="1617"/>
      <c r="P11" s="1617"/>
      <c r="Q11" s="1617"/>
      <c r="R11" s="1617"/>
      <c r="S11" s="1617"/>
    </row>
    <row r="12" spans="1:22">
      <c r="A12" s="1631">
        <f>'数据-取费表'!AN12</f>
        <v>0</v>
      </c>
      <c r="B12" s="586" t="e">
        <f ca="1">IF(F12="是",'数据-取费表'!AO12,0)</f>
        <v>#REF!</v>
      </c>
      <c r="C12" s="1620" t="s">
        <v>1406</v>
      </c>
      <c r="D12" s="1624"/>
      <c r="E12" s="1632">
        <f>IF(OR(A12=0,F12="否"),0,'数据-取费表'!K12+'数据-取费表'!S12)</f>
        <v>0</v>
      </c>
      <c r="F12" s="1633" t="s">
        <v>1413</v>
      </c>
      <c r="G12" s="1617"/>
      <c r="H12" s="1617"/>
      <c r="I12" s="1617"/>
      <c r="J12" s="1617"/>
      <c r="K12" s="1617"/>
      <c r="L12" s="1617"/>
      <c r="M12" s="1617"/>
      <c r="N12" s="1617"/>
      <c r="O12" s="1617"/>
      <c r="P12" s="1617"/>
      <c r="Q12" s="1617"/>
      <c r="R12" s="1617"/>
      <c r="S12" s="1617"/>
    </row>
    <row r="13" spans="1:22">
      <c r="A13" s="1634">
        <f>'数据-取费表'!AN13</f>
        <v>0</v>
      </c>
      <c r="B13" s="586" t="e">
        <f ca="1">IF(F13="是",'数据-取费表'!AO13,0)</f>
        <v>#REF!</v>
      </c>
      <c r="C13" s="1635" t="s">
        <v>1406</v>
      </c>
      <c r="D13" s="1636"/>
      <c r="E13" s="1632">
        <f>IF(OR(A13=0,F13="否"),0,'数据-取费表'!K13+'数据-取费表'!S13)</f>
        <v>0</v>
      </c>
      <c r="F13" s="1633" t="s">
        <v>1413</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422" t="s">
        <v>1414</v>
      </c>
      <c r="B1" s="3423"/>
      <c r="C1" s="3424"/>
      <c r="D1" s="3425">
        <f>SUM(I10,I15,I20,I21,I23)</f>
        <v>0</v>
      </c>
      <c r="E1" s="3425"/>
      <c r="F1" s="3425"/>
      <c r="G1" s="3425"/>
      <c r="H1" s="3425"/>
      <c r="I1" s="3426"/>
    </row>
    <row r="2" spans="1:9">
      <c r="A2" s="3434" t="s">
        <v>1415</v>
      </c>
      <c r="B2" s="3427" t="s">
        <v>1416</v>
      </c>
      <c r="C2" s="3427"/>
      <c r="D2" s="1584" t="s">
        <v>1417</v>
      </c>
      <c r="E2" s="1584" t="s">
        <v>1418</v>
      </c>
      <c r="F2" s="1584" t="s">
        <v>1419</v>
      </c>
      <c r="G2" s="1584" t="s">
        <v>1420</v>
      </c>
      <c r="H2" s="1584" t="s">
        <v>1421</v>
      </c>
      <c r="I2" s="1608" t="s">
        <v>1422</v>
      </c>
    </row>
    <row r="3" spans="1:9">
      <c r="A3" s="3434"/>
      <c r="B3" s="3427" t="s">
        <v>1423</v>
      </c>
      <c r="C3" s="3427"/>
      <c r="D3" s="1585"/>
      <c r="E3" s="1584"/>
      <c r="F3" s="1586"/>
      <c r="G3" s="1586"/>
      <c r="H3" s="1587"/>
      <c r="I3" s="1609">
        <f>ROUND(D3*E3*F3*G3*H3/10000,0)</f>
        <v>0</v>
      </c>
    </row>
    <row r="4" spans="1:9">
      <c r="A4" s="3434"/>
      <c r="B4" s="3427" t="s">
        <v>1424</v>
      </c>
      <c r="C4" s="3427"/>
      <c r="D4" s="1585"/>
      <c r="E4" s="1584"/>
      <c r="F4" s="1586"/>
      <c r="G4" s="1586"/>
      <c r="H4" s="1587"/>
      <c r="I4" s="1609">
        <f t="shared" ref="I4:I9" si="0">ROUND(D4*E4*F4*G4*H4/10000,0)</f>
        <v>0</v>
      </c>
    </row>
    <row r="5" spans="1:9">
      <c r="A5" s="3434"/>
      <c r="B5" s="3427" t="s">
        <v>1425</v>
      </c>
      <c r="C5" s="3427"/>
      <c r="D5" s="1585"/>
      <c r="E5" s="1584"/>
      <c r="F5" s="1586"/>
      <c r="G5" s="1586"/>
      <c r="H5" s="1587"/>
      <c r="I5" s="1609">
        <f t="shared" si="0"/>
        <v>0</v>
      </c>
    </row>
    <row r="6" spans="1:9">
      <c r="A6" s="3434"/>
      <c r="B6" s="3427" t="s">
        <v>1426</v>
      </c>
      <c r="C6" s="3427"/>
      <c r="D6" s="1585"/>
      <c r="E6" s="1584"/>
      <c r="F6" s="1586"/>
      <c r="G6" s="1586"/>
      <c r="H6" s="1587"/>
      <c r="I6" s="1609">
        <f t="shared" si="0"/>
        <v>0</v>
      </c>
    </row>
    <row r="7" spans="1:9">
      <c r="A7" s="3434"/>
      <c r="B7" s="3427" t="s">
        <v>1427</v>
      </c>
      <c r="C7" s="3427"/>
      <c r="D7" s="1585"/>
      <c r="E7" s="1584"/>
      <c r="F7" s="1586"/>
      <c r="G7" s="1586"/>
      <c r="H7" s="1587"/>
      <c r="I7" s="1609">
        <f t="shared" si="0"/>
        <v>0</v>
      </c>
    </row>
    <row r="8" spans="1:9">
      <c r="A8" s="3434"/>
      <c r="B8" s="3427" t="s">
        <v>1428</v>
      </c>
      <c r="C8" s="3427"/>
      <c r="D8" s="1585"/>
      <c r="E8" s="1584"/>
      <c r="F8" s="1586"/>
      <c r="G8" s="1586"/>
      <c r="H8" s="1587"/>
      <c r="I8" s="1609">
        <f t="shared" si="0"/>
        <v>0</v>
      </c>
    </row>
    <row r="9" spans="1:9">
      <c r="A9" s="3434"/>
      <c r="B9" s="3427" t="s">
        <v>1429</v>
      </c>
      <c r="C9" s="3427"/>
      <c r="D9" s="1585"/>
      <c r="E9" s="1584"/>
      <c r="F9" s="1586"/>
      <c r="G9" s="1586"/>
      <c r="H9" s="1587"/>
      <c r="I9" s="1609">
        <f t="shared" si="0"/>
        <v>0</v>
      </c>
    </row>
    <row r="10" spans="1:9">
      <c r="A10" s="3434"/>
      <c r="B10" s="3428" t="s">
        <v>476</v>
      </c>
      <c r="C10" s="3428"/>
      <c r="D10" s="1588"/>
      <c r="E10" s="1588" t="e">
        <f>ROUND(D1*10000/D10/H9,0)</f>
        <v>#DIV/0!</v>
      </c>
      <c r="F10" s="1589"/>
      <c r="G10" s="1589"/>
      <c r="H10" s="1590"/>
      <c r="I10" s="1610">
        <f>SUM(I3:I9)</f>
        <v>0</v>
      </c>
    </row>
    <row r="11" spans="1:9" ht="14.25">
      <c r="A11" s="3434" t="s">
        <v>1430</v>
      </c>
      <c r="B11" s="3427" t="s">
        <v>1431</v>
      </c>
      <c r="C11" s="3427"/>
      <c r="D11" s="1585" t="s">
        <v>1432</v>
      </c>
      <c r="E11" s="1585" t="s">
        <v>1433</v>
      </c>
      <c r="F11" s="1586" t="s">
        <v>1434</v>
      </c>
      <c r="G11" s="1586" t="s">
        <v>1421</v>
      </c>
      <c r="H11" s="1591" t="s">
        <v>124</v>
      </c>
      <c r="I11" s="1608" t="s">
        <v>1422</v>
      </c>
    </row>
    <row r="12" spans="1:9">
      <c r="A12" s="3434"/>
      <c r="B12" s="3427" t="s">
        <v>1435</v>
      </c>
      <c r="C12" s="3427"/>
      <c r="D12" s="1585"/>
      <c r="E12" s="1585"/>
      <c r="F12" s="1586"/>
      <c r="G12" s="1587"/>
      <c r="H12" s="1592"/>
      <c r="I12" s="1608">
        <f>ROUND(D12*E12*F12*G12/10000,0)</f>
        <v>0</v>
      </c>
    </row>
    <row r="13" spans="1:9">
      <c r="A13" s="3434"/>
      <c r="B13" s="3427" t="s">
        <v>1436</v>
      </c>
      <c r="C13" s="3427"/>
      <c r="D13" s="1585"/>
      <c r="E13" s="1585"/>
      <c r="F13" s="1586"/>
      <c r="G13" s="1587"/>
      <c r="H13" s="1592"/>
      <c r="I13" s="1608">
        <f>ROUND(D13*E13*F13*G13/10000,0)</f>
        <v>0</v>
      </c>
    </row>
    <row r="14" spans="1:9">
      <c r="A14" s="3434"/>
      <c r="B14" s="3427" t="s">
        <v>1437</v>
      </c>
      <c r="C14" s="3427"/>
      <c r="D14" s="1585"/>
      <c r="E14" s="1585"/>
      <c r="F14" s="1586"/>
      <c r="G14" s="1587"/>
      <c r="H14" s="1592"/>
      <c r="I14" s="1608">
        <f>ROUND(D14*E14*F14*G14/10000,0)</f>
        <v>0</v>
      </c>
    </row>
    <row r="15" spans="1:9">
      <c r="A15" s="3434"/>
      <c r="B15" s="3428" t="s">
        <v>476</v>
      </c>
      <c r="C15" s="3428"/>
      <c r="D15" s="1588"/>
      <c r="E15" s="1588">
        <f>SUM(E12:E14)</f>
        <v>0</v>
      </c>
      <c r="F15" s="1589"/>
      <c r="G15" s="1587"/>
      <c r="H15" s="1592"/>
      <c r="I15" s="1611">
        <f>SUM(I12:I14)</f>
        <v>0</v>
      </c>
    </row>
    <row r="16" spans="1:9" ht="24">
      <c r="A16" s="3434" t="s">
        <v>1438</v>
      </c>
      <c r="B16" s="3427" t="s">
        <v>1439</v>
      </c>
      <c r="C16" s="3427"/>
      <c r="D16" s="1585" t="s">
        <v>1417</v>
      </c>
      <c r="E16" s="1593" t="s">
        <v>1440</v>
      </c>
      <c r="F16" s="1586" t="s">
        <v>1441</v>
      </c>
      <c r="G16" s="1587" t="s">
        <v>1421</v>
      </c>
      <c r="H16" s="1591" t="s">
        <v>124</v>
      </c>
      <c r="I16" s="1608" t="s">
        <v>1422</v>
      </c>
    </row>
    <row r="17" spans="1:9" ht="14.25">
      <c r="A17" s="3434"/>
      <c r="B17" s="3427" t="s">
        <v>1442</v>
      </c>
      <c r="C17" s="3427"/>
      <c r="D17" s="1585"/>
      <c r="E17" s="1585"/>
      <c r="F17" s="1586"/>
      <c r="G17" s="1587"/>
      <c r="H17" s="1594"/>
      <c r="I17" s="1612">
        <f>ROUND(D17*E17*F17*G17/10000,0)</f>
        <v>0</v>
      </c>
    </row>
    <row r="18" spans="1:9" ht="14.25">
      <c r="A18" s="3434"/>
      <c r="B18" s="3427" t="s">
        <v>1443</v>
      </c>
      <c r="C18" s="3427"/>
      <c r="D18" s="1585"/>
      <c r="E18" s="1585"/>
      <c r="F18" s="1586"/>
      <c r="G18" s="1587"/>
      <c r="H18" s="1594"/>
      <c r="I18" s="1612">
        <f>ROUND(D18*E18*F18*G18/10000,0)</f>
        <v>0</v>
      </c>
    </row>
    <row r="19" spans="1:9" ht="14.25">
      <c r="A19" s="3434"/>
      <c r="B19" s="3427" t="s">
        <v>1444</v>
      </c>
      <c r="C19" s="3427"/>
      <c r="D19" s="1585"/>
      <c r="E19" s="1585"/>
      <c r="F19" s="1586"/>
      <c r="G19" s="1587"/>
      <c r="H19" s="1594"/>
      <c r="I19" s="1612">
        <f>ROUND(D19*E19*F19*G19/10000,0)</f>
        <v>0</v>
      </c>
    </row>
    <row r="20" spans="1:9">
      <c r="A20" s="3434"/>
      <c r="B20" s="3428" t="s">
        <v>476</v>
      </c>
      <c r="C20" s="3428"/>
      <c r="D20" s="1588">
        <f>SUM(D17:D19)</f>
        <v>0</v>
      </c>
      <c r="E20" s="1588"/>
      <c r="F20" s="1589"/>
      <c r="G20" s="1587"/>
      <c r="H20" s="1592"/>
      <c r="I20" s="1611">
        <f>SUM(I17:I19)</f>
        <v>0</v>
      </c>
    </row>
    <row r="21" spans="1:9">
      <c r="A21" s="3434" t="s">
        <v>1445</v>
      </c>
      <c r="B21" s="3442"/>
      <c r="C21" s="3442"/>
      <c r="D21" s="3442"/>
      <c r="E21" s="3442"/>
      <c r="F21" s="3442"/>
      <c r="G21" s="3442"/>
      <c r="H21" s="1595">
        <v>0.1</v>
      </c>
      <c r="I21" s="1610">
        <f>ROUND(I10*H21,0)</f>
        <v>0</v>
      </c>
    </row>
    <row r="22" spans="1:9" ht="14.25">
      <c r="A22" s="3435" t="s">
        <v>1446</v>
      </c>
      <c r="B22" s="3436"/>
      <c r="C22" s="3437"/>
      <c r="D22" s="1596" t="s">
        <v>472</v>
      </c>
      <c r="E22" s="1596" t="s">
        <v>1447</v>
      </c>
      <c r="F22" s="1597" t="s">
        <v>1421</v>
      </c>
      <c r="G22" s="1597" t="s">
        <v>1448</v>
      </c>
      <c r="H22" s="1591" t="s">
        <v>124</v>
      </c>
      <c r="I22" s="1608" t="s">
        <v>1422</v>
      </c>
    </row>
    <row r="23" spans="1:9">
      <c r="A23" s="3438"/>
      <c r="B23" s="3439"/>
      <c r="C23" s="3440"/>
      <c r="D23" s="1598"/>
      <c r="E23" s="1598"/>
      <c r="F23" s="1598"/>
      <c r="G23" s="1599"/>
      <c r="H23" s="1600"/>
      <c r="I23" s="1613">
        <f>ROUND(E23*D23*F23*(1-G23)/10000,0)</f>
        <v>0</v>
      </c>
    </row>
    <row r="26" spans="1:9">
      <c r="A26" s="1601" t="s">
        <v>1449</v>
      </c>
      <c r="B26" s="1601"/>
      <c r="C26" s="1601"/>
      <c r="D26" s="1601"/>
      <c r="E26" s="3433">
        <f>C27-C30-C31-C32</f>
        <v>0</v>
      </c>
      <c r="F26" s="3433"/>
      <c r="G26" s="3433"/>
      <c r="H26" s="1602" t="s">
        <v>1450</v>
      </c>
    </row>
    <row r="27" spans="1:9">
      <c r="A27" s="1603">
        <v>1</v>
      </c>
      <c r="B27" s="1604" t="s">
        <v>1451</v>
      </c>
      <c r="C27" s="1604">
        <f>C28+C29</f>
        <v>0</v>
      </c>
      <c r="D27" s="1604"/>
      <c r="E27" s="3429"/>
      <c r="F27" s="3429"/>
      <c r="G27" s="3429"/>
    </row>
    <row r="28" spans="1:9">
      <c r="A28" s="1605" t="s">
        <v>1452</v>
      </c>
      <c r="B28" s="1604" t="s">
        <v>1453</v>
      </c>
      <c r="C28" s="1604"/>
      <c r="D28" s="1604"/>
      <c r="E28" s="3429"/>
      <c r="F28" s="3429"/>
      <c r="G28" s="3429"/>
    </row>
    <row r="29" spans="1:9">
      <c r="A29" s="1605" t="s">
        <v>1454</v>
      </c>
      <c r="B29" s="1604" t="s">
        <v>1455</v>
      </c>
      <c r="C29" s="1604"/>
      <c r="D29" s="1604"/>
      <c r="E29" s="1604" t="s">
        <v>1456</v>
      </c>
      <c r="F29" s="1604"/>
      <c r="G29" s="1604"/>
    </row>
    <row r="30" spans="1:9">
      <c r="A30" s="1603">
        <v>2</v>
      </c>
      <c r="B30" s="1604" t="s">
        <v>1457</v>
      </c>
      <c r="C30" s="1604">
        <f>C27*D30</f>
        <v>0</v>
      </c>
      <c r="D30" s="1606">
        <v>0.2</v>
      </c>
      <c r="E30" s="1604" t="s">
        <v>1458</v>
      </c>
      <c r="F30" s="1604"/>
      <c r="G30" s="1604"/>
    </row>
    <row r="31" spans="1:9">
      <c r="A31" s="1603">
        <v>3</v>
      </c>
      <c r="B31" s="1604" t="s">
        <v>1459</v>
      </c>
      <c r="C31" s="1604">
        <f>C27*D31</f>
        <v>0</v>
      </c>
      <c r="D31" s="1606">
        <v>0.15</v>
      </c>
      <c r="E31" s="1604" t="s">
        <v>1460</v>
      </c>
      <c r="F31" s="1604"/>
      <c r="G31" s="1604"/>
    </row>
    <row r="32" spans="1:9">
      <c r="A32" s="1603">
        <v>4</v>
      </c>
      <c r="B32" s="1604" t="s">
        <v>1461</v>
      </c>
      <c r="C32" s="1604">
        <f>C27*D32</f>
        <v>0</v>
      </c>
      <c r="D32" s="1606">
        <v>0.05</v>
      </c>
      <c r="E32" s="3441"/>
      <c r="F32" s="3441"/>
      <c r="G32" s="3441"/>
    </row>
    <row r="33" spans="1:7" hidden="1">
      <c r="A33" s="3430" t="s">
        <v>1462</v>
      </c>
      <c r="B33" s="3431"/>
      <c r="C33" s="3431"/>
      <c r="D33" s="3432"/>
      <c r="E33" s="3433"/>
      <c r="F33" s="3433"/>
      <c r="G33" s="3433"/>
    </row>
    <row r="34" spans="1:7" hidden="1">
      <c r="A34" s="1607">
        <v>1</v>
      </c>
      <c r="B34" s="1604" t="s">
        <v>1463</v>
      </c>
      <c r="C34" s="1604"/>
      <c r="D34" s="1604"/>
      <c r="E34" s="3429"/>
      <c r="F34" s="3429"/>
      <c r="G34" s="3429"/>
    </row>
    <row r="35" spans="1:7" hidden="1">
      <c r="A35" s="1607">
        <v>2</v>
      </c>
      <c r="B35" s="1604" t="s">
        <v>1464</v>
      </c>
      <c r="C35" s="1604"/>
      <c r="D35" s="1604"/>
      <c r="E35" s="3429"/>
      <c r="F35" s="3429"/>
      <c r="G35" s="3429"/>
    </row>
    <row r="36" spans="1:7" hidden="1">
      <c r="A36" s="1607">
        <v>3</v>
      </c>
      <c r="B36" s="1604" t="s">
        <v>1465</v>
      </c>
      <c r="C36" s="1604"/>
      <c r="D36" s="1604"/>
      <c r="E36" s="3429"/>
      <c r="F36" s="3429"/>
      <c r="G36" s="3429"/>
    </row>
    <row r="37" spans="1:7" hidden="1">
      <c r="A37" s="1607">
        <v>4</v>
      </c>
      <c r="B37" s="1604" t="s">
        <v>1466</v>
      </c>
      <c r="C37" s="1604"/>
      <c r="D37" s="1604"/>
      <c r="E37" s="3429"/>
      <c r="F37" s="3429"/>
      <c r="G37" s="3429"/>
    </row>
    <row r="38" spans="1:7" hidden="1">
      <c r="A38" s="3430" t="s">
        <v>1467</v>
      </c>
      <c r="B38" s="3431"/>
      <c r="C38" s="3431"/>
      <c r="D38" s="3432"/>
      <c r="E38" s="3433"/>
      <c r="F38" s="3433"/>
      <c r="G38" s="343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76" customWidth="1"/>
    <col min="2" max="2" width="15.75" style="976" customWidth="1"/>
    <col min="3" max="3" width="15.1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560"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1019</v>
      </c>
      <c r="B1" s="1561" t="s">
        <v>1468</v>
      </c>
      <c r="C1" s="1422" t="s">
        <v>1021</v>
      </c>
      <c r="D1" s="1366"/>
      <c r="E1" s="1562"/>
      <c r="F1" s="1368"/>
      <c r="G1" s="1369" t="s">
        <v>1023</v>
      </c>
      <c r="H1" s="1367"/>
      <c r="I1" s="1367"/>
      <c r="J1" s="1367"/>
      <c r="K1" s="1420"/>
      <c r="L1" s="1421"/>
      <c r="M1" s="1422"/>
      <c r="N1" s="1422"/>
      <c r="O1" s="1422"/>
      <c r="P1" s="1567"/>
      <c r="Q1" s="1576"/>
      <c r="R1" s="1576"/>
      <c r="S1" s="1576"/>
      <c r="T1" s="1576"/>
      <c r="U1" s="1576"/>
      <c r="V1" s="1576"/>
      <c r="W1" s="1576"/>
      <c r="X1" s="1576"/>
      <c r="Y1" s="1576"/>
      <c r="Z1" s="1576"/>
      <c r="AA1" s="1576"/>
      <c r="AB1" s="1576"/>
      <c r="AC1" s="1577"/>
    </row>
    <row r="2" spans="1:29" s="969" customFormat="1" ht="28.5" customHeight="1">
      <c r="A2" s="1370" t="s">
        <v>923</v>
      </c>
      <c r="B2" s="1371" t="e">
        <f ca="1">IF(C2="——",ROUND(C49*D3/10000,0),ROUND(C49*D3/10000,0)-D2)</f>
        <v>#DIV/0!</v>
      </c>
      <c r="C2" s="1372"/>
      <c r="D2" s="1540" t="e">
        <f ca="1">SUMIF(INDIRECT("'"&amp;F2&amp;"'"&amp;"!A:A"),"承租人权益价值",INDIRECT("'"&amp;F2&amp;"'"&amp;"!c:c"))</f>
        <v>#REF!</v>
      </c>
      <c r="E2" s="1373" t="s">
        <v>924</v>
      </c>
      <c r="F2" s="1374"/>
      <c r="G2" s="985"/>
      <c r="H2" s="985"/>
      <c r="I2" s="985"/>
      <c r="J2" s="985"/>
      <c r="K2" s="985"/>
      <c r="L2" s="1131"/>
      <c r="M2" s="1132"/>
      <c r="N2" s="1132"/>
      <c r="O2" s="1132"/>
      <c r="P2" s="1568"/>
      <c r="Q2" s="1503"/>
      <c r="R2" s="1503"/>
      <c r="S2" s="1503"/>
      <c r="T2" s="1503"/>
      <c r="U2" s="1503"/>
      <c r="V2" s="1503"/>
      <c r="W2" s="1503"/>
      <c r="X2" s="1503"/>
      <c r="Y2" s="1503"/>
      <c r="Z2" s="1503"/>
      <c r="AA2" s="1503"/>
      <c r="AB2" s="1503"/>
      <c r="AC2" s="1578"/>
    </row>
    <row r="3" spans="1:29" s="969" customFormat="1" ht="28.5" customHeight="1">
      <c r="A3" s="241" t="s">
        <v>925</v>
      </c>
      <c r="B3" s="987" t="e">
        <f ca="1">IF(C2="——",C49,ROUND(B2*10000/D3,0))</f>
        <v>#DIV/0!</v>
      </c>
      <c r="C3" s="1375" t="s">
        <v>1024</v>
      </c>
      <c r="D3" s="1376">
        <f>IF(D1="",'数据-汇总表'!E3,SUMIF('数据-汇总表'!$C19:$C33,D1,'数据-汇总表'!$E19:$E33))</f>
        <v>1</v>
      </c>
      <c r="E3" s="1541"/>
      <c r="F3" s="986"/>
      <c r="G3" s="985"/>
      <c r="H3" s="985"/>
      <c r="I3" s="985"/>
      <c r="J3" s="985"/>
      <c r="K3" s="1130"/>
      <c r="L3" s="1131"/>
      <c r="M3" s="1132"/>
      <c r="N3" s="1132"/>
      <c r="O3" s="1132"/>
      <c r="P3" s="1568"/>
      <c r="Q3" s="1503"/>
      <c r="R3" s="1503"/>
      <c r="S3" s="1503"/>
      <c r="T3" s="1503"/>
      <c r="U3" s="1503"/>
      <c r="V3" s="1503"/>
      <c r="W3" s="1503"/>
      <c r="X3" s="1503"/>
      <c r="Y3" s="1503"/>
      <c r="Z3" s="1503"/>
      <c r="AA3" s="1503"/>
      <c r="AB3" s="1503"/>
      <c r="AC3" s="1541"/>
    </row>
    <row r="4" spans="1:29" ht="15">
      <c r="A4" s="989" t="s">
        <v>1025</v>
      </c>
      <c r="B4" s="990"/>
      <c r="C4" s="3443" t="s">
        <v>1026</v>
      </c>
      <c r="D4" s="3444"/>
      <c r="E4" s="3445" t="s">
        <v>1027</v>
      </c>
      <c r="F4" s="3446"/>
      <c r="G4" s="3443" t="s">
        <v>1028</v>
      </c>
      <c r="H4" s="3444"/>
      <c r="I4" s="3443" t="s">
        <v>1029</v>
      </c>
      <c r="J4" s="3444"/>
      <c r="K4" s="1133" t="s">
        <v>1030</v>
      </c>
      <c r="L4" s="1134"/>
      <c r="M4" s="1135"/>
      <c r="N4" s="1135"/>
      <c r="O4" s="1135"/>
      <c r="P4" s="3477" t="s">
        <v>1031</v>
      </c>
      <c r="Q4" s="3478"/>
      <c r="R4" s="3483" t="s">
        <v>1027</v>
      </c>
      <c r="S4" s="3484"/>
      <c r="T4" s="3483" t="s">
        <v>1028</v>
      </c>
      <c r="U4" s="3484"/>
      <c r="V4" s="3459" t="s">
        <v>1029</v>
      </c>
      <c r="W4" s="3459"/>
      <c r="X4" s="1177"/>
      <c r="Y4" s="3483" t="s">
        <v>1031</v>
      </c>
      <c r="Z4" s="3484"/>
      <c r="AA4" s="3474" t="s">
        <v>1027</v>
      </c>
      <c r="AB4" s="3459" t="s">
        <v>1028</v>
      </c>
      <c r="AC4" s="3474" t="s">
        <v>1029</v>
      </c>
    </row>
    <row r="5" spans="1:29" ht="15">
      <c r="A5" s="991"/>
      <c r="B5" s="992"/>
      <c r="C5" s="3447" t="s">
        <v>1032</v>
      </c>
      <c r="D5" s="3448"/>
      <c r="E5" s="3449" t="s">
        <v>1469</v>
      </c>
      <c r="F5" s="3450"/>
      <c r="G5" s="3447" t="s">
        <v>1470</v>
      </c>
      <c r="H5" s="3448"/>
      <c r="I5" s="3447" t="s">
        <v>1471</v>
      </c>
      <c r="J5" s="3448"/>
      <c r="K5" s="1133"/>
      <c r="L5" s="1134"/>
      <c r="M5" s="1135"/>
      <c r="N5" s="1135"/>
      <c r="O5" s="1135"/>
      <c r="P5" s="3479"/>
      <c r="Q5" s="3480"/>
      <c r="R5" s="3485"/>
      <c r="S5" s="3486"/>
      <c r="T5" s="3485"/>
      <c r="U5" s="3486"/>
      <c r="V5" s="3459"/>
      <c r="W5" s="3459"/>
      <c r="X5" s="1177"/>
      <c r="Y5" s="3485"/>
      <c r="Z5" s="3486"/>
      <c r="AA5" s="3475"/>
      <c r="AB5" s="3459"/>
      <c r="AC5" s="3475"/>
    </row>
    <row r="6" spans="1:29" ht="15">
      <c r="A6" s="993"/>
      <c r="B6" s="994"/>
      <c r="C6" s="3451" t="s">
        <v>1033</v>
      </c>
      <c r="D6" s="3452"/>
      <c r="E6" s="3453" t="s">
        <v>1033</v>
      </c>
      <c r="F6" s="3454"/>
      <c r="G6" s="3451" t="s">
        <v>1033</v>
      </c>
      <c r="H6" s="3452"/>
      <c r="I6" s="3451" t="s">
        <v>1033</v>
      </c>
      <c r="J6" s="3452"/>
      <c r="K6" s="1133" t="s">
        <v>1034</v>
      </c>
      <c r="L6" s="1134"/>
      <c r="M6" s="1135"/>
      <c r="N6" s="1135"/>
      <c r="O6" s="1135"/>
      <c r="P6" s="3481"/>
      <c r="Q6" s="3482"/>
      <c r="R6" s="3485"/>
      <c r="S6" s="3486"/>
      <c r="T6" s="3487"/>
      <c r="U6" s="3488"/>
      <c r="V6" s="3459"/>
      <c r="W6" s="3459"/>
      <c r="X6" s="1177"/>
      <c r="Y6" s="3487"/>
      <c r="Z6" s="3488"/>
      <c r="AA6" s="3476"/>
      <c r="AB6" s="3459"/>
      <c r="AC6" s="3476"/>
    </row>
    <row r="7" spans="1:29" s="970" customFormat="1" ht="15">
      <c r="A7" s="995" t="s">
        <v>1035</v>
      </c>
      <c r="B7" s="996"/>
      <c r="C7" s="997">
        <f>'数据-取费表'!B2</f>
        <v>44347</v>
      </c>
      <c r="D7" s="998">
        <v>100</v>
      </c>
      <c r="E7" s="999"/>
      <c r="F7" s="1000">
        <f>SUMIF(58:58,YEAR(E7)&amp;"-"&amp;MONTH(E7),59:59)</f>
        <v>0</v>
      </c>
      <c r="G7" s="999"/>
      <c r="H7" s="998">
        <f>SUMIF(58:58,YEAR(G7)&amp;"-"&amp;MONTH(G7),59:59)</f>
        <v>0</v>
      </c>
      <c r="I7" s="999"/>
      <c r="J7" s="998">
        <f>SUMIF(58:58,YEAR(I7)&amp;"-"&amp;MONTH(I7),59:59)</f>
        <v>0</v>
      </c>
      <c r="K7" s="1136"/>
      <c r="L7" s="1137"/>
      <c r="M7" s="1138"/>
      <c r="N7" s="1138"/>
      <c r="O7" s="1138"/>
      <c r="P7" s="3455" t="s">
        <v>1036</v>
      </c>
      <c r="Q7" s="3456"/>
      <c r="R7" s="1178" t="s">
        <v>1037</v>
      </c>
      <c r="S7" s="1179">
        <f t="shared" ref="S7:S15" si="0">F7</f>
        <v>0</v>
      </c>
      <c r="T7" s="1178" t="s">
        <v>1037</v>
      </c>
      <c r="U7" s="1179">
        <f t="shared" ref="U7:U15" si="1">H7</f>
        <v>0</v>
      </c>
      <c r="V7" s="1178" t="s">
        <v>1037</v>
      </c>
      <c r="W7" s="1179">
        <f t="shared" ref="W7:W15" si="2">J7</f>
        <v>0</v>
      </c>
      <c r="X7" s="1180"/>
      <c r="Y7" s="3455" t="s">
        <v>1036</v>
      </c>
      <c r="Z7" s="3457"/>
      <c r="AA7" s="1192" t="e">
        <f>D7/F7</f>
        <v>#DIV/0!</v>
      </c>
      <c r="AB7" s="1192" t="e">
        <f>D7/H7</f>
        <v>#DIV/0!</v>
      </c>
      <c r="AC7" s="1192" t="e">
        <f>D7/J7</f>
        <v>#DIV/0!</v>
      </c>
    </row>
    <row r="8" spans="1:29" s="970" customFormat="1" ht="15">
      <c r="A8" s="995" t="s">
        <v>1038</v>
      </c>
      <c r="B8" s="996"/>
      <c r="C8" s="1002" t="s">
        <v>1039</v>
      </c>
      <c r="D8" s="998">
        <v>100</v>
      </c>
      <c r="E8" s="1002"/>
      <c r="F8" s="1000">
        <f>SUMIF(61:61,E8,62:62)-SUMIF(61:61,C8,62:62)+100</f>
        <v>0</v>
      </c>
      <c r="G8" s="1002"/>
      <c r="H8" s="998">
        <f>SUMIF(61:61,G8,62:62)-SUMIF(61:61,C8,62:62)+100</f>
        <v>0</v>
      </c>
      <c r="I8" s="1002"/>
      <c r="J8" s="998">
        <f>SUMIF(61:61,I8,62:62)-SUMIF(61:61,C8,62:62)+100</f>
        <v>0</v>
      </c>
      <c r="K8" s="1136"/>
      <c r="L8" s="1137"/>
      <c r="M8" s="1138"/>
      <c r="N8" s="1138"/>
      <c r="O8" s="1138"/>
      <c r="P8" s="3455" t="s">
        <v>1041</v>
      </c>
      <c r="Q8" s="3457"/>
      <c r="R8" s="1178" t="s">
        <v>1037</v>
      </c>
      <c r="S8" s="1179">
        <f t="shared" si="0"/>
        <v>0</v>
      </c>
      <c r="T8" s="1178" t="s">
        <v>1037</v>
      </c>
      <c r="U8" s="1179">
        <f t="shared" si="1"/>
        <v>0</v>
      </c>
      <c r="V8" s="1178" t="s">
        <v>1037</v>
      </c>
      <c r="W8" s="1179">
        <f t="shared" si="2"/>
        <v>0</v>
      </c>
      <c r="X8" s="1180"/>
      <c r="Y8" s="3455" t="s">
        <v>1041</v>
      </c>
      <c r="Z8" s="3457"/>
      <c r="AA8" s="1192" t="e">
        <f t="shared" ref="AA8:AA46" si="3">D8/F8</f>
        <v>#DIV/0!</v>
      </c>
      <c r="AB8" s="1192" t="e">
        <f t="shared" ref="AB8:AB46" si="4">D8/H8</f>
        <v>#DIV/0!</v>
      </c>
      <c r="AC8" s="1192" t="e">
        <f t="shared" ref="AC8:AC46" si="5">D8/J8</f>
        <v>#DIV/0!</v>
      </c>
    </row>
    <row r="9" spans="1:29" s="970" customFormat="1">
      <c r="A9" s="1003" t="s">
        <v>1042</v>
      </c>
      <c r="B9" s="1004" t="s">
        <v>1043</v>
      </c>
      <c r="C9" s="1377"/>
      <c r="D9" s="1006">
        <v>100</v>
      </c>
      <c r="E9" s="1446"/>
      <c r="F9" s="1379">
        <f>SUMIF(63:63,E9,64:64)-SUMIF(63:63,C9,64:64)+100</f>
        <v>100</v>
      </c>
      <c r="G9" s="1446"/>
      <c r="H9" s="1006">
        <f>SUMIF(63:63,G9,64:64)-SUMIF(63:63,C9,64:64)+100</f>
        <v>100</v>
      </c>
      <c r="I9" s="1446"/>
      <c r="J9" s="1006">
        <f>SUMIF(63:63,I9,64:64)-SUMIF(63:63,C9,64:64)+100</f>
        <v>100</v>
      </c>
      <c r="K9" s="1136"/>
      <c r="L9" s="1137"/>
      <c r="M9" s="1138"/>
      <c r="N9" s="1138"/>
      <c r="O9" s="1138"/>
      <c r="P9" s="3460" t="s">
        <v>1045</v>
      </c>
      <c r="Q9" s="1182" t="str">
        <f t="shared" ref="Q9:Q15" si="6">B9</f>
        <v>用途</v>
      </c>
      <c r="R9" s="1178" t="s">
        <v>1037</v>
      </c>
      <c r="S9" s="1179">
        <f t="shared" si="0"/>
        <v>100</v>
      </c>
      <c r="T9" s="1178" t="s">
        <v>1037</v>
      </c>
      <c r="U9" s="1179">
        <f t="shared" si="1"/>
        <v>100</v>
      </c>
      <c r="V9" s="1178" t="s">
        <v>1037</v>
      </c>
      <c r="W9" s="1179">
        <f t="shared" si="2"/>
        <v>100</v>
      </c>
      <c r="X9" s="1180"/>
      <c r="Y9" s="3411" t="s">
        <v>1046</v>
      </c>
      <c r="Z9" s="1193" t="str">
        <f t="shared" ref="Z9:Z15" si="7">Q9</f>
        <v>用途</v>
      </c>
      <c r="AA9" s="1192">
        <f t="shared" si="3"/>
        <v>1</v>
      </c>
      <c r="AB9" s="1192">
        <f t="shared" si="4"/>
        <v>1</v>
      </c>
      <c r="AC9" s="1192">
        <f t="shared" si="5"/>
        <v>1</v>
      </c>
    </row>
    <row r="10" spans="1:29" s="971" customFormat="1" ht="27">
      <c r="A10" s="1007"/>
      <c r="B10" s="1008" t="s">
        <v>1047</v>
      </c>
      <c r="C10" s="1380"/>
      <c r="D10" s="1010">
        <v>100</v>
      </c>
      <c r="E10" s="1449"/>
      <c r="F10" s="1381">
        <f>SUMIF(65:65,E10,66:66)-SUMIF(65:65,C10,66:66)+100</f>
        <v>100</v>
      </c>
      <c r="G10" s="1380"/>
      <c r="H10" s="1010">
        <f>SUMIF(65:65,G10,66:66)-SUMIF(65:65,C10,66:66)+100</f>
        <v>100</v>
      </c>
      <c r="I10" s="1380"/>
      <c r="J10" s="1010">
        <f>SUMIF(65:65,I10,66:66)-SUMIF(65:65,C10,66:66)+100</f>
        <v>100</v>
      </c>
      <c r="K10" s="1153"/>
      <c r="L10" s="1141"/>
      <c r="M10" s="1142"/>
      <c r="N10" s="1142"/>
      <c r="O10" s="1142"/>
      <c r="P10" s="3460"/>
      <c r="Q10" s="1182" t="str">
        <f t="shared" si="6"/>
        <v>土地使用年限（年）</v>
      </c>
      <c r="R10" s="1178" t="s">
        <v>1037</v>
      </c>
      <c r="S10" s="1179">
        <f t="shared" si="0"/>
        <v>100</v>
      </c>
      <c r="T10" s="1178" t="s">
        <v>1037</v>
      </c>
      <c r="U10" s="1179">
        <f t="shared" si="1"/>
        <v>100</v>
      </c>
      <c r="V10" s="1178" t="s">
        <v>1037</v>
      </c>
      <c r="W10" s="1179">
        <f t="shared" si="2"/>
        <v>100</v>
      </c>
      <c r="X10" s="1180"/>
      <c r="Y10" s="3411"/>
      <c r="Z10" s="1193" t="str">
        <f t="shared" si="7"/>
        <v>土地使用年限（年）</v>
      </c>
      <c r="AA10" s="1192">
        <f t="shared" si="3"/>
        <v>1</v>
      </c>
      <c r="AB10" s="1192">
        <f t="shared" si="4"/>
        <v>1</v>
      </c>
      <c r="AC10" s="1192">
        <f t="shared" si="5"/>
        <v>1</v>
      </c>
    </row>
    <row r="11" spans="1:29" ht="15">
      <c r="A11" s="1011"/>
      <c r="B11" s="1008" t="s">
        <v>1049</v>
      </c>
      <c r="C11" s="1012"/>
      <c r="D11" s="1010">
        <v>100</v>
      </c>
      <c r="E11" s="1013"/>
      <c r="F11" s="1381" t="e">
        <f>LOOKUP(E11,68:68,69:69)-LOOKUP(C11,68:68,69:69)+100</f>
        <v>#N/A</v>
      </c>
      <c r="G11" s="1012"/>
      <c r="H11" s="1010" t="e">
        <f>LOOKUP(G11,68:68,69:69)-LOOKUP(C11,68:68,69:69)+100</f>
        <v>#N/A</v>
      </c>
      <c r="I11" s="1012"/>
      <c r="J11" s="1010" t="e">
        <f>LOOKUP(I11,68:68,69:69)-LOOKUP(C11,68:68,69:69)+100</f>
        <v>#N/A</v>
      </c>
      <c r="K11" s="1153"/>
      <c r="L11" s="1145"/>
      <c r="M11" s="1135"/>
      <c r="N11" s="1135"/>
      <c r="O11" s="1135"/>
      <c r="P11" s="3460"/>
      <c r="Q11" s="1182" t="str">
        <f t="shared" si="6"/>
        <v>容积率</v>
      </c>
      <c r="R11" s="1178" t="s">
        <v>1037</v>
      </c>
      <c r="S11" s="1179" t="e">
        <f t="shared" si="0"/>
        <v>#N/A</v>
      </c>
      <c r="T11" s="1178" t="s">
        <v>1037</v>
      </c>
      <c r="U11" s="1179" t="e">
        <f t="shared" si="1"/>
        <v>#N/A</v>
      </c>
      <c r="V11" s="1178" t="s">
        <v>1037</v>
      </c>
      <c r="W11" s="1179" t="e">
        <f t="shared" si="2"/>
        <v>#N/A</v>
      </c>
      <c r="X11" s="1180"/>
      <c r="Y11" s="3411"/>
      <c r="Z11" s="1193" t="str">
        <f t="shared" si="7"/>
        <v>容积率</v>
      </c>
      <c r="AA11" s="1192" t="e">
        <f t="shared" si="3"/>
        <v>#N/A</v>
      </c>
      <c r="AB11" s="1192" t="e">
        <f t="shared" si="4"/>
        <v>#N/A</v>
      </c>
      <c r="AC11" s="1192" t="e">
        <f t="shared" si="5"/>
        <v>#N/A</v>
      </c>
    </row>
    <row r="12" spans="1:29" s="970" customFormat="1" ht="15">
      <c r="A12" s="1014"/>
      <c r="B12" s="1015">
        <v>111</v>
      </c>
      <c r="C12" s="1009"/>
      <c r="D12" s="1016">
        <v>100</v>
      </c>
      <c r="E12" s="1019"/>
      <c r="F12" s="1381">
        <f>SUMIF(70:70,E12,71:71)-SUMIF(70:70,C12,71:71)+100</f>
        <v>100</v>
      </c>
      <c r="G12" s="1019"/>
      <c r="H12" s="1010">
        <f>SUMIF(70:70,G12,71:71)-SUMIF(70:70,C12,71:71)+100</f>
        <v>100</v>
      </c>
      <c r="I12" s="1019"/>
      <c r="J12" s="1010">
        <f>SUMIF(70:70,I12,71:71)-SUMIF(70:70,C12,71:71)+100</f>
        <v>100</v>
      </c>
      <c r="K12" s="1152"/>
      <c r="L12" s="1137"/>
      <c r="M12" s="1138"/>
      <c r="N12" s="1138"/>
      <c r="O12" s="1138"/>
      <c r="P12" s="3460"/>
      <c r="Q12" s="1182">
        <f t="shared" si="6"/>
        <v>111</v>
      </c>
      <c r="R12" s="1178" t="s">
        <v>1037</v>
      </c>
      <c r="S12" s="1179">
        <f t="shared" si="0"/>
        <v>100</v>
      </c>
      <c r="T12" s="1178" t="s">
        <v>1037</v>
      </c>
      <c r="U12" s="1179">
        <f t="shared" si="1"/>
        <v>100</v>
      </c>
      <c r="V12" s="1178" t="s">
        <v>1037</v>
      </c>
      <c r="W12" s="1179">
        <f t="shared" si="2"/>
        <v>100</v>
      </c>
      <c r="X12" s="1180"/>
      <c r="Y12" s="3411"/>
      <c r="Z12" s="1193">
        <f t="shared" si="7"/>
        <v>111</v>
      </c>
      <c r="AA12" s="1192">
        <f t="shared" si="3"/>
        <v>1</v>
      </c>
      <c r="AB12" s="1192">
        <f t="shared" si="4"/>
        <v>1</v>
      </c>
      <c r="AC12" s="1192">
        <f t="shared" si="5"/>
        <v>1</v>
      </c>
    </row>
    <row r="13" spans="1:29" ht="15">
      <c r="A13" s="1011"/>
      <c r="B13" s="1015">
        <v>111</v>
      </c>
      <c r="C13" s="1019"/>
      <c r="D13" s="1020">
        <v>100</v>
      </c>
      <c r="E13" s="1019"/>
      <c r="F13" s="1381">
        <f>SUMIF(72:72,E13,73:73)-SUMIF(72:72,C13,73:73)+100</f>
        <v>100</v>
      </c>
      <c r="G13" s="1019"/>
      <c r="H13" s="1020">
        <f>SUMIF(72:72,G13,73:73)-SUMIF(72:72,C13,73:73)+100</f>
        <v>100</v>
      </c>
      <c r="I13" s="1019"/>
      <c r="J13" s="1020">
        <f>SUMIF(72:72,I13,73:73)-SUMIF(72:72,C13,73:73)+100</f>
        <v>100</v>
      </c>
      <c r="K13" s="1152"/>
      <c r="L13" s="1147"/>
      <c r="M13" s="1135"/>
      <c r="N13" s="1135"/>
      <c r="O13" s="1135"/>
      <c r="P13" s="3460"/>
      <c r="Q13" s="1182">
        <f t="shared" si="6"/>
        <v>111</v>
      </c>
      <c r="R13" s="1178" t="s">
        <v>1037</v>
      </c>
      <c r="S13" s="1179">
        <f t="shared" si="0"/>
        <v>100</v>
      </c>
      <c r="T13" s="1178" t="s">
        <v>1037</v>
      </c>
      <c r="U13" s="1179">
        <f t="shared" si="1"/>
        <v>100</v>
      </c>
      <c r="V13" s="1178" t="s">
        <v>1037</v>
      </c>
      <c r="W13" s="1179">
        <f t="shared" si="2"/>
        <v>100</v>
      </c>
      <c r="X13" s="1180"/>
      <c r="Y13" s="3411"/>
      <c r="Z13" s="1193">
        <f t="shared" si="7"/>
        <v>111</v>
      </c>
      <c r="AA13" s="1192">
        <f t="shared" si="3"/>
        <v>1</v>
      </c>
      <c r="AB13" s="1192">
        <f t="shared" si="4"/>
        <v>1</v>
      </c>
      <c r="AC13" s="1192">
        <f t="shared" si="5"/>
        <v>1</v>
      </c>
    </row>
    <row r="14" spans="1:29" ht="15">
      <c r="A14" s="1021"/>
      <c r="B14" s="1022">
        <v>111</v>
      </c>
      <c r="C14" s="1023"/>
      <c r="D14" s="1024">
        <v>100</v>
      </c>
      <c r="E14" s="1019"/>
      <c r="F14" s="1401">
        <f>SUMIF(74:74,E14,75:75)-SUMIF(74:74,C14,75:75)+100</f>
        <v>100</v>
      </c>
      <c r="G14" s="1019"/>
      <c r="H14" s="1024">
        <f>SUMIF(74:74,G14,75:75)-SUMIF(74:74,C14,75:75)+100</f>
        <v>100</v>
      </c>
      <c r="I14" s="1019"/>
      <c r="J14" s="1024">
        <f>SUMIF(74:74,I14,75:75)-SUMIF(74:74,C14,75:75)+100</f>
        <v>100</v>
      </c>
      <c r="K14" s="1152"/>
      <c r="L14" s="1147"/>
      <c r="M14" s="1135"/>
      <c r="N14" s="1135"/>
      <c r="O14" s="1135"/>
      <c r="P14" s="3460"/>
      <c r="Q14" s="1182">
        <f t="shared" si="6"/>
        <v>111</v>
      </c>
      <c r="R14" s="1178" t="s">
        <v>1037</v>
      </c>
      <c r="S14" s="1179">
        <f t="shared" si="0"/>
        <v>100</v>
      </c>
      <c r="T14" s="1178" t="s">
        <v>1037</v>
      </c>
      <c r="U14" s="1179">
        <f t="shared" si="1"/>
        <v>100</v>
      </c>
      <c r="V14" s="1178" t="s">
        <v>1037</v>
      </c>
      <c r="W14" s="1179">
        <f t="shared" si="2"/>
        <v>100</v>
      </c>
      <c r="X14" s="1180"/>
      <c r="Y14" s="3411"/>
      <c r="Z14" s="1193">
        <f t="shared" si="7"/>
        <v>111</v>
      </c>
      <c r="AA14" s="1192">
        <f t="shared" si="3"/>
        <v>1</v>
      </c>
      <c r="AB14" s="1192">
        <f t="shared" si="4"/>
        <v>1</v>
      </c>
      <c r="AC14" s="1192">
        <f t="shared" si="5"/>
        <v>1</v>
      </c>
    </row>
    <row r="15" spans="1:29" ht="42.75">
      <c r="A15" s="1025" t="s">
        <v>1051</v>
      </c>
      <c r="B15" s="1317" t="s">
        <v>1472</v>
      </c>
      <c r="C15" s="1318" t="str">
        <f>估价对象房地状况!C4</f>
        <v>周边商业氛围成熟，人流量大，商业繁华度较好</v>
      </c>
      <c r="D15" s="1028">
        <v>100</v>
      </c>
      <c r="E15" s="1029"/>
      <c r="F15" s="1384">
        <f>SUMIF(76:76,E16,77:77)-SUMIF(76:76,C16,77:77)+100</f>
        <v>100</v>
      </c>
      <c r="G15" s="1148"/>
      <c r="H15" s="1028">
        <f>SUMIF(76:76,G16,77:77)-SUMIF(76:76,C16,77:77)+100</f>
        <v>100</v>
      </c>
      <c r="I15" s="1029"/>
      <c r="J15" s="1028">
        <f>SUMIF(76:76,I16,77:77)-SUMIF(76:76,C16,77:77)+100</f>
        <v>100</v>
      </c>
      <c r="K15" s="1423"/>
      <c r="L15" s="1147"/>
      <c r="M15" s="1135"/>
      <c r="N15" s="1135"/>
      <c r="O15" s="1135"/>
      <c r="P15" s="3461" t="s">
        <v>1053</v>
      </c>
      <c r="Q15" s="746" t="str">
        <f t="shared" si="6"/>
        <v>商业繁华度</v>
      </c>
      <c r="R15" s="1183" t="s">
        <v>1037</v>
      </c>
      <c r="S15" s="1184">
        <f t="shared" si="0"/>
        <v>100</v>
      </c>
      <c r="T15" s="1183" t="s">
        <v>1037</v>
      </c>
      <c r="U15" s="1184">
        <f t="shared" si="1"/>
        <v>100</v>
      </c>
      <c r="V15" s="1183" t="s">
        <v>1037</v>
      </c>
      <c r="W15" s="1184">
        <f t="shared" si="2"/>
        <v>100</v>
      </c>
      <c r="X15" s="1177"/>
      <c r="Y15" s="3466" t="s">
        <v>1053</v>
      </c>
      <c r="Z15" s="1167" t="str">
        <f t="shared" si="7"/>
        <v>商业繁华度</v>
      </c>
      <c r="AA15" s="1194">
        <f t="shared" si="3"/>
        <v>1</v>
      </c>
      <c r="AB15" s="1194">
        <f t="shared" si="4"/>
        <v>1</v>
      </c>
      <c r="AC15" s="1194">
        <f t="shared" si="5"/>
        <v>1</v>
      </c>
    </row>
    <row r="16" spans="1:29" ht="15">
      <c r="A16" s="1011"/>
      <c r="B16" s="1320"/>
      <c r="C16" s="1031"/>
      <c r="D16" s="1032"/>
      <c r="E16" s="1031"/>
      <c r="F16" s="1385"/>
      <c r="G16" s="1031"/>
      <c r="H16" s="1034"/>
      <c r="I16" s="1031"/>
      <c r="J16" s="1032"/>
      <c r="K16" s="1424"/>
      <c r="L16" s="1147"/>
      <c r="M16" s="1135"/>
      <c r="N16" s="1135"/>
      <c r="O16" s="1135"/>
      <c r="P16" s="3462"/>
      <c r="Q16" s="746"/>
      <c r="R16" s="1183"/>
      <c r="S16" s="1184"/>
      <c r="T16" s="1183"/>
      <c r="U16" s="1184"/>
      <c r="V16" s="1183"/>
      <c r="W16" s="1184"/>
      <c r="X16" s="1177"/>
      <c r="Y16" s="3467"/>
      <c r="Z16" s="1167"/>
      <c r="AA16" s="1194">
        <v>1</v>
      </c>
      <c r="AB16" s="1194">
        <v>1</v>
      </c>
      <c r="AC16" s="1194">
        <v>1</v>
      </c>
    </row>
    <row r="17" spans="1:29" ht="156.75">
      <c r="A17" s="1011"/>
      <c r="B17" s="1321" t="s">
        <v>1056</v>
      </c>
      <c r="C17" s="1036" t="str">
        <f>估价对象房地状况!C6</f>
        <v>估价对象紧邻城市支路-东环路、附近有公交车站昌平南大街站，停靠线路有493路、昌52路、昌66路等，附近600米范围内有地铁昌平线昌平站合评价交通便捷度较好。</v>
      </c>
      <c r="D17" s="1034">
        <v>100</v>
      </c>
      <c r="E17" s="1037"/>
      <c r="F17" s="1387">
        <f>SUMIF(78:78,E18,79:79)-SUMIF(78:78,C18,79:79)+100</f>
        <v>100</v>
      </c>
      <c r="G17" s="1149"/>
      <c r="H17" s="1038">
        <f>SUMIF(78:78,G18,79:79)-SUMIF(78:78,C18,79:79)+100</f>
        <v>100</v>
      </c>
      <c r="I17" s="1037"/>
      <c r="J17" s="1038">
        <f>SUMIF(78:78,I18,79:79)-SUMIF(78:78,C18,79:79)+100</f>
        <v>100</v>
      </c>
      <c r="K17" s="1423"/>
      <c r="L17" s="1147"/>
      <c r="M17" s="1135"/>
      <c r="N17" s="1135"/>
      <c r="O17" s="1135"/>
      <c r="P17" s="3462"/>
      <c r="Q17" s="746" t="str">
        <f>B17</f>
        <v>交通便捷度</v>
      </c>
      <c r="R17" s="1183" t="s">
        <v>1037</v>
      </c>
      <c r="S17" s="1184">
        <f>F17</f>
        <v>100</v>
      </c>
      <c r="T17" s="1183" t="s">
        <v>1037</v>
      </c>
      <c r="U17" s="1184">
        <f>H17</f>
        <v>100</v>
      </c>
      <c r="V17" s="1183" t="s">
        <v>1037</v>
      </c>
      <c r="W17" s="1184">
        <f>J17</f>
        <v>100</v>
      </c>
      <c r="X17" s="1177"/>
      <c r="Y17" s="3467"/>
      <c r="Z17" s="1167" t="str">
        <f>Q17</f>
        <v>交通便捷度</v>
      </c>
      <c r="AA17" s="1194">
        <f t="shared" si="3"/>
        <v>1</v>
      </c>
      <c r="AB17" s="1194">
        <f t="shared" si="4"/>
        <v>1</v>
      </c>
      <c r="AC17" s="1194">
        <f t="shared" si="5"/>
        <v>1</v>
      </c>
    </row>
    <row r="18" spans="1:29" ht="15">
      <c r="A18" s="1011"/>
      <c r="B18" s="1059"/>
      <c r="C18" s="1322"/>
      <c r="D18" s="1034"/>
      <c r="E18" s="1323"/>
      <c r="F18" s="1387"/>
      <c r="G18" s="1339"/>
      <c r="H18" s="1032"/>
      <c r="I18" s="1323"/>
      <c r="J18" s="1032"/>
      <c r="K18" s="1424"/>
      <c r="L18" s="1147"/>
      <c r="M18" s="1135"/>
      <c r="N18" s="1135"/>
      <c r="O18" s="1135"/>
      <c r="P18" s="3462"/>
      <c r="Q18" s="746"/>
      <c r="R18" s="1183"/>
      <c r="S18" s="1184"/>
      <c r="T18" s="1183"/>
      <c r="U18" s="1184"/>
      <c r="V18" s="1183"/>
      <c r="W18" s="1184"/>
      <c r="X18" s="1177"/>
      <c r="Y18" s="3467"/>
      <c r="Z18" s="1167"/>
      <c r="AA18" s="1194">
        <v>1</v>
      </c>
      <c r="AB18" s="1194">
        <v>1</v>
      </c>
      <c r="AC18" s="1194">
        <v>1</v>
      </c>
    </row>
    <row r="19" spans="1:29" ht="199.5">
      <c r="A19" s="1011"/>
      <c r="B19" s="1321" t="s">
        <v>1057</v>
      </c>
      <c r="C19" s="1036"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1038">
        <v>100</v>
      </c>
      <c r="E19" s="1324"/>
      <c r="F19" s="1386">
        <f>SUMIF(80:80,E20,81:81)-SUMIF(80:80,C20,81:81)+100</f>
        <v>100</v>
      </c>
      <c r="G19" s="1340"/>
      <c r="H19" s="1034">
        <f>SUMIF(80:80,G20,81:81)-SUMIF(80:80,C20,81:81)+100</f>
        <v>100</v>
      </c>
      <c r="I19" s="1324"/>
      <c r="J19" s="1034">
        <f>SUMIF(80:80,I20,81:81)-SUMIF(80:80,C20,81:81)+100</f>
        <v>100</v>
      </c>
      <c r="K19" s="1423"/>
      <c r="L19" s="1147"/>
      <c r="M19" s="1135"/>
      <c r="N19" s="1135"/>
      <c r="O19" s="1135"/>
      <c r="P19" s="3462"/>
      <c r="Q19" s="746" t="str">
        <f>B19</f>
        <v>公共配套设施</v>
      </c>
      <c r="R19" s="1183" t="s">
        <v>1037</v>
      </c>
      <c r="S19" s="1184">
        <f>F19</f>
        <v>100</v>
      </c>
      <c r="T19" s="1183" t="s">
        <v>1037</v>
      </c>
      <c r="U19" s="1184">
        <f>H19</f>
        <v>100</v>
      </c>
      <c r="V19" s="1183" t="s">
        <v>1037</v>
      </c>
      <c r="W19" s="1184">
        <f>J19</f>
        <v>100</v>
      </c>
      <c r="X19" s="1177"/>
      <c r="Y19" s="3467"/>
      <c r="Z19" s="1167" t="str">
        <f>Q19</f>
        <v>公共配套设施</v>
      </c>
      <c r="AA19" s="1194">
        <f t="shared" si="3"/>
        <v>1</v>
      </c>
      <c r="AB19" s="1194">
        <f t="shared" si="4"/>
        <v>1</v>
      </c>
      <c r="AC19" s="1194">
        <f t="shared" si="5"/>
        <v>1</v>
      </c>
    </row>
    <row r="20" spans="1:29" ht="15">
      <c r="A20" s="1011"/>
      <c r="B20" s="1059"/>
      <c r="C20" s="1031"/>
      <c r="D20" s="1032"/>
      <c r="E20" s="1040"/>
      <c r="F20" s="1385"/>
      <c r="G20" s="1150"/>
      <c r="H20" s="1032"/>
      <c r="I20" s="1040"/>
      <c r="J20" s="1032"/>
      <c r="K20" s="1424"/>
      <c r="L20" s="1147"/>
      <c r="M20" s="1135"/>
      <c r="N20" s="1135"/>
      <c r="O20" s="1135"/>
      <c r="P20" s="3462"/>
      <c r="Q20" s="746"/>
      <c r="R20" s="1183"/>
      <c r="S20" s="1184"/>
      <c r="T20" s="1183"/>
      <c r="U20" s="1184"/>
      <c r="V20" s="1183"/>
      <c r="W20" s="1184"/>
      <c r="X20" s="1177"/>
      <c r="Y20" s="3467"/>
      <c r="Z20" s="1167"/>
      <c r="AA20" s="1194">
        <v>1</v>
      </c>
      <c r="AB20" s="1194">
        <v>1</v>
      </c>
      <c r="AC20" s="1194">
        <v>1</v>
      </c>
    </row>
    <row r="21" spans="1:29" ht="42.75">
      <c r="A21" s="1011"/>
      <c r="B21" s="1326" t="s">
        <v>1058</v>
      </c>
      <c r="C21" s="1036" t="str">
        <f>估价对象房地状况!C8</f>
        <v>估价对象所在区域基础设施水平为七通一平</v>
      </c>
      <c r="D21" s="1038">
        <v>100</v>
      </c>
      <c r="E21" s="1324"/>
      <c r="F21" s="1386">
        <f>SUMIF(82:82,E22,83:83)-SUMIF(82:82,C22,83:83)+100</f>
        <v>100</v>
      </c>
      <c r="G21" s="1340"/>
      <c r="H21" s="1034">
        <f>SUMIF(82:82,G22,83:83)-SUMIF(82:82,C22,83:83)+100</f>
        <v>100</v>
      </c>
      <c r="I21" s="1324"/>
      <c r="J21" s="1034">
        <f>SUMIF(82:82,I22,83:83)-SUMIF(82:82,C22,83:83)+100</f>
        <v>100</v>
      </c>
      <c r="K21" s="1423"/>
      <c r="L21" s="1147"/>
      <c r="M21" s="1135"/>
      <c r="N21" s="1135"/>
      <c r="O21" s="1135"/>
      <c r="P21" s="3462"/>
      <c r="Q21" s="746" t="str">
        <f>B21</f>
        <v>基础设施水平</v>
      </c>
      <c r="R21" s="1183" t="s">
        <v>1037</v>
      </c>
      <c r="S21" s="1184">
        <f>F21</f>
        <v>100</v>
      </c>
      <c r="T21" s="1183" t="s">
        <v>1037</v>
      </c>
      <c r="U21" s="1184">
        <f>H21</f>
        <v>100</v>
      </c>
      <c r="V21" s="1183" t="s">
        <v>1037</v>
      </c>
      <c r="W21" s="1184">
        <f>J21</f>
        <v>100</v>
      </c>
      <c r="X21" s="1177"/>
      <c r="Y21" s="3467"/>
      <c r="Z21" s="1167" t="str">
        <f>Q21</f>
        <v>基础设施水平</v>
      </c>
      <c r="AA21" s="1194">
        <f t="shared" ref="AA21" si="8">D21/F21</f>
        <v>1</v>
      </c>
      <c r="AB21" s="1194">
        <f t="shared" ref="AB21" si="9">D21/H21</f>
        <v>1</v>
      </c>
      <c r="AC21" s="1194">
        <f t="shared" ref="AC21" si="10">D21/J21</f>
        <v>1</v>
      </c>
    </row>
    <row r="22" spans="1:29" ht="15">
      <c r="A22" s="1011"/>
      <c r="B22" s="1326"/>
      <c r="C22" s="1322"/>
      <c r="D22" s="1032"/>
      <c r="E22" s="1031"/>
      <c r="F22" s="1385"/>
      <c r="G22" s="1031"/>
      <c r="H22" s="1032"/>
      <c r="I22" s="1031"/>
      <c r="J22" s="1032"/>
      <c r="K22" s="1425"/>
      <c r="L22" s="1147"/>
      <c r="M22" s="1135"/>
      <c r="N22" s="1135"/>
      <c r="O22" s="1135"/>
      <c r="P22" s="3462"/>
      <c r="Q22" s="746"/>
      <c r="R22" s="1183"/>
      <c r="S22" s="1184"/>
      <c r="T22" s="1183"/>
      <c r="U22" s="1184"/>
      <c r="V22" s="1183"/>
      <c r="W22" s="1184"/>
      <c r="X22" s="1177"/>
      <c r="Y22" s="3467"/>
      <c r="Z22" s="1167"/>
      <c r="AA22" s="1194">
        <v>1</v>
      </c>
      <c r="AB22" s="1194">
        <v>1</v>
      </c>
      <c r="AC22" s="1194">
        <v>1</v>
      </c>
    </row>
    <row r="23" spans="1:29" ht="114">
      <c r="A23" s="1011"/>
      <c r="B23" s="1321" t="s">
        <v>1059</v>
      </c>
      <c r="C23" s="744" t="str">
        <f>估价对象房地状况!C9</f>
        <v>估计对象周边有昌平公园、学府等自然环境景观，有北京昌平卫生学校、中国石油大学等人文环境；综合评价环境状况较好。</v>
      </c>
      <c r="D23" s="1034">
        <v>100</v>
      </c>
      <c r="E23" s="1037"/>
      <c r="F23" s="1387">
        <f>SUMIF(84:84,E24,85:85)-SUMIF(84:84,C24,85:85)+100</f>
        <v>100</v>
      </c>
      <c r="G23" s="1149"/>
      <c r="H23" s="1034">
        <f>SUMIF(84:84,G24,85:85)-SUMIF(84:84,C24,85:85)+100</f>
        <v>100</v>
      </c>
      <c r="I23" s="1037"/>
      <c r="J23" s="1034">
        <f>SUMIF(84:84,I24,85:85)-SUMIF(84:84,C24,85:85)+100</f>
        <v>100</v>
      </c>
      <c r="K23" s="1423"/>
      <c r="L23" s="1147"/>
      <c r="M23" s="1135"/>
      <c r="N23" s="1135"/>
      <c r="O23" s="1135"/>
      <c r="P23" s="3462"/>
      <c r="Q23" s="746" t="str">
        <f>B23</f>
        <v>自然及人文环境</v>
      </c>
      <c r="R23" s="1183" t="s">
        <v>1037</v>
      </c>
      <c r="S23" s="1184">
        <f>F23</f>
        <v>100</v>
      </c>
      <c r="T23" s="1183" t="s">
        <v>1037</v>
      </c>
      <c r="U23" s="1184">
        <f>H23</f>
        <v>100</v>
      </c>
      <c r="V23" s="1183" t="s">
        <v>1037</v>
      </c>
      <c r="W23" s="1184">
        <f>J23</f>
        <v>100</v>
      </c>
      <c r="X23" s="1177"/>
      <c r="Y23" s="3467"/>
      <c r="Z23" s="1167" t="str">
        <f>Q23</f>
        <v>自然及人文环境</v>
      </c>
      <c r="AA23" s="1194">
        <f t="shared" si="3"/>
        <v>1</v>
      </c>
      <c r="AB23" s="1194">
        <f t="shared" si="4"/>
        <v>1</v>
      </c>
      <c r="AC23" s="1194">
        <f t="shared" si="5"/>
        <v>1</v>
      </c>
    </row>
    <row r="24" spans="1:29" ht="15">
      <c r="A24" s="1011"/>
      <c r="B24" s="1059"/>
      <c r="C24" s="1031"/>
      <c r="D24" s="1032"/>
      <c r="E24" s="1040"/>
      <c r="F24" s="1385"/>
      <c r="G24" s="1150"/>
      <c r="H24" s="1032"/>
      <c r="I24" s="1040"/>
      <c r="J24" s="1032"/>
      <c r="K24" s="1424"/>
      <c r="L24" s="1147"/>
      <c r="M24" s="1135"/>
      <c r="N24" s="1135"/>
      <c r="O24" s="1135"/>
      <c r="P24" s="3462"/>
      <c r="Q24" s="746"/>
      <c r="R24" s="1183"/>
      <c r="S24" s="1184"/>
      <c r="T24" s="1183"/>
      <c r="U24" s="1184"/>
      <c r="V24" s="1183"/>
      <c r="W24" s="1184"/>
      <c r="X24" s="1177"/>
      <c r="Y24" s="3467"/>
      <c r="Z24" s="1167"/>
      <c r="AA24" s="1194">
        <v>1</v>
      </c>
      <c r="AB24" s="1194">
        <v>1</v>
      </c>
      <c r="AC24" s="1194">
        <v>1</v>
      </c>
    </row>
    <row r="25" spans="1:29" ht="15">
      <c r="A25" s="1011"/>
      <c r="B25" s="1008" t="s">
        <v>1473</v>
      </c>
      <c r="C25" s="1045"/>
      <c r="D25" s="1020">
        <v>100</v>
      </c>
      <c r="E25" s="1045"/>
      <c r="F25" s="1388">
        <f>SUMIF(86:86,E25,87:87)-SUMIF(86:86,C25,87:87)+100</f>
        <v>100</v>
      </c>
      <c r="G25" s="1045"/>
      <c r="H25" s="1020">
        <f>SUMIF(86:86,G25,87:87)-SUMIF(86:86,C25,87:87)+100</f>
        <v>100</v>
      </c>
      <c r="I25" s="1045"/>
      <c r="J25" s="1020">
        <f>SUMIF(86:86,I25,87:87)-SUMIF(86:86,C25,87:87)+100</f>
        <v>100</v>
      </c>
      <c r="K25" s="1153"/>
      <c r="L25" s="1147"/>
      <c r="M25" s="1135"/>
      <c r="N25" s="1135"/>
      <c r="O25" s="1135"/>
      <c r="P25" s="3462"/>
      <c r="Q25" s="746" t="str">
        <f t="shared" ref="Q25:Q46" si="11">B25</f>
        <v>临街状况</v>
      </c>
      <c r="R25" s="1183" t="s">
        <v>1037</v>
      </c>
      <c r="S25" s="1184">
        <f>F25</f>
        <v>100</v>
      </c>
      <c r="T25" s="1183" t="s">
        <v>1037</v>
      </c>
      <c r="U25" s="1184">
        <f>H25</f>
        <v>100</v>
      </c>
      <c r="V25" s="1183" t="s">
        <v>1037</v>
      </c>
      <c r="W25" s="1184">
        <f>J25</f>
        <v>100</v>
      </c>
      <c r="X25" s="1177"/>
      <c r="Y25" s="3467"/>
      <c r="Z25" s="1167" t="str">
        <f>Q25</f>
        <v>临街状况</v>
      </c>
      <c r="AA25" s="1194">
        <f t="shared" si="3"/>
        <v>1</v>
      </c>
      <c r="AB25" s="1194">
        <f t="shared" si="4"/>
        <v>1</v>
      </c>
      <c r="AC25" s="1194">
        <f t="shared" si="5"/>
        <v>1</v>
      </c>
    </row>
    <row r="26" spans="1:29" ht="15">
      <c r="A26" s="1011"/>
      <c r="B26" s="1327" t="s">
        <v>1474</v>
      </c>
      <c r="C26" s="1019"/>
      <c r="D26" s="1020">
        <v>100</v>
      </c>
      <c r="E26" s="1019"/>
      <c r="F26" s="1388">
        <f>SUMIF(88:88,E26,89:89)-SUMIF(88:88,C26,89:89)+100</f>
        <v>100</v>
      </c>
      <c r="G26" s="1019"/>
      <c r="H26" s="1020">
        <f>SUMIF(88:88,G26,89:89)-SUMIF(88:88,C26,89:89)+100</f>
        <v>100</v>
      </c>
      <c r="I26" s="1019"/>
      <c r="J26" s="1020">
        <f>SUMIF(88:88,I26,89:89)-SUMIF(88:88,C26,89:89)+100</f>
        <v>100</v>
      </c>
      <c r="K26" s="1152"/>
      <c r="L26" s="1147"/>
      <c r="M26" s="1135"/>
      <c r="N26" s="1135"/>
      <c r="O26" s="1135"/>
      <c r="P26" s="3462"/>
      <c r="Q26" s="746" t="str">
        <f t="shared" si="11"/>
        <v>平面位置/可视性</v>
      </c>
      <c r="R26" s="1183" t="s">
        <v>1037</v>
      </c>
      <c r="S26" s="1184">
        <f>F26</f>
        <v>100</v>
      </c>
      <c r="T26" s="1183" t="s">
        <v>1037</v>
      </c>
      <c r="U26" s="1184">
        <f>H26</f>
        <v>100</v>
      </c>
      <c r="V26" s="1183" t="s">
        <v>1037</v>
      </c>
      <c r="W26" s="1184">
        <f>J26</f>
        <v>100</v>
      </c>
      <c r="X26" s="1177"/>
      <c r="Y26" s="3467"/>
      <c r="Z26" s="1167" t="str">
        <f>Q26</f>
        <v>平面位置/可视性</v>
      </c>
      <c r="AA26" s="1194">
        <f t="shared" si="3"/>
        <v>1</v>
      </c>
      <c r="AB26" s="1194">
        <f t="shared" si="4"/>
        <v>1</v>
      </c>
      <c r="AC26" s="1194">
        <f t="shared" si="5"/>
        <v>1</v>
      </c>
    </row>
    <row r="27" spans="1:29" s="970" customFormat="1" ht="15">
      <c r="A27" s="1014"/>
      <c r="B27" s="1321" t="s">
        <v>1475</v>
      </c>
      <c r="C27" s="1548"/>
      <c r="D27" s="1500">
        <v>100</v>
      </c>
      <c r="E27" s="1548"/>
      <c r="F27" s="1501">
        <f>SUMIF(90:90,E27,91:91)-SUMIF(90:90,C27,91:91)+100</f>
        <v>100</v>
      </c>
      <c r="G27" s="1548"/>
      <c r="H27" s="1500">
        <f>SUMIF(90:90,G27,91:91)-SUMIF(90:90,C27,91:91)+100</f>
        <v>100</v>
      </c>
      <c r="I27" s="1548"/>
      <c r="J27" s="1500">
        <f>SUMIF(90:90,I27,91:91)-SUMIF(90:90,C27,91:91)+100</f>
        <v>100</v>
      </c>
      <c r="K27" s="1153"/>
      <c r="L27" s="1137"/>
      <c r="M27" s="1138"/>
      <c r="N27" s="1138"/>
      <c r="O27" s="1138"/>
      <c r="P27" s="3462"/>
      <c r="Q27" s="1182" t="str">
        <f t="shared" si="11"/>
        <v>人流量</v>
      </c>
      <c r="R27" s="1178" t="s">
        <v>1037</v>
      </c>
      <c r="S27" s="1179">
        <f>F27</f>
        <v>100</v>
      </c>
      <c r="T27" s="1178" t="s">
        <v>1037</v>
      </c>
      <c r="U27" s="1179">
        <f>H27</f>
        <v>100</v>
      </c>
      <c r="V27" s="1178" t="s">
        <v>1037</v>
      </c>
      <c r="W27" s="1179">
        <f>J27</f>
        <v>100</v>
      </c>
      <c r="X27" s="1180"/>
      <c r="Y27" s="3467"/>
      <c r="Z27" s="1193" t="str">
        <f>Q27</f>
        <v>人流量</v>
      </c>
      <c r="AA27" s="1194">
        <f t="shared" si="3"/>
        <v>1</v>
      </c>
      <c r="AB27" s="1194">
        <f t="shared" si="4"/>
        <v>1</v>
      </c>
      <c r="AC27" s="1194">
        <f t="shared" si="5"/>
        <v>1</v>
      </c>
    </row>
    <row r="28" spans="1:29" ht="15">
      <c r="A28" s="1011"/>
      <c r="B28" s="1008" t="s">
        <v>1476</v>
      </c>
      <c r="C28" s="1045"/>
      <c r="D28" s="1020">
        <v>100</v>
      </c>
      <c r="E28" s="1045"/>
      <c r="F28" s="1388">
        <f>SUMIF(92:92,E28,93:93)-SUMIF(92:92,C28,93:93)+100</f>
        <v>100</v>
      </c>
      <c r="G28" s="1045"/>
      <c r="H28" s="1020">
        <f>SUMIF(92:92,G28,93:93)-SUMIF(92:92,C28,93:93)+100</f>
        <v>100</v>
      </c>
      <c r="I28" s="1045"/>
      <c r="J28" s="1020">
        <f>SUMIF(92:92,I28,93:93)-SUMIF(92:92,C28,93:93)+100</f>
        <v>100</v>
      </c>
      <c r="K28" s="1152"/>
      <c r="L28" s="1147"/>
      <c r="M28" s="1135"/>
      <c r="N28" s="1135"/>
      <c r="O28" s="1135"/>
      <c r="P28" s="3462"/>
      <c r="Q28" s="746" t="str">
        <f t="shared" si="11"/>
        <v>楼层</v>
      </c>
      <c r="R28" s="1183" t="s">
        <v>1037</v>
      </c>
      <c r="S28" s="1184">
        <f t="shared" ref="S28:S46" si="12">F28</f>
        <v>100</v>
      </c>
      <c r="T28" s="1183" t="s">
        <v>1037</v>
      </c>
      <c r="U28" s="1184">
        <f t="shared" ref="U28:U46" si="13">H28</f>
        <v>100</v>
      </c>
      <c r="V28" s="1183" t="s">
        <v>1037</v>
      </c>
      <c r="W28" s="1184">
        <f t="shared" ref="W28:W46" si="14">J28</f>
        <v>100</v>
      </c>
      <c r="X28" s="1177"/>
      <c r="Y28" s="3467"/>
      <c r="Z28" s="1167" t="str">
        <f t="shared" ref="Z28:Z46" si="15">Q28</f>
        <v>楼层</v>
      </c>
      <c r="AA28" s="1194">
        <f t="shared" si="3"/>
        <v>1</v>
      </c>
      <c r="AB28" s="1194">
        <f t="shared" si="4"/>
        <v>1</v>
      </c>
      <c r="AC28" s="1194">
        <f t="shared" si="5"/>
        <v>1</v>
      </c>
    </row>
    <row r="29" spans="1:29" ht="15">
      <c r="A29" s="1011"/>
      <c r="B29" s="1327">
        <v>111</v>
      </c>
      <c r="C29" s="1019"/>
      <c r="D29" s="1020">
        <v>100</v>
      </c>
      <c r="E29" s="1019"/>
      <c r="F29" s="1388">
        <f>SUMIF(94:94,E29,95:95)-SUMIF(94:94,C29,95:95)+100</f>
        <v>100</v>
      </c>
      <c r="G29" s="1019"/>
      <c r="H29" s="1020">
        <f>SUMIF(94:94,G29,95:95)-SUMIF(94:94,C29,95:95)+100</f>
        <v>100</v>
      </c>
      <c r="I29" s="1019"/>
      <c r="J29" s="1020">
        <f>SUMIF(94:94,I29,95:95)-SUMIF(94:94,C29,95:95)+100</f>
        <v>100</v>
      </c>
      <c r="K29" s="1152"/>
      <c r="L29" s="1147"/>
      <c r="M29" s="1135"/>
      <c r="N29" s="1135"/>
      <c r="O29" s="1135"/>
      <c r="P29" s="3462"/>
      <c r="Q29" s="746">
        <f t="shared" si="11"/>
        <v>111</v>
      </c>
      <c r="R29" s="1183" t="s">
        <v>1037</v>
      </c>
      <c r="S29" s="1184">
        <f t="shared" si="12"/>
        <v>100</v>
      </c>
      <c r="T29" s="1183" t="s">
        <v>1037</v>
      </c>
      <c r="U29" s="1184">
        <f t="shared" si="13"/>
        <v>100</v>
      </c>
      <c r="V29" s="1183" t="s">
        <v>1037</v>
      </c>
      <c r="W29" s="1184">
        <f t="shared" si="14"/>
        <v>100</v>
      </c>
      <c r="X29" s="1177"/>
      <c r="Y29" s="3467"/>
      <c r="Z29" s="1167">
        <f t="shared" si="15"/>
        <v>111</v>
      </c>
      <c r="AA29" s="1194">
        <f t="shared" si="3"/>
        <v>1</v>
      </c>
      <c r="AB29" s="1194">
        <f t="shared" si="4"/>
        <v>1</v>
      </c>
      <c r="AC29" s="1194">
        <f t="shared" si="5"/>
        <v>1</v>
      </c>
    </row>
    <row r="30" spans="1:29" ht="15">
      <c r="A30" s="1011"/>
      <c r="B30" s="1327">
        <v>111</v>
      </c>
      <c r="C30" s="1019"/>
      <c r="D30" s="1020">
        <v>100</v>
      </c>
      <c r="E30" s="1019"/>
      <c r="F30" s="1388">
        <f>SUMIF(96:96,E30,97:97)-SUMIF(96:96,C30,97:97)+100</f>
        <v>100</v>
      </c>
      <c r="G30" s="1019"/>
      <c r="H30" s="1020">
        <f>SUMIF(96:96,G30,97:97)-SUMIF(96:96,C30,97:97)+100</f>
        <v>100</v>
      </c>
      <c r="I30" s="1019"/>
      <c r="J30" s="1020">
        <f>SUMIF(96:96,I30,97:97)-SUMIF(96:96,C30,97:97)+100</f>
        <v>100</v>
      </c>
      <c r="K30" s="1152"/>
      <c r="L30" s="1147"/>
      <c r="M30" s="1135"/>
      <c r="N30" s="1135"/>
      <c r="O30" s="1135"/>
      <c r="P30" s="3462"/>
      <c r="Q30" s="746">
        <f t="shared" si="11"/>
        <v>111</v>
      </c>
      <c r="R30" s="1183" t="s">
        <v>1037</v>
      </c>
      <c r="S30" s="1184">
        <f t="shared" si="12"/>
        <v>100</v>
      </c>
      <c r="T30" s="1183" t="s">
        <v>1037</v>
      </c>
      <c r="U30" s="1184">
        <f t="shared" si="13"/>
        <v>100</v>
      </c>
      <c r="V30" s="1183" t="s">
        <v>1037</v>
      </c>
      <c r="W30" s="1184">
        <f t="shared" si="14"/>
        <v>100</v>
      </c>
      <c r="X30" s="1177"/>
      <c r="Y30" s="3467"/>
      <c r="Z30" s="1167">
        <f t="shared" si="15"/>
        <v>111</v>
      </c>
      <c r="AA30" s="1194">
        <f t="shared" si="3"/>
        <v>1</v>
      </c>
      <c r="AB30" s="1194">
        <f t="shared" si="4"/>
        <v>1</v>
      </c>
      <c r="AC30" s="1194">
        <f t="shared" si="5"/>
        <v>1</v>
      </c>
    </row>
    <row r="31" spans="1:29" ht="15">
      <c r="A31" s="1021"/>
      <c r="B31" s="1327">
        <v>111</v>
      </c>
      <c r="C31" s="1023"/>
      <c r="D31" s="1024">
        <v>100</v>
      </c>
      <c r="E31" s="1019"/>
      <c r="F31" s="1401">
        <f>SUMIF(98:98,E31,99:99)-SUMIF(98:98,C31,99:99)+100</f>
        <v>100</v>
      </c>
      <c r="G31" s="1019"/>
      <c r="H31" s="1024">
        <f>SUMIF(98:98,G31,99:99)-SUMIF(98:98,C31,99:99)+100</f>
        <v>100</v>
      </c>
      <c r="I31" s="1019"/>
      <c r="J31" s="1024">
        <f>SUMIF(98:98,I31,99:99)-SUMIF(98:98,C31,99:99)+100</f>
        <v>100</v>
      </c>
      <c r="K31" s="1152"/>
      <c r="L31" s="1147"/>
      <c r="M31" s="1135"/>
      <c r="N31" s="1135"/>
      <c r="O31" s="1135"/>
      <c r="P31" s="3462"/>
      <c r="Q31" s="746">
        <f t="shared" si="11"/>
        <v>111</v>
      </c>
      <c r="R31" s="1183" t="s">
        <v>1037</v>
      </c>
      <c r="S31" s="1184">
        <f t="shared" si="12"/>
        <v>100</v>
      </c>
      <c r="T31" s="1183" t="s">
        <v>1037</v>
      </c>
      <c r="U31" s="1184">
        <f t="shared" si="13"/>
        <v>100</v>
      </c>
      <c r="V31" s="1183" t="s">
        <v>1037</v>
      </c>
      <c r="W31" s="1184">
        <f t="shared" si="14"/>
        <v>100</v>
      </c>
      <c r="X31" s="1177"/>
      <c r="Y31" s="3467"/>
      <c r="Z31" s="1167">
        <f t="shared" si="15"/>
        <v>111</v>
      </c>
      <c r="AA31" s="1194">
        <f t="shared" si="3"/>
        <v>1</v>
      </c>
      <c r="AB31" s="1194">
        <f t="shared" si="4"/>
        <v>1</v>
      </c>
      <c r="AC31" s="1194">
        <f t="shared" si="5"/>
        <v>1</v>
      </c>
    </row>
    <row r="32" spans="1:29" ht="15">
      <c r="A32" s="1025" t="s">
        <v>1065</v>
      </c>
      <c r="B32" s="1004" t="s">
        <v>1477</v>
      </c>
      <c r="C32" s="1563"/>
      <c r="D32" s="1061">
        <v>100</v>
      </c>
      <c r="E32" s="1563"/>
      <c r="F32" s="1388">
        <f>SUMIF(100:100,E32,101:101)-SUMIF(100:100,C32,101:101)+100</f>
        <v>100</v>
      </c>
      <c r="G32" s="1563"/>
      <c r="H32" s="1020">
        <f>SUMIF(100:100,G32,101:101)-SUMIF(100:100,C32,101:101)+100</f>
        <v>100</v>
      </c>
      <c r="I32" s="1563"/>
      <c r="J32" s="1061">
        <f>SUMIF(100:100,I32,101:101)-SUMIF(100:100,C32,101:101)+100</f>
        <v>100</v>
      </c>
      <c r="K32" s="1153"/>
      <c r="L32" s="1147"/>
      <c r="M32" s="1135"/>
      <c r="N32" s="1135"/>
      <c r="O32" s="1135"/>
      <c r="P32" s="3463" t="s">
        <v>1068</v>
      </c>
      <c r="Q32" s="746" t="str">
        <f t="shared" si="11"/>
        <v>商业类型</v>
      </c>
      <c r="R32" s="1183" t="s">
        <v>1037</v>
      </c>
      <c r="S32" s="1184">
        <f t="shared" si="12"/>
        <v>100</v>
      </c>
      <c r="T32" s="1183" t="s">
        <v>1037</v>
      </c>
      <c r="U32" s="1184">
        <f t="shared" si="13"/>
        <v>100</v>
      </c>
      <c r="V32" s="1183" t="s">
        <v>1037</v>
      </c>
      <c r="W32" s="1184">
        <f t="shared" si="14"/>
        <v>100</v>
      </c>
      <c r="X32" s="1177"/>
      <c r="Y32" s="3468" t="s">
        <v>1068</v>
      </c>
      <c r="Z32" s="1167" t="str">
        <f t="shared" si="15"/>
        <v>商业类型</v>
      </c>
      <c r="AA32" s="1194">
        <f t="shared" si="3"/>
        <v>1</v>
      </c>
      <c r="AB32" s="1194">
        <f t="shared" si="4"/>
        <v>1</v>
      </c>
      <c r="AC32" s="1194">
        <f t="shared" si="5"/>
        <v>1</v>
      </c>
    </row>
    <row r="33" spans="1:29" s="972" customFormat="1" ht="15">
      <c r="A33" s="1067"/>
      <c r="B33" s="1008" t="s">
        <v>1069</v>
      </c>
      <c r="C33" s="1382"/>
      <c r="D33" s="1010">
        <v>100</v>
      </c>
      <c r="E33" s="1013"/>
      <c r="F33" s="1381" t="e">
        <f>LOOKUP(E33,103:103,104:104)-LOOKUP(C33,103:103,104:104)+100</f>
        <v>#N/A</v>
      </c>
      <c r="G33" s="1012"/>
      <c r="H33" s="1010" t="e">
        <f>LOOKUP(G33,103:103,104:104)-LOOKUP(C33,103:103,104:104)+100</f>
        <v>#N/A</v>
      </c>
      <c r="I33" s="1012"/>
      <c r="J33" s="1010" t="e">
        <f>LOOKUP(I33,103:103,104:104)-LOOKUP(C33,103:103,104:104)+100</f>
        <v>#N/A</v>
      </c>
      <c r="K33" s="1152"/>
      <c r="L33" s="1145"/>
      <c r="M33" s="1154"/>
      <c r="N33" s="1154"/>
      <c r="O33" s="1154"/>
      <c r="P33" s="3464"/>
      <c r="Q33" s="1427" t="str">
        <f t="shared" si="11"/>
        <v>项目建筑规模</v>
      </c>
      <c r="R33" s="1185" t="s">
        <v>1037</v>
      </c>
      <c r="S33" s="1186" t="e">
        <f t="shared" si="12"/>
        <v>#N/A</v>
      </c>
      <c r="T33" s="1185" t="s">
        <v>1037</v>
      </c>
      <c r="U33" s="1186" t="e">
        <f t="shared" si="13"/>
        <v>#N/A</v>
      </c>
      <c r="V33" s="1185" t="s">
        <v>1037</v>
      </c>
      <c r="W33" s="1186" t="e">
        <f t="shared" si="14"/>
        <v>#N/A</v>
      </c>
      <c r="X33" s="1187"/>
      <c r="Y33" s="3468"/>
      <c r="Z33" s="1195" t="str">
        <f t="shared" si="15"/>
        <v>项目建筑规模</v>
      </c>
      <c r="AA33" s="1194" t="e">
        <f t="shared" si="3"/>
        <v>#N/A</v>
      </c>
      <c r="AB33" s="1194" t="e">
        <f t="shared" si="4"/>
        <v>#N/A</v>
      </c>
      <c r="AC33" s="1194" t="e">
        <f t="shared" si="5"/>
        <v>#N/A</v>
      </c>
    </row>
    <row r="34" spans="1:29" ht="15">
      <c r="A34" s="1062"/>
      <c r="B34" s="1008" t="s">
        <v>1070</v>
      </c>
      <c r="C34" s="1564"/>
      <c r="D34" s="1020">
        <v>100</v>
      </c>
      <c r="E34" s="1564"/>
      <c r="F34" s="1388">
        <f>SUMIF(105:105,E34,106:106)-SUMIF(105:105,C34,106:106)+100</f>
        <v>100</v>
      </c>
      <c r="G34" s="1564"/>
      <c r="H34" s="1020">
        <f>SUMIF(105:105,G34,106:106)-SUMIF(105:105,C34,106:106)+100</f>
        <v>100</v>
      </c>
      <c r="I34" s="1564"/>
      <c r="J34" s="1020">
        <f>SUMIF(105:105,I34,106:106)-SUMIF(105:105,C34,106:106)+100</f>
        <v>100</v>
      </c>
      <c r="K34" s="1153"/>
      <c r="L34" s="1147"/>
      <c r="M34" s="1135"/>
      <c r="N34" s="1135"/>
      <c r="O34" s="1135"/>
      <c r="P34" s="3464"/>
      <c r="Q34" s="746" t="str">
        <f t="shared" si="11"/>
        <v>建筑结构</v>
      </c>
      <c r="R34" s="1183" t="s">
        <v>1037</v>
      </c>
      <c r="S34" s="1184">
        <f t="shared" si="12"/>
        <v>100</v>
      </c>
      <c r="T34" s="1183" t="s">
        <v>1037</v>
      </c>
      <c r="U34" s="1184">
        <f t="shared" si="13"/>
        <v>100</v>
      </c>
      <c r="V34" s="1183" t="s">
        <v>1037</v>
      </c>
      <c r="W34" s="1184">
        <f t="shared" si="14"/>
        <v>100</v>
      </c>
      <c r="X34" s="1177"/>
      <c r="Y34" s="3468"/>
      <c r="Z34" s="1167" t="str">
        <f t="shared" si="15"/>
        <v>建筑结构</v>
      </c>
      <c r="AA34" s="1194">
        <f t="shared" si="3"/>
        <v>1</v>
      </c>
      <c r="AB34" s="1194">
        <f t="shared" si="4"/>
        <v>1</v>
      </c>
      <c r="AC34" s="1194">
        <f t="shared" si="5"/>
        <v>1</v>
      </c>
    </row>
    <row r="35" spans="1:29" ht="15">
      <c r="A35" s="1062"/>
      <c r="B35" s="1008" t="s">
        <v>1073</v>
      </c>
      <c r="C35" s="1063"/>
      <c r="D35" s="1020">
        <v>100</v>
      </c>
      <c r="E35" s="1063"/>
      <c r="F35" s="1388">
        <f>SUMIF(107:107,E35,108:108)-SUMIF(107:107,C35,108:108)+100</f>
        <v>100</v>
      </c>
      <c r="G35" s="1063"/>
      <c r="H35" s="1020">
        <f>SUMIF(107:107,G35,108:108)-SUMIF(107:107,C35,108:108)+100</f>
        <v>100</v>
      </c>
      <c r="I35" s="1063"/>
      <c r="J35" s="1020">
        <f>SUMIF(107:107,I35,108:108)-SUMIF(107:107,C35,108:108)+100</f>
        <v>100</v>
      </c>
      <c r="K35" s="1153"/>
      <c r="L35" s="1147"/>
      <c r="M35" s="1135"/>
      <c r="N35" s="1135"/>
      <c r="O35" s="1135"/>
      <c r="P35" s="3464"/>
      <c r="Q35" s="746" t="str">
        <f t="shared" si="11"/>
        <v>公共部分装修</v>
      </c>
      <c r="R35" s="1183" t="s">
        <v>1037</v>
      </c>
      <c r="S35" s="1184">
        <f t="shared" si="12"/>
        <v>100</v>
      </c>
      <c r="T35" s="1183" t="s">
        <v>1037</v>
      </c>
      <c r="U35" s="1184">
        <f t="shared" si="13"/>
        <v>100</v>
      </c>
      <c r="V35" s="1183" t="s">
        <v>1037</v>
      </c>
      <c r="W35" s="1184">
        <f t="shared" si="14"/>
        <v>100</v>
      </c>
      <c r="X35" s="1177"/>
      <c r="Y35" s="3468"/>
      <c r="Z35" s="1167" t="str">
        <f t="shared" si="15"/>
        <v>公共部分装修</v>
      </c>
      <c r="AA35" s="1194">
        <f t="shared" si="3"/>
        <v>1</v>
      </c>
      <c r="AB35" s="1194">
        <f t="shared" si="4"/>
        <v>1</v>
      </c>
      <c r="AC35" s="1194">
        <f t="shared" si="5"/>
        <v>1</v>
      </c>
    </row>
    <row r="36" spans="1:29" ht="15">
      <c r="A36" s="1062"/>
      <c r="B36" s="1008" t="s">
        <v>568</v>
      </c>
      <c r="C36" s="1395"/>
      <c r="D36" s="1020">
        <v>100</v>
      </c>
      <c r="E36" s="1395"/>
      <c r="F36" s="1388" t="e">
        <f>LOOKUP(E36,110:110,111:111)-LOOKUP(C36,110:110,111:111)+100</f>
        <v>#N/A</v>
      </c>
      <c r="G36" s="1395"/>
      <c r="H36" s="1388" t="e">
        <f>LOOKUP(G36,110:110,111:111)-LOOKUP(C36,110:110,111:111)+100</f>
        <v>#N/A</v>
      </c>
      <c r="I36" s="1395"/>
      <c r="J36" s="1020" t="e">
        <f>LOOKUP(I36,110:110,111:111)-LOOKUP(C36,110:110,111:111)+100</f>
        <v>#N/A</v>
      </c>
      <c r="K36" s="1153"/>
      <c r="L36" s="1147"/>
      <c r="M36" s="1135"/>
      <c r="N36" s="1135"/>
      <c r="O36" s="1135"/>
      <c r="P36" s="3464"/>
      <c r="Q36" s="746" t="str">
        <f t="shared" si="11"/>
        <v>成新度</v>
      </c>
      <c r="R36" s="1183" t="s">
        <v>1037</v>
      </c>
      <c r="S36" s="1184" t="e">
        <f t="shared" si="12"/>
        <v>#N/A</v>
      </c>
      <c r="T36" s="1183" t="s">
        <v>1037</v>
      </c>
      <c r="U36" s="1184" t="e">
        <f t="shared" si="13"/>
        <v>#N/A</v>
      </c>
      <c r="V36" s="1183" t="s">
        <v>1037</v>
      </c>
      <c r="W36" s="1184" t="e">
        <f t="shared" si="14"/>
        <v>#N/A</v>
      </c>
      <c r="X36" s="1177"/>
      <c r="Y36" s="3468"/>
      <c r="Z36" s="1167" t="str">
        <f t="shared" si="15"/>
        <v>成新度</v>
      </c>
      <c r="AA36" s="1194" t="e">
        <f t="shared" si="3"/>
        <v>#N/A</v>
      </c>
      <c r="AB36" s="1194" t="e">
        <f t="shared" si="4"/>
        <v>#N/A</v>
      </c>
      <c r="AC36" s="1194" t="e">
        <f t="shared" si="5"/>
        <v>#N/A</v>
      </c>
    </row>
    <row r="37" spans="1:29" s="970" customFormat="1" ht="15">
      <c r="A37" s="1064"/>
      <c r="B37" s="1008" t="s">
        <v>1077</v>
      </c>
      <c r="C37" s="1063"/>
      <c r="D37" s="1010">
        <v>100</v>
      </c>
      <c r="E37" s="1063"/>
      <c r="F37" s="1388">
        <f>SUMIF(112:112,E37,113:113)-SUMIF(112:112,C37,113:113)+100</f>
        <v>100</v>
      </c>
      <c r="G37" s="1063"/>
      <c r="H37" s="1020">
        <f>SUMIF(112:112,G37,113:113)-SUMIF(112:112,C37,113:113)+100</f>
        <v>100</v>
      </c>
      <c r="I37" s="1063"/>
      <c r="J37" s="1020">
        <f>SUMIF(112:112,I37,113:113)-SUMIF(112:112,C37,113:113)+100</f>
        <v>100</v>
      </c>
      <c r="K37" s="1153"/>
      <c r="L37" s="1137"/>
      <c r="M37" s="1138"/>
      <c r="N37" s="1138"/>
      <c r="O37" s="1138"/>
      <c r="P37" s="3464"/>
      <c r="Q37" s="1182" t="str">
        <f t="shared" si="11"/>
        <v>市政基础设施</v>
      </c>
      <c r="R37" s="1178" t="s">
        <v>1037</v>
      </c>
      <c r="S37" s="1179">
        <f t="shared" si="12"/>
        <v>100</v>
      </c>
      <c r="T37" s="1178" t="s">
        <v>1037</v>
      </c>
      <c r="U37" s="1179">
        <f t="shared" si="13"/>
        <v>100</v>
      </c>
      <c r="V37" s="1178" t="s">
        <v>1037</v>
      </c>
      <c r="W37" s="1179">
        <f t="shared" si="14"/>
        <v>100</v>
      </c>
      <c r="X37" s="1180"/>
      <c r="Y37" s="3468"/>
      <c r="Z37" s="1193" t="str">
        <f t="shared" si="15"/>
        <v>市政基础设施</v>
      </c>
      <c r="AA37" s="1192">
        <f t="shared" si="3"/>
        <v>1</v>
      </c>
      <c r="AB37" s="1192">
        <f t="shared" si="4"/>
        <v>1</v>
      </c>
      <c r="AC37" s="1192">
        <f t="shared" si="5"/>
        <v>1</v>
      </c>
    </row>
    <row r="38" spans="1:29" ht="15">
      <c r="A38" s="1062"/>
      <c r="B38" s="1008" t="s">
        <v>1478</v>
      </c>
      <c r="C38" s="1063"/>
      <c r="D38" s="1020">
        <v>100</v>
      </c>
      <c r="E38" s="1063"/>
      <c r="F38" s="1388">
        <f>SUMIF(114:114,E38,115:115)-SUMIF(114:114,C38,115:115)+100</f>
        <v>100</v>
      </c>
      <c r="G38" s="1063"/>
      <c r="H38" s="1020">
        <f>SUMIF(114:114,G38,115:115)-SUMIF(114:114,C38,115:115)+100</f>
        <v>100</v>
      </c>
      <c r="I38" s="1063"/>
      <c r="J38" s="1020">
        <f>SUMIF(114:114,I38,115:115)-SUMIF(114:114,C38,115:115)+100</f>
        <v>100</v>
      </c>
      <c r="K38" s="1153"/>
      <c r="L38" s="1147"/>
      <c r="M38" s="1135"/>
      <c r="N38" s="1135"/>
      <c r="O38" s="1135"/>
      <c r="P38" s="3464" t="s">
        <v>1068</v>
      </c>
      <c r="Q38" s="746" t="str">
        <f t="shared" si="11"/>
        <v>业态</v>
      </c>
      <c r="R38" s="1183" t="s">
        <v>1037</v>
      </c>
      <c r="S38" s="1184">
        <f t="shared" si="12"/>
        <v>100</v>
      </c>
      <c r="T38" s="1183" t="s">
        <v>1037</v>
      </c>
      <c r="U38" s="1184">
        <f t="shared" si="13"/>
        <v>100</v>
      </c>
      <c r="V38" s="1183" t="s">
        <v>1037</v>
      </c>
      <c r="W38" s="1184">
        <f t="shared" si="14"/>
        <v>100</v>
      </c>
      <c r="X38" s="1177"/>
      <c r="Y38" s="3468" t="s">
        <v>1068</v>
      </c>
      <c r="Z38" s="1167" t="str">
        <f t="shared" si="15"/>
        <v>业态</v>
      </c>
      <c r="AA38" s="1194">
        <f t="shared" si="3"/>
        <v>1</v>
      </c>
      <c r="AB38" s="1194">
        <f t="shared" si="4"/>
        <v>1</v>
      </c>
      <c r="AC38" s="1194">
        <f t="shared" si="5"/>
        <v>1</v>
      </c>
    </row>
    <row r="39" spans="1:29" ht="15">
      <c r="A39" s="1062"/>
      <c r="B39" s="1008" t="s">
        <v>1479</v>
      </c>
      <c r="C39" s="1063"/>
      <c r="D39" s="1020">
        <v>100</v>
      </c>
      <c r="E39" s="1063"/>
      <c r="F39" s="1388">
        <f>SUMIF(116:116,E39,117:117)-SUMIF(116:116,C39,117:117)+100</f>
        <v>100</v>
      </c>
      <c r="G39" s="1063"/>
      <c r="H39" s="1020">
        <f>SUMIF(116:116,G39,117:117)-SUMIF(116:116,C39,117:117)+100</f>
        <v>100</v>
      </c>
      <c r="I39" s="1063"/>
      <c r="J39" s="1020">
        <f>SUMIF(116:116,I39,117:117)-SUMIF(116:116,C39,117:117)+100</f>
        <v>100</v>
      </c>
      <c r="K39" s="1153"/>
      <c r="L39" s="1147"/>
      <c r="M39" s="1135"/>
      <c r="N39" s="1135"/>
      <c r="O39" s="1135"/>
      <c r="P39" s="3464"/>
      <c r="Q39" s="746" t="str">
        <f t="shared" si="11"/>
        <v>层高</v>
      </c>
      <c r="R39" s="1183" t="s">
        <v>1037</v>
      </c>
      <c r="S39" s="1184">
        <f t="shared" si="12"/>
        <v>100</v>
      </c>
      <c r="T39" s="1183" t="s">
        <v>1037</v>
      </c>
      <c r="U39" s="1184">
        <f t="shared" si="13"/>
        <v>100</v>
      </c>
      <c r="V39" s="1183" t="s">
        <v>1037</v>
      </c>
      <c r="W39" s="1184">
        <f t="shared" si="14"/>
        <v>100</v>
      </c>
      <c r="X39" s="1177"/>
      <c r="Y39" s="3468"/>
      <c r="Z39" s="1167" t="str">
        <f t="shared" si="15"/>
        <v>层高</v>
      </c>
      <c r="AA39" s="1194">
        <f t="shared" si="3"/>
        <v>1</v>
      </c>
      <c r="AB39" s="1194">
        <f t="shared" si="4"/>
        <v>1</v>
      </c>
      <c r="AC39" s="1194">
        <f t="shared" si="5"/>
        <v>1</v>
      </c>
    </row>
    <row r="40" spans="1:29" ht="15">
      <c r="A40" s="1062"/>
      <c r="B40" s="1008" t="s">
        <v>1480</v>
      </c>
      <c r="C40" s="1565"/>
      <c r="D40" s="1020">
        <v>100</v>
      </c>
      <c r="E40" s="1566"/>
      <c r="F40" s="1388">
        <f>SUMIF(118:118,E40,119:119)-SUMIF(118:118,C40,119:119)+100</f>
        <v>100</v>
      </c>
      <c r="G40" s="1566"/>
      <c r="H40" s="1020">
        <f>SUMIF(118:118,G40,119:119)-SUMIF(118:118,C40,119:119)+100</f>
        <v>100</v>
      </c>
      <c r="I40" s="1566"/>
      <c r="J40" s="1020">
        <f>SUMIF(118:118,I40,119:119)-SUMIF(118:118,C40,119:119)+100</f>
        <v>100</v>
      </c>
      <c r="K40" s="1152"/>
      <c r="L40" s="1147"/>
      <c r="M40" s="1135"/>
      <c r="N40" s="1135"/>
      <c r="O40" s="1135"/>
      <c r="P40" s="3464"/>
      <c r="Q40" s="746" t="str">
        <f t="shared" si="11"/>
        <v>单套建筑面积</v>
      </c>
      <c r="R40" s="1183" t="s">
        <v>1037</v>
      </c>
      <c r="S40" s="1184">
        <f t="shared" si="12"/>
        <v>100</v>
      </c>
      <c r="T40" s="1183" t="s">
        <v>1037</v>
      </c>
      <c r="U40" s="1184">
        <f t="shared" si="13"/>
        <v>100</v>
      </c>
      <c r="V40" s="1183" t="s">
        <v>1037</v>
      </c>
      <c r="W40" s="1184">
        <f t="shared" si="14"/>
        <v>100</v>
      </c>
      <c r="X40" s="1177"/>
      <c r="Y40" s="3468"/>
      <c r="Z40" s="1167" t="str">
        <f t="shared" si="15"/>
        <v>单套建筑面积</v>
      </c>
      <c r="AA40" s="1194">
        <f t="shared" si="3"/>
        <v>1</v>
      </c>
      <c r="AB40" s="1194">
        <f t="shared" si="4"/>
        <v>1</v>
      </c>
      <c r="AC40" s="1194">
        <f t="shared" si="5"/>
        <v>1</v>
      </c>
    </row>
    <row r="41" spans="1:29" s="972" customFormat="1" ht="15">
      <c r="A41" s="1067"/>
      <c r="B41" s="1162" t="s">
        <v>1481</v>
      </c>
      <c r="C41" s="1045"/>
      <c r="D41" s="1020">
        <v>100</v>
      </c>
      <c r="E41" s="1045"/>
      <c r="F41" s="1388">
        <f>SUMIF(120:120,E41,121:121)-SUMIF(120:120,C41,121:121)+100</f>
        <v>100</v>
      </c>
      <c r="G41" s="1045"/>
      <c r="H41" s="1020">
        <f>SUMIF(120:120,G41,121:121)-SUMIF(120:120,C41,121:121)+100</f>
        <v>100</v>
      </c>
      <c r="I41" s="1045"/>
      <c r="J41" s="1020">
        <f>SUMIF(120:120,I41,121:121)-SUMIF(120:120,C41,121:121)+100</f>
        <v>100</v>
      </c>
      <c r="K41" s="1153"/>
      <c r="L41" s="1145"/>
      <c r="M41" s="1154"/>
      <c r="N41" s="1154"/>
      <c r="O41" s="1154"/>
      <c r="P41" s="3464"/>
      <c r="Q41" s="1427" t="str">
        <f t="shared" si="11"/>
        <v>进深比</v>
      </c>
      <c r="R41" s="1185" t="s">
        <v>1037</v>
      </c>
      <c r="S41" s="1186">
        <f t="shared" si="12"/>
        <v>100</v>
      </c>
      <c r="T41" s="1185" t="s">
        <v>1037</v>
      </c>
      <c r="U41" s="1186">
        <f t="shared" si="13"/>
        <v>100</v>
      </c>
      <c r="V41" s="1185" t="s">
        <v>1037</v>
      </c>
      <c r="W41" s="1186">
        <f t="shared" si="14"/>
        <v>100</v>
      </c>
      <c r="X41" s="1187"/>
      <c r="Y41" s="3468"/>
      <c r="Z41" s="1195" t="str">
        <f t="shared" si="15"/>
        <v>进深比</v>
      </c>
      <c r="AA41" s="1194">
        <f t="shared" si="3"/>
        <v>1</v>
      </c>
      <c r="AB41" s="1194">
        <f t="shared" si="4"/>
        <v>1</v>
      </c>
      <c r="AC41" s="1194">
        <f t="shared" si="5"/>
        <v>1</v>
      </c>
    </row>
    <row r="42" spans="1:29" ht="15">
      <c r="A42" s="1062"/>
      <c r="B42" s="1008" t="s">
        <v>1083</v>
      </c>
      <c r="C42" s="1063"/>
      <c r="D42" s="1020">
        <v>100</v>
      </c>
      <c r="E42" s="1063"/>
      <c r="F42" s="1388">
        <f>SUMIF(122:122,E42,123:123)-SUMIF(122:122,C42,123:123)+100</f>
        <v>100</v>
      </c>
      <c r="G42" s="1063"/>
      <c r="H42" s="1020">
        <f>SUMIF(122:122,G42,123:123)-SUMIF(122:122,C42,123:123)+100</f>
        <v>100</v>
      </c>
      <c r="I42" s="1063"/>
      <c r="J42" s="1020">
        <f>SUMIF(122:122,I42,123:123)-SUMIF(122:122,C42,123:123)+100</f>
        <v>100</v>
      </c>
      <c r="K42" s="1153"/>
      <c r="L42" s="1147"/>
      <c r="M42" s="1135"/>
      <c r="N42" s="1135"/>
      <c r="O42" s="1135"/>
      <c r="P42" s="3464"/>
      <c r="Q42" s="746" t="str">
        <f t="shared" si="11"/>
        <v>内部装修</v>
      </c>
      <c r="R42" s="1183" t="s">
        <v>1037</v>
      </c>
      <c r="S42" s="1184">
        <f t="shared" si="12"/>
        <v>100</v>
      </c>
      <c r="T42" s="1183" t="s">
        <v>1037</v>
      </c>
      <c r="U42" s="1184">
        <f t="shared" si="13"/>
        <v>100</v>
      </c>
      <c r="V42" s="1183" t="s">
        <v>1037</v>
      </c>
      <c r="W42" s="1184">
        <f t="shared" si="14"/>
        <v>100</v>
      </c>
      <c r="X42" s="1177"/>
      <c r="Y42" s="3468"/>
      <c r="Z42" s="1167" t="str">
        <f t="shared" si="15"/>
        <v>内部装修</v>
      </c>
      <c r="AA42" s="1194">
        <f t="shared" si="3"/>
        <v>1</v>
      </c>
      <c r="AB42" s="1194">
        <f t="shared" si="4"/>
        <v>1</v>
      </c>
      <c r="AC42" s="1194">
        <f t="shared" si="5"/>
        <v>1</v>
      </c>
    </row>
    <row r="43" spans="1:29" ht="15">
      <c r="A43" s="1062"/>
      <c r="B43" s="1008" t="s">
        <v>1086</v>
      </c>
      <c r="C43" s="1063"/>
      <c r="D43" s="1020">
        <v>100</v>
      </c>
      <c r="E43" s="1063"/>
      <c r="F43" s="1388">
        <f>SUMIF(124:124,E43,125:125)-SUMIF(124:124,C43,125:125)+100</f>
        <v>100</v>
      </c>
      <c r="G43" s="1063"/>
      <c r="H43" s="1020">
        <f>SUMIF(124:124,G43,125:125)-SUMIF(124:124,C43,125:125)+100</f>
        <v>100</v>
      </c>
      <c r="I43" s="1063"/>
      <c r="J43" s="1020">
        <f>SUMIF(124:124,I43,125:125)-SUMIF(124:124,C43,125:125)+100</f>
        <v>100</v>
      </c>
      <c r="K43" s="1153"/>
      <c r="L43" s="1147"/>
      <c r="M43" s="1135"/>
      <c r="N43" s="1135"/>
      <c r="O43" s="1135"/>
      <c r="P43" s="3464"/>
      <c r="Q43" s="746" t="str">
        <f t="shared" si="11"/>
        <v>内部装修维护情况</v>
      </c>
      <c r="R43" s="1183" t="s">
        <v>1037</v>
      </c>
      <c r="S43" s="1184">
        <f t="shared" si="12"/>
        <v>100</v>
      </c>
      <c r="T43" s="1183" t="s">
        <v>1037</v>
      </c>
      <c r="U43" s="1184">
        <f t="shared" si="13"/>
        <v>100</v>
      </c>
      <c r="V43" s="1183" t="s">
        <v>1037</v>
      </c>
      <c r="W43" s="1184">
        <f t="shared" si="14"/>
        <v>100</v>
      </c>
      <c r="X43" s="1177"/>
      <c r="Y43" s="3468"/>
      <c r="Z43" s="1167" t="str">
        <f t="shared" si="15"/>
        <v>内部装修维护情况</v>
      </c>
      <c r="AA43" s="1194">
        <f t="shared" si="3"/>
        <v>1</v>
      </c>
      <c r="AB43" s="1194">
        <f t="shared" si="4"/>
        <v>1</v>
      </c>
      <c r="AC43" s="1194">
        <f t="shared" si="5"/>
        <v>1</v>
      </c>
    </row>
    <row r="44" spans="1:29" s="970" customFormat="1" ht="15">
      <c r="A44" s="1064"/>
      <c r="B44" s="1327">
        <v>111</v>
      </c>
      <c r="C44" s="1382"/>
      <c r="D44" s="1010">
        <v>100</v>
      </c>
      <c r="E44" s="1019"/>
      <c r="F44" s="1381">
        <f>SUMIF(126:126,E44,127:127)-SUMIF(126:126,C44,127:127)+100</f>
        <v>100</v>
      </c>
      <c r="G44" s="1019"/>
      <c r="H44" s="1010">
        <f>SUMIF(126:126,G44,127:127)-SUMIF(126:126,C44,127:127)+100</f>
        <v>100</v>
      </c>
      <c r="I44" s="1019"/>
      <c r="J44" s="1010">
        <f>SUMIF(126:126,I44,127:127)-SUMIF(126:126,C44,127:127)+100</f>
        <v>100</v>
      </c>
      <c r="K44" s="1152"/>
      <c r="L44" s="1137"/>
      <c r="M44" s="1138"/>
      <c r="N44" s="1138"/>
      <c r="O44" s="1138"/>
      <c r="P44" s="3464"/>
      <c r="Q44" s="1182">
        <f t="shared" si="11"/>
        <v>111</v>
      </c>
      <c r="R44" s="1178" t="s">
        <v>1037</v>
      </c>
      <c r="S44" s="1179">
        <f t="shared" si="12"/>
        <v>100</v>
      </c>
      <c r="T44" s="1178" t="s">
        <v>1037</v>
      </c>
      <c r="U44" s="1179">
        <f t="shared" si="13"/>
        <v>100</v>
      </c>
      <c r="V44" s="1178" t="s">
        <v>1037</v>
      </c>
      <c r="W44" s="1179">
        <f t="shared" si="14"/>
        <v>100</v>
      </c>
      <c r="X44" s="1180"/>
      <c r="Y44" s="3468"/>
      <c r="Z44" s="1193">
        <f t="shared" si="15"/>
        <v>111</v>
      </c>
      <c r="AA44" s="1192">
        <f t="shared" si="3"/>
        <v>1</v>
      </c>
      <c r="AB44" s="1192">
        <f t="shared" si="4"/>
        <v>1</v>
      </c>
      <c r="AC44" s="1192">
        <f t="shared" si="5"/>
        <v>1</v>
      </c>
    </row>
    <row r="45" spans="1:29" ht="15">
      <c r="A45" s="1062"/>
      <c r="B45" s="1327">
        <v>111</v>
      </c>
      <c r="C45" s="1019"/>
      <c r="D45" s="1020">
        <v>100</v>
      </c>
      <c r="E45" s="1019"/>
      <c r="F45" s="1388">
        <f>SUMIF(128:128,E45,129:129)-SUMIF(128:128,C45,129:129)+100</f>
        <v>100</v>
      </c>
      <c r="G45" s="1019"/>
      <c r="H45" s="1020">
        <f>SUMIF(128:128,G45,129:129)-SUMIF(128:128,C45,129:129)+100</f>
        <v>100</v>
      </c>
      <c r="I45" s="1019"/>
      <c r="J45" s="1020">
        <f>SUMIF(128:128,I45,129:129)-SUMIF(128:128,C45,129:129)+100</f>
        <v>100</v>
      </c>
      <c r="K45" s="1152"/>
      <c r="L45" s="1147"/>
      <c r="M45" s="1135"/>
      <c r="N45" s="1135"/>
      <c r="O45" s="1135"/>
      <c r="P45" s="3464"/>
      <c r="Q45" s="746">
        <f t="shared" si="11"/>
        <v>111</v>
      </c>
      <c r="R45" s="1183" t="s">
        <v>1037</v>
      </c>
      <c r="S45" s="1184">
        <f t="shared" si="12"/>
        <v>100</v>
      </c>
      <c r="T45" s="1183" t="s">
        <v>1037</v>
      </c>
      <c r="U45" s="1184">
        <f t="shared" si="13"/>
        <v>100</v>
      </c>
      <c r="V45" s="1183" t="s">
        <v>1037</v>
      </c>
      <c r="W45" s="1184">
        <f t="shared" si="14"/>
        <v>100</v>
      </c>
      <c r="X45" s="1177"/>
      <c r="Y45" s="3468"/>
      <c r="Z45" s="1167">
        <f t="shared" si="15"/>
        <v>111</v>
      </c>
      <c r="AA45" s="1194">
        <f t="shared" si="3"/>
        <v>1</v>
      </c>
      <c r="AB45" s="1194">
        <f t="shared" si="4"/>
        <v>1</v>
      </c>
      <c r="AC45" s="1194">
        <f t="shared" si="5"/>
        <v>1</v>
      </c>
    </row>
    <row r="46" spans="1:29" ht="15">
      <c r="A46" s="1400"/>
      <c r="B46" s="1022">
        <v>111</v>
      </c>
      <c r="C46" s="1023"/>
      <c r="D46" s="1024">
        <v>100</v>
      </c>
      <c r="E46" s="1019"/>
      <c r="F46" s="1401">
        <f>SUMIF(130:130,E46,131:131)-SUMIF(130:130,C46,131:131)+100</f>
        <v>100</v>
      </c>
      <c r="G46" s="1019"/>
      <c r="H46" s="1024">
        <f>SUMIF(130:130,G46,131:131)-SUMIF(130:130,C46,131:131)+100</f>
        <v>100</v>
      </c>
      <c r="I46" s="1019"/>
      <c r="J46" s="1024">
        <f>SUMIF(130:130,I46,131:131)-SUMIF(130:130,C46,131:131)+100</f>
        <v>100</v>
      </c>
      <c r="K46" s="1152"/>
      <c r="L46" s="1147"/>
      <c r="M46" s="1135"/>
      <c r="N46" s="1135"/>
      <c r="O46" s="1135"/>
      <c r="P46" s="3465"/>
      <c r="Q46" s="746">
        <f t="shared" si="11"/>
        <v>111</v>
      </c>
      <c r="R46" s="1183" t="s">
        <v>1037</v>
      </c>
      <c r="S46" s="1184">
        <f t="shared" si="12"/>
        <v>100</v>
      </c>
      <c r="T46" s="1183" t="s">
        <v>1037</v>
      </c>
      <c r="U46" s="1184">
        <f t="shared" si="13"/>
        <v>100</v>
      </c>
      <c r="V46" s="1183" t="s">
        <v>1037</v>
      </c>
      <c r="W46" s="1184">
        <f t="shared" si="14"/>
        <v>100</v>
      </c>
      <c r="X46" s="1177"/>
      <c r="Y46" s="3469"/>
      <c r="Z46" s="1167">
        <f t="shared" si="15"/>
        <v>111</v>
      </c>
      <c r="AA46" s="1194">
        <f t="shared" si="3"/>
        <v>1</v>
      </c>
      <c r="AB46" s="1194">
        <f t="shared" si="4"/>
        <v>1</v>
      </c>
      <c r="AC46" s="1194">
        <f t="shared" si="5"/>
        <v>1</v>
      </c>
    </row>
    <row r="47" spans="1:29" ht="15">
      <c r="A47" s="1069" t="s">
        <v>1087</v>
      </c>
      <c r="B47" s="1402"/>
      <c r="C47" s="1403" t="s">
        <v>124</v>
      </c>
      <c r="D47" s="1404"/>
      <c r="E47" s="1405"/>
      <c r="F47" s="1406"/>
      <c r="G47" s="1407"/>
      <c r="H47" s="1408"/>
      <c r="I47" s="1405"/>
      <c r="J47" s="1408"/>
      <c r="K47" s="1158"/>
      <c r="L47" s="1159"/>
      <c r="M47" s="1086"/>
      <c r="N47" s="1135"/>
      <c r="O47" s="1086"/>
      <c r="P47" s="3458" t="str">
        <f>A47</f>
        <v>成交单价（元/平方米）</v>
      </c>
      <c r="Q47" s="3458"/>
      <c r="R47" s="3459">
        <f>E47</f>
        <v>0</v>
      </c>
      <c r="S47" s="3459"/>
      <c r="T47" s="3459">
        <f>G47</f>
        <v>0</v>
      </c>
      <c r="U47" s="3459"/>
      <c r="V47" s="3459">
        <f>I47</f>
        <v>0</v>
      </c>
      <c r="W47" s="3459"/>
      <c r="X47" s="1123"/>
      <c r="Y47" s="1196"/>
      <c r="Z47" s="1123"/>
      <c r="AA47" s="1123"/>
      <c r="AB47" s="1123"/>
      <c r="AC47" s="1123"/>
    </row>
    <row r="48" spans="1:29" ht="15">
      <c r="A48" s="1077" t="s">
        <v>1088</v>
      </c>
      <c r="B48" s="1409"/>
      <c r="C48" s="1410" t="e">
        <f>R49</f>
        <v>#DIV/0!</v>
      </c>
      <c r="D48" s="1080" t="s">
        <v>1089</v>
      </c>
      <c r="E48" s="1411" t="e">
        <f>R48</f>
        <v>#DIV/0!</v>
      </c>
      <c r="F48" s="1081"/>
      <c r="G48" s="1410" t="e">
        <f>T48</f>
        <v>#DIV/0!</v>
      </c>
      <c r="H48" s="1081"/>
      <c r="I48" s="1411" t="e">
        <f>V48</f>
        <v>#DIV/0!</v>
      </c>
      <c r="J48" s="1081"/>
      <c r="K48" s="1160">
        <f>F48+H48+J48</f>
        <v>0</v>
      </c>
      <c r="L48" s="1159"/>
      <c r="M48" s="1086"/>
      <c r="N48" s="1135"/>
      <c r="O48" s="1086"/>
      <c r="P48" s="3458" t="str">
        <f>A48</f>
        <v>比较价值（元/平方米）</v>
      </c>
      <c r="Q48" s="3458"/>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123"/>
      <c r="Y48" s="1123"/>
      <c r="Z48" s="1123"/>
      <c r="AA48" s="1123"/>
      <c r="AB48" s="1123"/>
      <c r="AC48" s="1123"/>
    </row>
    <row r="49" spans="1:29" ht="15">
      <c r="A49" s="1083" t="s">
        <v>1090</v>
      </c>
      <c r="B49" s="1084"/>
      <c r="C49" s="1412" t="e">
        <f>R49</f>
        <v>#DIV/0!</v>
      </c>
      <c r="D49" s="1412"/>
      <c r="E49" s="1412"/>
      <c r="F49" s="1412"/>
      <c r="G49" s="1412"/>
      <c r="H49" s="1412"/>
      <c r="I49" s="1412"/>
      <c r="J49" s="1412"/>
      <c r="K49" s="1161"/>
      <c r="L49" s="1159"/>
      <c r="M49" s="1086"/>
      <c r="N49" s="1135"/>
      <c r="O49" s="1086"/>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123"/>
      <c r="Y49" s="1123"/>
      <c r="Z49" s="1123"/>
      <c r="AA49" s="1123"/>
      <c r="AB49" s="1123"/>
      <c r="AC49" s="1123"/>
    </row>
    <row r="50" spans="1:29">
      <c r="A50" s="1086"/>
      <c r="B50" s="1086"/>
      <c r="C50" s="1086"/>
      <c r="D50" s="1086"/>
      <c r="E50" s="1086"/>
      <c r="F50" s="1086"/>
      <c r="G50" s="1087"/>
      <c r="H50" s="1086"/>
      <c r="I50" s="1086"/>
      <c r="J50" s="1086"/>
      <c r="K50" s="1163"/>
      <c r="L50" s="1164"/>
      <c r="M50" s="1086"/>
      <c r="N50" s="1086"/>
      <c r="O50" s="1086"/>
      <c r="P50" s="1569"/>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163"/>
      <c r="L51" s="1164"/>
      <c r="M51" s="1086"/>
      <c r="N51" s="1086"/>
      <c r="O51" s="1086"/>
      <c r="P51" s="1569"/>
      <c r="Q51" s="1086"/>
      <c r="R51" s="1086"/>
      <c r="S51" s="1086"/>
      <c r="T51" s="1086"/>
      <c r="U51" s="1086"/>
      <c r="V51" s="1086"/>
      <c r="W51" s="1086"/>
      <c r="X51" s="1086"/>
      <c r="Y51" s="1086"/>
      <c r="Z51" s="1086"/>
      <c r="AA51" s="1086"/>
      <c r="AB51" s="1086"/>
      <c r="AC51" s="1086"/>
    </row>
    <row r="52" spans="1:29" ht="13.5" customHeight="1">
      <c r="A52" s="1086"/>
      <c r="B52" s="1086"/>
      <c r="C52" s="1088" t="s">
        <v>1091</v>
      </c>
      <c r="D52" s="788"/>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163"/>
      <c r="L52" s="1164"/>
      <c r="M52" s="1086"/>
      <c r="N52" s="1086"/>
      <c r="O52" s="1086"/>
      <c r="P52" s="1569"/>
      <c r="Q52" s="1086"/>
      <c r="R52" s="1086"/>
      <c r="S52" s="1086"/>
      <c r="T52" s="1086"/>
      <c r="U52" s="1086"/>
      <c r="V52" s="1086"/>
      <c r="W52" s="1086"/>
      <c r="X52" s="1086"/>
      <c r="Y52" s="1086"/>
      <c r="Z52" s="1086"/>
      <c r="AA52" s="1086"/>
      <c r="AB52" s="1086"/>
      <c r="AC52" s="1086"/>
    </row>
    <row r="53" spans="1:29" ht="13.5" customHeight="1">
      <c r="A53" s="1086"/>
      <c r="B53" s="1086"/>
      <c r="C53" s="1088" t="s">
        <v>1092</v>
      </c>
      <c r="D53" s="787"/>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163"/>
      <c r="L53" s="1164"/>
      <c r="M53" s="1086"/>
      <c r="N53" s="1086"/>
      <c r="O53" s="1086"/>
      <c r="P53" s="1569"/>
      <c r="Q53" s="1086"/>
      <c r="R53" s="1086"/>
      <c r="S53" s="1086"/>
      <c r="T53" s="1086"/>
      <c r="U53" s="1086"/>
      <c r="V53" s="1086"/>
      <c r="W53" s="1086"/>
      <c r="X53" s="1086"/>
      <c r="Y53" s="1086"/>
      <c r="Z53" s="1086"/>
      <c r="AA53" s="1086"/>
      <c r="AB53" s="1086"/>
      <c r="AC53" s="1086"/>
    </row>
    <row r="54" spans="1:29" s="973" customFormat="1" ht="13.5" customHeight="1">
      <c r="A54" s="1091"/>
      <c r="B54" s="1091"/>
      <c r="C54" s="1088" t="s">
        <v>1093</v>
      </c>
      <c r="D54" s="787"/>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165"/>
      <c r="L54" s="1166"/>
      <c r="M54" s="1091"/>
      <c r="N54" s="1091"/>
      <c r="O54" s="1091"/>
      <c r="P54" s="1570"/>
      <c r="Q54" s="1091"/>
      <c r="R54" s="1091"/>
      <c r="S54" s="1091"/>
      <c r="T54" s="1091"/>
      <c r="U54" s="1091"/>
      <c r="V54" s="1091"/>
      <c r="W54" s="1091"/>
      <c r="X54" s="1091"/>
      <c r="Y54" s="1091"/>
      <c r="Z54" s="1091"/>
      <c r="AA54" s="1091"/>
      <c r="AB54" s="1091"/>
      <c r="AC54" s="1091"/>
    </row>
    <row r="55" spans="1:29" s="973" customFormat="1">
      <c r="A55" s="1091"/>
      <c r="B55" s="1092"/>
      <c r="C55" s="1413"/>
      <c r="D55" s="1091"/>
      <c r="E55" s="1091"/>
      <c r="F55" s="1091"/>
      <c r="G55" s="1091"/>
      <c r="H55" s="1091"/>
      <c r="I55" s="1091"/>
      <c r="J55" s="1091"/>
      <c r="K55" s="1165"/>
      <c r="L55" s="1166"/>
      <c r="M55" s="1091"/>
      <c r="N55" s="1091"/>
      <c r="O55" s="1091"/>
      <c r="P55" s="1570"/>
      <c r="Q55" s="1091"/>
      <c r="R55" s="1091"/>
      <c r="S55" s="1091"/>
      <c r="T55" s="1091"/>
      <c r="U55" s="1091"/>
      <c r="V55" s="1091"/>
      <c r="W55" s="1091"/>
      <c r="X55" s="1091"/>
      <c r="Y55" s="1091"/>
      <c r="Z55" s="1091"/>
      <c r="AA55" s="1091"/>
      <c r="AB55" s="1091"/>
      <c r="AC55" s="1091"/>
    </row>
    <row r="56" spans="1:29">
      <c r="A56" s="1086"/>
      <c r="B56" s="1092"/>
      <c r="C56" s="1413"/>
      <c r="D56" s="1086"/>
      <c r="E56" s="1086"/>
      <c r="F56" s="1086"/>
      <c r="G56" s="1086"/>
      <c r="H56" s="1086"/>
      <c r="I56" s="1086"/>
      <c r="J56" s="1086"/>
      <c r="K56" s="1163"/>
      <c r="L56" s="1164"/>
      <c r="M56" s="1086"/>
      <c r="N56" s="1086"/>
      <c r="O56" s="1086"/>
      <c r="P56" s="1569"/>
      <c r="Q56" s="1086"/>
      <c r="R56" s="1086"/>
      <c r="S56" s="1086"/>
      <c r="T56" s="1086"/>
      <c r="U56" s="1086"/>
      <c r="V56" s="1086"/>
      <c r="W56" s="1086"/>
      <c r="X56" s="1086"/>
      <c r="Y56" s="1086"/>
      <c r="Z56" s="1086"/>
      <c r="AA56" s="1086"/>
      <c r="AB56" s="1086"/>
      <c r="AC56" s="1086"/>
    </row>
    <row r="57" spans="1:29" ht="21">
      <c r="A57" s="1122" t="s">
        <v>1094</v>
      </c>
      <c r="B57" s="1123"/>
      <c r="C57" s="1124"/>
      <c r="D57" s="1124"/>
      <c r="E57" s="1124"/>
      <c r="F57" s="1125"/>
      <c r="G57" s="1125"/>
      <c r="H57" s="1124"/>
      <c r="I57" s="1124"/>
      <c r="J57" s="1124"/>
      <c r="K57" s="1173"/>
      <c r="L57" s="1359"/>
      <c r="M57" s="1175"/>
      <c r="N57" s="1175"/>
      <c r="O57" s="1175"/>
      <c r="P57" s="1571"/>
      <c r="Q57" s="1188"/>
      <c r="R57" s="1086"/>
      <c r="S57" s="1086"/>
      <c r="T57" s="1086"/>
      <c r="U57" s="1086"/>
      <c r="V57" s="1086"/>
      <c r="W57" s="1086"/>
      <c r="X57" s="1086"/>
      <c r="Y57" s="1086"/>
      <c r="Z57" s="1086"/>
      <c r="AA57" s="1086"/>
      <c r="AB57" s="1086"/>
      <c r="AC57" s="1086"/>
    </row>
    <row r="58" spans="1:29" s="975" customFormat="1" ht="15">
      <c r="A58" s="1414" t="s">
        <v>1035</v>
      </c>
      <c r="B58" s="1415"/>
      <c r="C58" s="1416" t="str">
        <f>YEAR(C7)&amp;"-"&amp;MONTH(C7)</f>
        <v>2021-5</v>
      </c>
      <c r="D58" s="1417">
        <f>EDATE(C58,-1)</f>
        <v>44287</v>
      </c>
      <c r="E58" s="1417">
        <f t="shared" ref="E58:O58" si="16">EDATE(D58,-1)</f>
        <v>44256</v>
      </c>
      <c r="F58" s="1417">
        <f t="shared" si="16"/>
        <v>44228</v>
      </c>
      <c r="G58" s="1417">
        <f t="shared" si="16"/>
        <v>44197</v>
      </c>
      <c r="H58" s="1417">
        <f t="shared" si="16"/>
        <v>44166</v>
      </c>
      <c r="I58" s="1417">
        <f t="shared" si="16"/>
        <v>44136</v>
      </c>
      <c r="J58" s="1417">
        <f t="shared" si="16"/>
        <v>44105</v>
      </c>
      <c r="K58" s="1417">
        <f t="shared" si="16"/>
        <v>44075</v>
      </c>
      <c r="L58" s="1417">
        <f t="shared" si="16"/>
        <v>44044</v>
      </c>
      <c r="M58" s="1417">
        <f t="shared" si="16"/>
        <v>44013</v>
      </c>
      <c r="N58" s="1417">
        <f t="shared" si="16"/>
        <v>43983</v>
      </c>
      <c r="O58" s="1417">
        <f t="shared" si="16"/>
        <v>43952</v>
      </c>
      <c r="P58" s="1572"/>
      <c r="Q58" s="1307"/>
      <c r="R58" s="1307"/>
      <c r="S58" s="1307"/>
      <c r="T58" s="1307"/>
      <c r="U58" s="1307"/>
      <c r="V58" s="1307"/>
      <c r="W58" s="1307"/>
      <c r="X58" s="1307"/>
      <c r="Y58" s="1307"/>
      <c r="Z58" s="1307"/>
      <c r="AA58" s="1307"/>
      <c r="AB58" s="1307"/>
      <c r="AC58" s="1307"/>
    </row>
    <row r="59" spans="1:29" s="970" customFormat="1" ht="15">
      <c r="A59" s="1418"/>
      <c r="B59" s="1208"/>
      <c r="C59" s="1419">
        <v>100</v>
      </c>
      <c r="D59" s="1212"/>
      <c r="E59" s="1212"/>
      <c r="F59" s="1212"/>
      <c r="G59" s="1212"/>
      <c r="H59" s="1212"/>
      <c r="I59" s="1212"/>
      <c r="J59" s="1212"/>
      <c r="K59" s="1212"/>
      <c r="L59" s="1212"/>
      <c r="M59" s="1426"/>
      <c r="N59" s="1212"/>
      <c r="O59" s="1426"/>
      <c r="P59" s="1573"/>
      <c r="Q59" s="1308"/>
      <c r="R59" s="1308"/>
      <c r="S59" s="1308"/>
      <c r="T59" s="1308"/>
      <c r="U59" s="1308"/>
      <c r="V59" s="1308"/>
      <c r="W59" s="1308"/>
      <c r="X59" s="1308"/>
      <c r="Y59" s="1308"/>
      <c r="Z59" s="1308"/>
      <c r="AA59" s="1308"/>
      <c r="AB59" s="1308"/>
      <c r="AC59" s="1308"/>
    </row>
    <row r="60" spans="1:29" s="970" customFormat="1" ht="15">
      <c r="A60" s="1203" t="s">
        <v>1095</v>
      </c>
      <c r="B60" s="1204"/>
      <c r="C60" s="1205"/>
      <c r="D60" s="1206"/>
      <c r="E60" s="1206"/>
      <c r="F60" s="1206"/>
      <c r="G60" s="1206"/>
      <c r="H60" s="1206"/>
      <c r="I60" s="1206"/>
      <c r="J60" s="1206"/>
      <c r="K60" s="1206"/>
      <c r="L60" s="1206"/>
      <c r="M60" s="1254"/>
      <c r="N60" s="1206"/>
      <c r="O60" s="1254"/>
      <c r="P60" s="1573"/>
      <c r="Q60" s="1188"/>
      <c r="R60" s="1308"/>
      <c r="S60" s="1308"/>
      <c r="T60" s="1308"/>
      <c r="U60" s="1308"/>
      <c r="V60" s="1308"/>
      <c r="W60" s="1308"/>
      <c r="X60" s="1308"/>
      <c r="Y60" s="1308"/>
      <c r="Z60" s="1308"/>
      <c r="AA60" s="1308"/>
      <c r="AB60" s="1308"/>
      <c r="AC60" s="1308"/>
    </row>
    <row r="61" spans="1:29" s="970" customFormat="1" ht="15">
      <c r="A61" s="1207" t="s">
        <v>1038</v>
      </c>
      <c r="B61" s="1208"/>
      <c r="C61" s="1209" t="s">
        <v>1039</v>
      </c>
      <c r="D61" s="1210"/>
      <c r="E61" s="1210"/>
      <c r="F61" s="1210"/>
      <c r="G61" s="1210"/>
      <c r="H61" s="1210"/>
      <c r="I61" s="1210"/>
      <c r="J61" s="1210"/>
      <c r="K61" s="1210"/>
      <c r="L61" s="1256"/>
      <c r="M61" s="1257"/>
      <c r="N61" s="1258"/>
      <c r="O61" s="1258"/>
      <c r="P61" s="1574"/>
      <c r="Q61" s="1188"/>
      <c r="R61" s="1308"/>
      <c r="S61" s="1308"/>
      <c r="T61" s="1308"/>
      <c r="U61" s="1308"/>
      <c r="V61" s="1308"/>
      <c r="W61" s="1308"/>
      <c r="X61" s="1308"/>
      <c r="Y61" s="1308"/>
      <c r="Z61" s="1308"/>
      <c r="AA61" s="1308"/>
      <c r="AB61" s="1308"/>
      <c r="AC61" s="1308"/>
    </row>
    <row r="62" spans="1:29" s="970" customFormat="1" ht="15">
      <c r="A62" s="1207"/>
      <c r="B62" s="1208"/>
      <c r="C62" s="1550">
        <v>100</v>
      </c>
      <c r="D62" s="1212"/>
      <c r="E62" s="1212"/>
      <c r="F62" s="1212"/>
      <c r="G62" s="1212"/>
      <c r="H62" s="1212"/>
      <c r="I62" s="1212"/>
      <c r="J62" s="1212"/>
      <c r="K62" s="1212"/>
      <c r="L62" s="1212"/>
      <c r="M62" s="1260"/>
      <c r="N62" s="1258"/>
      <c r="O62" s="1258"/>
      <c r="P62" s="1573"/>
      <c r="Q62" s="1188"/>
      <c r="R62" s="1308"/>
      <c r="S62" s="1308"/>
      <c r="T62" s="1308"/>
      <c r="U62" s="1308"/>
      <c r="V62" s="1308"/>
      <c r="W62" s="1308"/>
      <c r="X62" s="1308"/>
      <c r="Y62" s="1308"/>
      <c r="Z62" s="1308"/>
      <c r="AA62" s="1308"/>
      <c r="AB62" s="1308"/>
      <c r="AC62" s="1308"/>
    </row>
    <row r="63" spans="1:29">
      <c r="A63" s="1213" t="s">
        <v>1096</v>
      </c>
      <c r="B63" s="1214" t="s">
        <v>1043</v>
      </c>
      <c r="C63" s="1236">
        <f>C9</f>
        <v>0</v>
      </c>
      <c r="D63" s="1156"/>
      <c r="E63" s="1156"/>
      <c r="F63" s="1156"/>
      <c r="G63" s="1156"/>
      <c r="H63" s="1156"/>
      <c r="I63" s="1156"/>
      <c r="J63" s="1156"/>
      <c r="K63" s="1261"/>
      <c r="L63" s="1262"/>
      <c r="M63" s="1263"/>
      <c r="N63" s="1264"/>
      <c r="O63" s="1264"/>
      <c r="P63" s="1575"/>
      <c r="Q63" s="1188"/>
      <c r="R63" s="1086"/>
      <c r="S63" s="1086"/>
      <c r="T63" s="1086"/>
      <c r="U63" s="1086"/>
      <c r="V63" s="1086"/>
      <c r="W63" s="1086"/>
      <c r="X63" s="1086"/>
      <c r="Y63" s="1086"/>
      <c r="Z63" s="1086"/>
      <c r="AA63" s="1086"/>
      <c r="AB63" s="1086"/>
      <c r="AC63" s="1086"/>
    </row>
    <row r="64" spans="1:29" ht="15">
      <c r="A64" s="1215"/>
      <c r="B64" s="1216"/>
      <c r="C64" s="1217">
        <v>100</v>
      </c>
      <c r="D64" s="1217"/>
      <c r="E64" s="1217"/>
      <c r="F64" s="1217"/>
      <c r="G64" s="1217"/>
      <c r="H64" s="1217"/>
      <c r="I64" s="1217"/>
      <c r="J64" s="1217"/>
      <c r="K64" s="1217"/>
      <c r="L64" s="1217"/>
      <c r="M64" s="1266"/>
      <c r="N64" s="1267"/>
      <c r="O64" s="1267"/>
      <c r="P64" s="1575"/>
      <c r="Q64" s="1188"/>
      <c r="R64" s="1086"/>
      <c r="S64" s="1086"/>
      <c r="T64" s="1086"/>
      <c r="U64" s="1086"/>
      <c r="V64" s="1086"/>
      <c r="W64" s="1086"/>
      <c r="X64" s="1086"/>
      <c r="Y64" s="1086"/>
      <c r="Z64" s="1086"/>
      <c r="AA64" s="1086"/>
      <c r="AB64" s="1086"/>
      <c r="AC64" s="1086"/>
    </row>
    <row r="65" spans="1:29" ht="27">
      <c r="A65" s="1215"/>
      <c r="B65" s="1218" t="s">
        <v>1047</v>
      </c>
      <c r="C65" s="1219" t="s">
        <v>1097</v>
      </c>
      <c r="D65" s="1219" t="s">
        <v>1098</v>
      </c>
      <c r="E65" s="1219" t="s">
        <v>1099</v>
      </c>
      <c r="F65" s="1219" t="s">
        <v>1100</v>
      </c>
      <c r="G65" s="1219" t="s">
        <v>1101</v>
      </c>
      <c r="H65" s="1219" t="s">
        <v>1102</v>
      </c>
      <c r="I65" s="1219" t="s">
        <v>1103</v>
      </c>
      <c r="J65" s="1219"/>
      <c r="K65" s="1268"/>
      <c r="L65" s="1269"/>
      <c r="M65" s="1270"/>
      <c r="N65" s="1264"/>
      <c r="O65" s="1264"/>
      <c r="P65" s="1575"/>
      <c r="Q65" s="1188"/>
      <c r="R65" s="1086"/>
      <c r="S65" s="1086"/>
      <c r="T65" s="1086"/>
      <c r="U65" s="1086"/>
      <c r="V65" s="1086"/>
      <c r="W65" s="1086"/>
      <c r="X65" s="1086"/>
      <c r="Y65" s="1086"/>
      <c r="Z65" s="1086"/>
      <c r="AA65" s="1086"/>
      <c r="AB65" s="1086"/>
      <c r="AC65" s="1086"/>
    </row>
    <row r="66" spans="1:29" ht="15">
      <c r="A66" s="1215"/>
      <c r="B66" s="1220"/>
      <c r="C66" s="1221" t="s">
        <v>1482</v>
      </c>
      <c r="D66" s="1221" t="s">
        <v>1482</v>
      </c>
      <c r="E66" s="1221" t="s">
        <v>1482</v>
      </c>
      <c r="F66" s="1221">
        <v>100</v>
      </c>
      <c r="G66" s="1221">
        <f>F66-$K10</f>
        <v>100</v>
      </c>
      <c r="H66" s="1221">
        <f>G66-$K10</f>
        <v>100</v>
      </c>
      <c r="I66" s="1221">
        <f>H66-$K10</f>
        <v>100</v>
      </c>
      <c r="J66" s="1221"/>
      <c r="K66" s="1221"/>
      <c r="L66" s="1221"/>
      <c r="M66" s="1271"/>
      <c r="N66" s="1267"/>
      <c r="O66" s="1267"/>
      <c r="P66" s="1575"/>
      <c r="Q66" s="1188"/>
      <c r="R66" s="1086"/>
      <c r="S66" s="1086"/>
      <c r="T66" s="1086"/>
      <c r="U66" s="1086"/>
      <c r="V66" s="1086"/>
      <c r="W66" s="1086"/>
      <c r="X66" s="1086"/>
      <c r="Y66" s="1086"/>
      <c r="Z66" s="1086"/>
      <c r="AA66" s="1086"/>
      <c r="AB66" s="1086"/>
      <c r="AC66" s="1086"/>
    </row>
    <row r="67" spans="1:29" ht="15">
      <c r="A67" s="1215"/>
      <c r="B67" s="1222" t="s">
        <v>1049</v>
      </c>
      <c r="C67" s="1223" t="str">
        <f>C68&amp;"（含）"&amp;"-"&amp;D68</f>
        <v>（含）-</v>
      </c>
      <c r="D67" s="1223" t="str">
        <f t="shared" ref="D67:L67" si="17">D68&amp;"（含）"&amp;"-"&amp;E68</f>
        <v>（含）-</v>
      </c>
      <c r="E67" s="1223" t="str">
        <f t="shared" si="17"/>
        <v>（含）-</v>
      </c>
      <c r="F67" s="1223" t="str">
        <f t="shared" si="17"/>
        <v>（含）-</v>
      </c>
      <c r="G67" s="1223" t="str">
        <f t="shared" si="17"/>
        <v>（含）-</v>
      </c>
      <c r="H67" s="1223" t="str">
        <f t="shared" si="17"/>
        <v>（含）-</v>
      </c>
      <c r="I67" s="1223" t="str">
        <f t="shared" si="17"/>
        <v>（含）-</v>
      </c>
      <c r="J67" s="1223" t="str">
        <f t="shared" si="17"/>
        <v>（含）-</v>
      </c>
      <c r="K67" s="1223" t="str">
        <f t="shared" si="17"/>
        <v>（含）-</v>
      </c>
      <c r="L67" s="1223" t="str">
        <f t="shared" si="17"/>
        <v>（含）-</v>
      </c>
      <c r="M67" s="1032" t="str">
        <f>M68&amp;"（含）"&amp;"-"&amp;P68</f>
        <v>（含）-</v>
      </c>
      <c r="N67" s="1267"/>
      <c r="O67" s="1267"/>
      <c r="P67" s="1575"/>
      <c r="Q67" s="1188"/>
      <c r="R67" s="1086"/>
      <c r="S67" s="1086"/>
      <c r="T67" s="1086"/>
      <c r="U67" s="1086"/>
      <c r="V67" s="1086"/>
      <c r="W67" s="1086"/>
      <c r="X67" s="1086"/>
      <c r="Y67" s="1086"/>
      <c r="Z67" s="1086"/>
      <c r="AA67" s="1086"/>
      <c r="AB67" s="1086"/>
      <c r="AC67" s="1086"/>
    </row>
    <row r="68" spans="1:29" ht="15">
      <c r="A68" s="1215"/>
      <c r="B68" s="1224"/>
      <c r="C68" s="1017"/>
      <c r="D68" s="1017"/>
      <c r="E68" s="1017"/>
      <c r="F68" s="1017"/>
      <c r="G68" s="1017"/>
      <c r="H68" s="1017"/>
      <c r="I68" s="1017"/>
      <c r="J68" s="1017"/>
      <c r="K68" s="1272"/>
      <c r="L68" s="1273"/>
      <c r="M68" s="1274"/>
      <c r="N68" s="1264"/>
      <c r="O68" s="1264"/>
      <c r="P68" s="1575"/>
      <c r="Q68" s="1188"/>
      <c r="R68" s="1086"/>
      <c r="S68" s="1086"/>
      <c r="T68" s="1086"/>
      <c r="U68" s="1086"/>
      <c r="V68" s="1086"/>
      <c r="W68" s="1086"/>
      <c r="X68" s="1086"/>
      <c r="Y68" s="1086"/>
      <c r="Z68" s="1086"/>
      <c r="AA68" s="1086"/>
      <c r="AB68" s="1086"/>
      <c r="AC68" s="1086"/>
    </row>
    <row r="69" spans="1:29" ht="15">
      <c r="A69" s="1215"/>
      <c r="B69" s="1216"/>
      <c r="C69" s="1221">
        <v>100</v>
      </c>
      <c r="D69" s="1221">
        <f t="shared" ref="D69:M69" si="18">C69-$K11</f>
        <v>100</v>
      </c>
      <c r="E69" s="1221">
        <f t="shared" si="18"/>
        <v>100</v>
      </c>
      <c r="F69" s="1221">
        <f t="shared" si="18"/>
        <v>100</v>
      </c>
      <c r="G69" s="1221">
        <f t="shared" si="18"/>
        <v>100</v>
      </c>
      <c r="H69" s="1221">
        <f t="shared" si="18"/>
        <v>100</v>
      </c>
      <c r="I69" s="1221">
        <f t="shared" si="18"/>
        <v>100</v>
      </c>
      <c r="J69" s="1221">
        <f t="shared" si="18"/>
        <v>100</v>
      </c>
      <c r="K69" s="1221">
        <f t="shared" si="18"/>
        <v>100</v>
      </c>
      <c r="L69" s="1221">
        <f t="shared" si="18"/>
        <v>100</v>
      </c>
      <c r="M69" s="1271">
        <f t="shared" si="18"/>
        <v>100</v>
      </c>
      <c r="N69" s="1267"/>
      <c r="O69" s="1267"/>
      <c r="P69" s="1575"/>
      <c r="Q69" s="1188"/>
      <c r="R69" s="1086"/>
      <c r="S69" s="1086"/>
      <c r="T69" s="1086"/>
      <c r="U69" s="1086"/>
      <c r="V69" s="1086"/>
      <c r="W69" s="1086"/>
      <c r="X69" s="1086"/>
      <c r="Y69" s="1086"/>
      <c r="Z69" s="1086"/>
      <c r="AA69" s="1086"/>
      <c r="AB69" s="1086"/>
      <c r="AC69" s="1086"/>
    </row>
    <row r="70" spans="1:29" s="972" customFormat="1" ht="15">
      <c r="A70" s="1225"/>
      <c r="B70" s="1218">
        <f>B12</f>
        <v>111</v>
      </c>
      <c r="C70" s="1226"/>
      <c r="D70" s="1226"/>
      <c r="E70" s="1226"/>
      <c r="F70" s="1226"/>
      <c r="G70" s="1226"/>
      <c r="H70" s="1227"/>
      <c r="I70" s="1227"/>
      <c r="J70" s="1227"/>
      <c r="K70" s="1227"/>
      <c r="L70" s="1275"/>
      <c r="M70" s="1276"/>
      <c r="N70" s="1277"/>
      <c r="O70" s="1277"/>
      <c r="P70" s="1580"/>
      <c r="Q70" s="1309"/>
      <c r="R70" s="1310"/>
      <c r="S70" s="1310"/>
      <c r="T70" s="1310"/>
      <c r="U70" s="1310"/>
      <c r="V70" s="1310"/>
      <c r="W70" s="1310"/>
      <c r="X70" s="1310"/>
      <c r="Y70" s="1310"/>
      <c r="Z70" s="1310"/>
      <c r="AA70" s="1310"/>
      <c r="AB70" s="1310"/>
      <c r="AC70" s="1310"/>
    </row>
    <row r="71" spans="1:29" s="972" customFormat="1" ht="15">
      <c r="A71" s="1225"/>
      <c r="B71" s="1220"/>
      <c r="C71" s="1228"/>
      <c r="D71" s="1217"/>
      <c r="E71" s="1217"/>
      <c r="F71" s="1217"/>
      <c r="G71" s="1217"/>
      <c r="H71" s="1217"/>
      <c r="I71" s="1217"/>
      <c r="J71" s="1217"/>
      <c r="K71" s="1217"/>
      <c r="L71" s="1217"/>
      <c r="M71" s="1266"/>
      <c r="N71" s="1267"/>
      <c r="O71" s="1267"/>
      <c r="P71" s="1580"/>
      <c r="Q71" s="1309"/>
      <c r="R71" s="1310"/>
      <c r="S71" s="1310"/>
      <c r="T71" s="1310"/>
      <c r="U71" s="1310"/>
      <c r="V71" s="1310"/>
      <c r="W71" s="1310"/>
      <c r="X71" s="1310"/>
      <c r="Y71" s="1310"/>
      <c r="Z71" s="1310"/>
      <c r="AA71" s="1310"/>
      <c r="AB71" s="1310"/>
      <c r="AC71" s="1310"/>
    </row>
    <row r="72" spans="1:29" s="972" customFormat="1" ht="15">
      <c r="A72" s="1225"/>
      <c r="B72" s="1218">
        <f>B13</f>
        <v>111</v>
      </c>
      <c r="C72" s="1226"/>
      <c r="D72" s="1226"/>
      <c r="E72" s="1226"/>
      <c r="F72" s="1226"/>
      <c r="G72" s="1226"/>
      <c r="H72" s="1227"/>
      <c r="I72" s="1227"/>
      <c r="J72" s="1227"/>
      <c r="K72" s="1227"/>
      <c r="L72" s="1275"/>
      <c r="M72" s="1276"/>
      <c r="N72" s="1277"/>
      <c r="O72" s="1277"/>
      <c r="P72" s="1581"/>
      <c r="Q72" s="1311"/>
      <c r="R72" s="1310"/>
      <c r="S72" s="1310"/>
      <c r="T72" s="1310"/>
      <c r="U72" s="1310"/>
      <c r="V72" s="1310"/>
      <c r="W72" s="1310"/>
      <c r="X72" s="1310"/>
      <c r="Y72" s="1310"/>
      <c r="Z72" s="1310"/>
      <c r="AA72" s="1310"/>
      <c r="AB72" s="1310"/>
      <c r="AC72" s="1310"/>
    </row>
    <row r="73" spans="1:29" s="972" customFormat="1" ht="15">
      <c r="A73" s="1225"/>
      <c r="B73" s="1220"/>
      <c r="C73" s="1228"/>
      <c r="D73" s="1217"/>
      <c r="E73" s="1217"/>
      <c r="F73" s="1217"/>
      <c r="G73" s="1228"/>
      <c r="H73" s="1229"/>
      <c r="I73" s="1229"/>
      <c r="J73" s="1229"/>
      <c r="K73" s="1229"/>
      <c r="L73" s="1229"/>
      <c r="M73" s="1279"/>
      <c r="N73" s="1277"/>
      <c r="O73" s="1277"/>
      <c r="P73" s="1580"/>
      <c r="Q73" s="1309"/>
      <c r="R73" s="1310"/>
      <c r="S73" s="1310"/>
      <c r="T73" s="1310"/>
      <c r="U73" s="1310"/>
      <c r="V73" s="1310"/>
      <c r="W73" s="1310"/>
      <c r="X73" s="1310"/>
      <c r="Y73" s="1310"/>
      <c r="Z73" s="1310"/>
      <c r="AA73" s="1310"/>
      <c r="AB73" s="1310"/>
      <c r="AC73" s="1310"/>
    </row>
    <row r="74" spans="1:29" s="972" customFormat="1" ht="15">
      <c r="A74" s="1225"/>
      <c r="B74" s="1222">
        <f>B14</f>
        <v>111</v>
      </c>
      <c r="C74" s="1226"/>
      <c r="D74" s="1226"/>
      <c r="E74" s="1226"/>
      <c r="F74" s="1226"/>
      <c r="G74" s="1210"/>
      <c r="H74" s="1230"/>
      <c r="I74" s="1230"/>
      <c r="J74" s="1230"/>
      <c r="K74" s="1230"/>
      <c r="L74" s="1280"/>
      <c r="M74" s="1281"/>
      <c r="N74" s="1277"/>
      <c r="O74" s="1277"/>
      <c r="P74" s="1582"/>
      <c r="Q74" s="1309"/>
      <c r="R74" s="1310"/>
      <c r="S74" s="1310"/>
      <c r="T74" s="1310"/>
      <c r="U74" s="1310"/>
      <c r="V74" s="1310"/>
      <c r="W74" s="1310"/>
      <c r="X74" s="1310"/>
      <c r="Y74" s="1310"/>
      <c r="Z74" s="1310"/>
      <c r="AA74" s="1310"/>
      <c r="AB74" s="1310"/>
      <c r="AC74" s="1310"/>
    </row>
    <row r="75" spans="1:29" s="972" customFormat="1" ht="15">
      <c r="A75" s="1231"/>
      <c r="B75" s="1232"/>
      <c r="C75" s="1233"/>
      <c r="D75" s="1233"/>
      <c r="E75" s="1233"/>
      <c r="F75" s="1233"/>
      <c r="G75" s="1233"/>
      <c r="H75" s="1234"/>
      <c r="I75" s="1234"/>
      <c r="J75" s="1234"/>
      <c r="K75" s="1234"/>
      <c r="L75" s="1234"/>
      <c r="M75" s="1283"/>
      <c r="N75" s="1277"/>
      <c r="O75" s="1277"/>
      <c r="P75" s="1580"/>
      <c r="Q75" s="1309"/>
      <c r="R75" s="1310"/>
      <c r="S75" s="1310"/>
      <c r="T75" s="1310"/>
      <c r="U75" s="1310"/>
      <c r="V75" s="1310"/>
      <c r="W75" s="1310"/>
      <c r="X75" s="1310"/>
      <c r="Y75" s="1310"/>
      <c r="Z75" s="1310"/>
      <c r="AA75" s="1310"/>
      <c r="AB75" s="1310"/>
      <c r="AC75" s="1310"/>
    </row>
    <row r="76" spans="1:29">
      <c r="A76" s="1213" t="s">
        <v>1051</v>
      </c>
      <c r="B76" s="1214" t="s">
        <v>1052</v>
      </c>
      <c r="C76" s="1235" t="s">
        <v>1104</v>
      </c>
      <c r="D76" s="1235" t="s">
        <v>1105</v>
      </c>
      <c r="E76" s="1235" t="s">
        <v>1106</v>
      </c>
      <c r="F76" s="1235" t="s">
        <v>1107</v>
      </c>
      <c r="G76" s="1235" t="s">
        <v>1108</v>
      </c>
      <c r="H76" s="1236"/>
      <c r="I76" s="1236"/>
      <c r="J76" s="1236"/>
      <c r="K76" s="1284"/>
      <c r="L76" s="1285"/>
      <c r="M76" s="1286"/>
      <c r="N76" s="1264"/>
      <c r="O76" s="1264"/>
      <c r="P76" s="1583"/>
      <c r="Q76" s="1188"/>
      <c r="R76" s="1086"/>
      <c r="S76" s="1086"/>
      <c r="T76" s="1086"/>
      <c r="U76" s="1086"/>
      <c r="V76" s="1086"/>
      <c r="W76" s="1086"/>
      <c r="X76" s="1086"/>
      <c r="Y76" s="1086"/>
      <c r="Z76" s="1086"/>
      <c r="AA76" s="1086"/>
      <c r="AB76" s="1086"/>
      <c r="AC76" s="1086"/>
    </row>
    <row r="77" spans="1:29" ht="15">
      <c r="A77" s="1215"/>
      <c r="B77" s="1220"/>
      <c r="C77" s="1221">
        <v>100</v>
      </c>
      <c r="D77" s="1221">
        <f>C77-$K15</f>
        <v>100</v>
      </c>
      <c r="E77" s="1221">
        <f>D77-$K15</f>
        <v>100</v>
      </c>
      <c r="F77" s="1221">
        <f>E77-$K15</f>
        <v>100</v>
      </c>
      <c r="G77" s="1221">
        <f>F77-$K15</f>
        <v>100</v>
      </c>
      <c r="H77" s="1221"/>
      <c r="I77" s="1221"/>
      <c r="J77" s="1221"/>
      <c r="K77" s="1221"/>
      <c r="L77" s="1221"/>
      <c r="M77" s="1271"/>
      <c r="N77" s="1267"/>
      <c r="O77" s="1267"/>
      <c r="P77" s="1575"/>
      <c r="Q77" s="1188"/>
      <c r="R77" s="1086"/>
      <c r="S77" s="1086"/>
      <c r="T77" s="1086"/>
      <c r="U77" s="1086"/>
      <c r="V77" s="1086"/>
      <c r="W77" s="1086"/>
      <c r="X77" s="1086"/>
      <c r="Y77" s="1086"/>
      <c r="Z77" s="1086"/>
      <c r="AA77" s="1086"/>
      <c r="AB77" s="1086"/>
      <c r="AC77" s="1086"/>
    </row>
    <row r="78" spans="1:29" ht="15">
      <c r="A78" s="1215"/>
      <c r="B78" s="1218" t="s">
        <v>1056</v>
      </c>
      <c r="C78" s="1237" t="s">
        <v>1104</v>
      </c>
      <c r="D78" s="1237" t="s">
        <v>1105</v>
      </c>
      <c r="E78" s="1237" t="s">
        <v>1106</v>
      </c>
      <c r="F78" s="1237" t="s">
        <v>1107</v>
      </c>
      <c r="G78" s="1237" t="s">
        <v>1108</v>
      </c>
      <c r="H78" s="1219"/>
      <c r="I78" s="1219"/>
      <c r="J78" s="1219"/>
      <c r="K78" s="1268"/>
      <c r="L78" s="1269"/>
      <c r="M78" s="1270"/>
      <c r="N78" s="1264"/>
      <c r="O78" s="1264"/>
      <c r="P78" s="1575"/>
      <c r="Q78" s="1188"/>
      <c r="R78" s="1086"/>
      <c r="S78" s="1086"/>
      <c r="T78" s="1086"/>
      <c r="U78" s="1086"/>
      <c r="V78" s="1086"/>
      <c r="W78" s="1086"/>
      <c r="X78" s="1086"/>
      <c r="Y78" s="1086"/>
      <c r="Z78" s="1086"/>
      <c r="AA78" s="1086"/>
      <c r="AB78" s="1086"/>
      <c r="AC78" s="1086"/>
    </row>
    <row r="79" spans="1:29" ht="15">
      <c r="A79" s="1215"/>
      <c r="B79" s="1220"/>
      <c r="C79" s="1221">
        <v>100</v>
      </c>
      <c r="D79" s="1221">
        <f>C79-$K17</f>
        <v>100</v>
      </c>
      <c r="E79" s="1221">
        <f>D79-$K17</f>
        <v>100</v>
      </c>
      <c r="F79" s="1221">
        <f>E79-$K17</f>
        <v>100</v>
      </c>
      <c r="G79" s="1221">
        <f>F79-$K17</f>
        <v>100</v>
      </c>
      <c r="H79" s="1221"/>
      <c r="I79" s="1221"/>
      <c r="J79" s="1221"/>
      <c r="K79" s="1221"/>
      <c r="L79" s="1221"/>
      <c r="M79" s="1271"/>
      <c r="N79" s="1267"/>
      <c r="O79" s="1267"/>
      <c r="P79" s="1575"/>
      <c r="Q79" s="1188"/>
      <c r="R79" s="1086"/>
      <c r="S79" s="1086"/>
      <c r="T79" s="1086"/>
      <c r="U79" s="1086"/>
      <c r="V79" s="1086"/>
      <c r="W79" s="1086"/>
      <c r="X79" s="1086"/>
      <c r="Y79" s="1086"/>
      <c r="Z79" s="1086"/>
      <c r="AA79" s="1086"/>
      <c r="AB79" s="1086"/>
      <c r="AC79" s="1086"/>
    </row>
    <row r="80" spans="1:29" ht="15">
      <c r="A80" s="1215"/>
      <c r="B80" s="1218" t="s">
        <v>1057</v>
      </c>
      <c r="C80" s="1237" t="s">
        <v>1104</v>
      </c>
      <c r="D80" s="1237" t="s">
        <v>1105</v>
      </c>
      <c r="E80" s="1237" t="s">
        <v>1106</v>
      </c>
      <c r="F80" s="1237" t="s">
        <v>1107</v>
      </c>
      <c r="G80" s="1237" t="s">
        <v>1108</v>
      </c>
      <c r="H80" s="1219"/>
      <c r="I80" s="1219"/>
      <c r="J80" s="1219"/>
      <c r="K80" s="1268"/>
      <c r="L80" s="1269"/>
      <c r="M80" s="1270"/>
      <c r="N80" s="1264"/>
      <c r="O80" s="1264"/>
      <c r="P80" s="1575"/>
      <c r="Q80" s="1188"/>
      <c r="R80" s="1086"/>
      <c r="S80" s="1086"/>
      <c r="T80" s="1086"/>
      <c r="U80" s="1086"/>
      <c r="V80" s="1086"/>
      <c r="W80" s="1086"/>
      <c r="X80" s="1086"/>
      <c r="Y80" s="1086"/>
      <c r="Z80" s="1086"/>
      <c r="AA80" s="1086"/>
      <c r="AB80" s="1086"/>
      <c r="AC80" s="1086"/>
    </row>
    <row r="81" spans="1:29" ht="15">
      <c r="A81" s="1215"/>
      <c r="B81" s="1220"/>
      <c r="C81" s="1221">
        <v>100</v>
      </c>
      <c r="D81" s="1221">
        <f>C81-$K19</f>
        <v>100</v>
      </c>
      <c r="E81" s="1221">
        <f>D81-$K19</f>
        <v>100</v>
      </c>
      <c r="F81" s="1221">
        <f>E81-$K19</f>
        <v>100</v>
      </c>
      <c r="G81" s="1221">
        <f>F81-$K19</f>
        <v>100</v>
      </c>
      <c r="H81" s="1221"/>
      <c r="I81" s="1221"/>
      <c r="J81" s="1221"/>
      <c r="K81" s="1221"/>
      <c r="L81" s="1221"/>
      <c r="M81" s="1271"/>
      <c r="N81" s="1267"/>
      <c r="O81" s="1267"/>
      <c r="P81" s="1575"/>
      <c r="Q81" s="1188"/>
      <c r="R81" s="1086"/>
      <c r="S81" s="1086"/>
      <c r="T81" s="1086"/>
      <c r="U81" s="1086"/>
      <c r="V81" s="1086"/>
      <c r="W81" s="1086"/>
      <c r="X81" s="1086"/>
      <c r="Y81" s="1086"/>
      <c r="Z81" s="1086"/>
      <c r="AA81" s="1086"/>
      <c r="AB81" s="1086"/>
      <c r="AC81" s="1086"/>
    </row>
    <row r="82" spans="1:29" ht="15">
      <c r="A82" s="1215"/>
      <c r="B82" s="1222" t="s">
        <v>1058</v>
      </c>
      <c r="C82" s="1242" t="s">
        <v>1109</v>
      </c>
      <c r="D82" s="1242" t="s">
        <v>1110</v>
      </c>
      <c r="E82" s="1242" t="s">
        <v>1111</v>
      </c>
      <c r="F82" s="1242" t="s">
        <v>1112</v>
      </c>
      <c r="G82" s="1242" t="s">
        <v>1113</v>
      </c>
      <c r="H82" s="1219"/>
      <c r="I82" s="1219"/>
      <c r="J82" s="1219"/>
      <c r="K82" s="1219"/>
      <c r="L82" s="1219"/>
      <c r="M82" s="1431"/>
      <c r="N82" s="1267"/>
      <c r="O82" s="1267"/>
      <c r="P82" s="1575"/>
      <c r="Q82" s="1188"/>
      <c r="R82" s="1086"/>
      <c r="S82" s="1086"/>
      <c r="T82" s="1086"/>
      <c r="U82" s="1086"/>
      <c r="V82" s="1086"/>
      <c r="W82" s="1086"/>
      <c r="X82" s="1086"/>
      <c r="Y82" s="1086"/>
      <c r="Z82" s="1086"/>
      <c r="AA82" s="1086"/>
      <c r="AB82" s="1086"/>
      <c r="AC82" s="1086"/>
    </row>
    <row r="83" spans="1:29" ht="15">
      <c r="A83" s="1215"/>
      <c r="B83" s="1222"/>
      <c r="C83" s="1221">
        <v>100</v>
      </c>
      <c r="D83" s="1221">
        <f>C83-$K21</f>
        <v>100</v>
      </c>
      <c r="E83" s="1221">
        <f t="shared" ref="E83:G83" si="19">D83-$K21</f>
        <v>100</v>
      </c>
      <c r="F83" s="1221">
        <f t="shared" si="19"/>
        <v>100</v>
      </c>
      <c r="G83" s="1221">
        <f t="shared" si="19"/>
        <v>100</v>
      </c>
      <c r="H83" s="1242"/>
      <c r="I83" s="1242"/>
      <c r="J83" s="1242"/>
      <c r="K83" s="1242"/>
      <c r="L83" s="1242"/>
      <c r="M83" s="1034"/>
      <c r="N83" s="1267"/>
      <c r="O83" s="1267"/>
      <c r="P83" s="1575"/>
      <c r="Q83" s="1188"/>
      <c r="R83" s="1086"/>
      <c r="S83" s="1086"/>
      <c r="T83" s="1086"/>
      <c r="U83" s="1086"/>
      <c r="V83" s="1086"/>
      <c r="W83" s="1086"/>
      <c r="X83" s="1086"/>
      <c r="Y83" s="1086"/>
      <c r="Z83" s="1086"/>
      <c r="AA83" s="1086"/>
      <c r="AB83" s="1086"/>
      <c r="AC83" s="1086"/>
    </row>
    <row r="84" spans="1:29" ht="15">
      <c r="A84" s="1215"/>
      <c r="B84" s="1218" t="s">
        <v>1059</v>
      </c>
      <c r="C84" s="1237" t="s">
        <v>1104</v>
      </c>
      <c r="D84" s="1237" t="s">
        <v>1105</v>
      </c>
      <c r="E84" s="1237" t="s">
        <v>1106</v>
      </c>
      <c r="F84" s="1237" t="s">
        <v>1107</v>
      </c>
      <c r="G84" s="1237" t="s">
        <v>1108</v>
      </c>
      <c r="H84" s="1219"/>
      <c r="I84" s="1219"/>
      <c r="J84" s="1219"/>
      <c r="K84" s="1268"/>
      <c r="L84" s="1269"/>
      <c r="M84" s="1270"/>
      <c r="N84" s="1264"/>
      <c r="O84" s="1264"/>
      <c r="P84" s="1575"/>
      <c r="Q84" s="1188"/>
      <c r="R84" s="1086"/>
      <c r="S84" s="1086"/>
      <c r="T84" s="1086"/>
      <c r="U84" s="1086"/>
      <c r="V84" s="1086"/>
      <c r="W84" s="1086"/>
      <c r="X84" s="1086"/>
      <c r="Y84" s="1086"/>
      <c r="Z84" s="1086"/>
      <c r="AA84" s="1086"/>
      <c r="AB84" s="1086"/>
      <c r="AC84" s="1086"/>
    </row>
    <row r="85" spans="1:29" ht="15">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75"/>
      <c r="Q85" s="1188"/>
      <c r="R85" s="1086"/>
      <c r="S85" s="1086"/>
      <c r="T85" s="1086"/>
      <c r="U85" s="1086"/>
      <c r="V85" s="1086"/>
      <c r="W85" s="1086"/>
      <c r="X85" s="1086"/>
      <c r="Y85" s="1086"/>
      <c r="Z85" s="1086"/>
      <c r="AA85" s="1086"/>
      <c r="AB85" s="1086"/>
      <c r="AC85" s="1086"/>
    </row>
    <row r="86" spans="1:29" s="970" customFormat="1" ht="15">
      <c r="A86" s="1238"/>
      <c r="B86" s="1218" t="s">
        <v>1473</v>
      </c>
      <c r="C86" s="1226"/>
      <c r="D86" s="1226"/>
      <c r="E86" s="1226"/>
      <c r="F86" s="1226"/>
      <c r="G86" s="1226"/>
      <c r="H86" s="1226"/>
      <c r="I86" s="1226"/>
      <c r="J86" s="1226"/>
      <c r="K86" s="1226"/>
      <c r="L86" s="1432"/>
      <c r="M86" s="1433"/>
      <c r="N86" s="1258"/>
      <c r="O86" s="1258"/>
      <c r="P86" s="1575"/>
      <c r="Q86" s="1188"/>
      <c r="R86" s="1308"/>
      <c r="S86" s="1308"/>
      <c r="T86" s="1308"/>
      <c r="U86" s="1308"/>
      <c r="V86" s="1308"/>
      <c r="W86" s="1308"/>
      <c r="X86" s="1308"/>
      <c r="Y86" s="1308"/>
      <c r="Z86" s="1308"/>
      <c r="AA86" s="1308"/>
      <c r="AB86" s="1308"/>
      <c r="AC86" s="1308"/>
    </row>
    <row r="87" spans="1:29" s="970" customFormat="1" ht="15">
      <c r="A87" s="1238"/>
      <c r="B87" s="1220"/>
      <c r="C87" s="1239">
        <v>100</v>
      </c>
      <c r="D87" s="1221">
        <f t="shared" ref="D87:M87" si="20">C87-$K25</f>
        <v>100</v>
      </c>
      <c r="E87" s="1221">
        <f t="shared" si="20"/>
        <v>100</v>
      </c>
      <c r="F87" s="1221">
        <f t="shared" si="20"/>
        <v>100</v>
      </c>
      <c r="G87" s="1221">
        <f t="shared" si="20"/>
        <v>100</v>
      </c>
      <c r="H87" s="1221">
        <f t="shared" si="20"/>
        <v>100</v>
      </c>
      <c r="I87" s="1221">
        <f t="shared" si="20"/>
        <v>100</v>
      </c>
      <c r="J87" s="1221">
        <f t="shared" si="20"/>
        <v>100</v>
      </c>
      <c r="K87" s="1221">
        <f t="shared" si="20"/>
        <v>100</v>
      </c>
      <c r="L87" s="1221">
        <f t="shared" si="20"/>
        <v>100</v>
      </c>
      <c r="M87" s="1221">
        <f t="shared" si="20"/>
        <v>100</v>
      </c>
      <c r="N87" s="1267"/>
      <c r="O87" s="1267"/>
      <c r="P87" s="1575"/>
      <c r="Q87" s="1188"/>
      <c r="R87" s="1308"/>
      <c r="S87" s="1308"/>
      <c r="T87" s="1308"/>
      <c r="U87" s="1308"/>
      <c r="V87" s="1308"/>
      <c r="W87" s="1308"/>
      <c r="X87" s="1308"/>
      <c r="Y87" s="1308"/>
      <c r="Z87" s="1308"/>
      <c r="AA87" s="1308"/>
      <c r="AB87" s="1308"/>
      <c r="AC87" s="1308"/>
    </row>
    <row r="88" spans="1:29" s="970" customFormat="1" ht="15">
      <c r="A88" s="1238"/>
      <c r="B88" s="1218" t="str">
        <f>B26</f>
        <v>平面位置/可视性</v>
      </c>
      <c r="C88" s="1226"/>
      <c r="D88" s="1226"/>
      <c r="E88" s="1226"/>
      <c r="F88" s="1556"/>
      <c r="G88" s="1226"/>
      <c r="H88" s="1226"/>
      <c r="I88" s="1226"/>
      <c r="J88" s="1226"/>
      <c r="K88" s="1226"/>
      <c r="L88" s="1226"/>
      <c r="M88" s="1433"/>
      <c r="N88" s="1258"/>
      <c r="O88" s="1258"/>
      <c r="P88" s="1575"/>
      <c r="Q88" s="1188"/>
      <c r="R88" s="1308"/>
      <c r="S88" s="1308"/>
      <c r="T88" s="1308"/>
      <c r="U88" s="1308"/>
      <c r="V88" s="1308"/>
      <c r="W88" s="1308"/>
      <c r="X88" s="1308"/>
      <c r="Y88" s="1308"/>
      <c r="Z88" s="1308"/>
      <c r="AA88" s="1308"/>
      <c r="AB88" s="1308"/>
      <c r="AC88" s="1308"/>
    </row>
    <row r="89" spans="1:29" s="970" customFormat="1" ht="15">
      <c r="A89" s="1238"/>
      <c r="B89" s="1220"/>
      <c r="C89" s="1228"/>
      <c r="D89" s="1217"/>
      <c r="E89" s="1217"/>
      <c r="F89" s="1217"/>
      <c r="G89" s="1217"/>
      <c r="H89" s="1217"/>
      <c r="I89" s="1217"/>
      <c r="J89" s="1217"/>
      <c r="K89" s="1217"/>
      <c r="L89" s="1217"/>
      <c r="M89" s="1217"/>
      <c r="N89" s="1267"/>
      <c r="O89" s="1267"/>
      <c r="P89" s="1575"/>
      <c r="Q89" s="1188"/>
      <c r="R89" s="1308"/>
      <c r="S89" s="1308"/>
      <c r="T89" s="1308"/>
      <c r="U89" s="1308"/>
      <c r="V89" s="1308"/>
      <c r="W89" s="1308"/>
      <c r="X89" s="1308"/>
      <c r="Y89" s="1308"/>
      <c r="Z89" s="1308"/>
      <c r="AA89" s="1308"/>
      <c r="AB89" s="1308"/>
      <c r="AC89" s="1308"/>
    </row>
    <row r="90" spans="1:29" s="972" customFormat="1" ht="15">
      <c r="A90" s="1225"/>
      <c r="B90" s="1218" t="str">
        <f>B27</f>
        <v>人流量</v>
      </c>
      <c r="C90" s="1226"/>
      <c r="D90" s="1226"/>
      <c r="E90" s="1226"/>
      <c r="F90" s="1226"/>
      <c r="G90" s="1226"/>
      <c r="H90" s="1227"/>
      <c r="I90" s="1227"/>
      <c r="J90" s="1227"/>
      <c r="K90" s="1227"/>
      <c r="L90" s="1275"/>
      <c r="M90" s="1276"/>
      <c r="N90" s="1277"/>
      <c r="O90" s="1277"/>
      <c r="P90" s="1580"/>
      <c r="Q90" s="1309"/>
      <c r="R90" s="1310"/>
      <c r="S90" s="1310"/>
      <c r="T90" s="1310"/>
      <c r="U90" s="1310"/>
      <c r="V90" s="1310"/>
      <c r="W90" s="1310"/>
      <c r="X90" s="1310"/>
      <c r="Y90" s="1310"/>
      <c r="Z90" s="1310"/>
      <c r="AA90" s="1310"/>
      <c r="AB90" s="1310"/>
      <c r="AC90" s="1310"/>
    </row>
    <row r="91" spans="1:29" s="972" customFormat="1" ht="15">
      <c r="A91" s="1225"/>
      <c r="B91" s="1220"/>
      <c r="C91" s="1239">
        <v>100</v>
      </c>
      <c r="D91" s="1221">
        <f>C91-$K27</f>
        <v>100</v>
      </c>
      <c r="E91" s="1221">
        <f t="shared" ref="E91:M91" si="21">D91-$K27</f>
        <v>100</v>
      </c>
      <c r="F91" s="1221">
        <f t="shared" si="21"/>
        <v>100</v>
      </c>
      <c r="G91" s="1221">
        <f t="shared" si="21"/>
        <v>100</v>
      </c>
      <c r="H91" s="1221">
        <f t="shared" si="21"/>
        <v>100</v>
      </c>
      <c r="I91" s="1221">
        <f t="shared" si="21"/>
        <v>100</v>
      </c>
      <c r="J91" s="1221">
        <f t="shared" si="21"/>
        <v>100</v>
      </c>
      <c r="K91" s="1221">
        <f t="shared" si="21"/>
        <v>100</v>
      </c>
      <c r="L91" s="1221">
        <f t="shared" si="21"/>
        <v>100</v>
      </c>
      <c r="M91" s="1221">
        <f t="shared" si="21"/>
        <v>100</v>
      </c>
      <c r="N91" s="1277"/>
      <c r="O91" s="1277"/>
      <c r="P91" s="1580"/>
      <c r="Q91" s="1309"/>
      <c r="R91" s="1310"/>
      <c r="S91" s="1310"/>
      <c r="T91" s="1310"/>
      <c r="U91" s="1310"/>
      <c r="V91" s="1310"/>
      <c r="W91" s="1310"/>
      <c r="X91" s="1310"/>
      <c r="Y91" s="1310"/>
      <c r="Z91" s="1310"/>
      <c r="AA91" s="1310"/>
      <c r="AB91" s="1310"/>
      <c r="AC91" s="1310"/>
    </row>
    <row r="92" spans="1:29" ht="15">
      <c r="A92" s="1215"/>
      <c r="B92" s="1218" t="str">
        <f>B28</f>
        <v>楼层</v>
      </c>
      <c r="C92" s="1226"/>
      <c r="D92" s="1226"/>
      <c r="E92" s="1226"/>
      <c r="F92" s="1226"/>
      <c r="G92" s="1226"/>
      <c r="H92" s="1226"/>
      <c r="I92" s="1226"/>
      <c r="J92" s="1226"/>
      <c r="K92" s="1226"/>
      <c r="L92" s="1432"/>
      <c r="M92" s="1433"/>
      <c r="N92" s="1264"/>
      <c r="O92" s="1264"/>
      <c r="P92" s="1575"/>
      <c r="Q92" s="1188"/>
      <c r="R92" s="1086"/>
      <c r="S92" s="1086"/>
      <c r="T92" s="1086"/>
      <c r="U92" s="1086"/>
      <c r="V92" s="1086"/>
      <c r="W92" s="1086"/>
      <c r="X92" s="1086"/>
      <c r="Y92" s="1086"/>
      <c r="Z92" s="1086"/>
      <c r="AA92" s="1086"/>
      <c r="AB92" s="1086"/>
      <c r="AC92" s="1086"/>
    </row>
    <row r="93" spans="1:29" ht="15">
      <c r="A93" s="1215"/>
      <c r="B93" s="1220"/>
      <c r="C93" s="1217"/>
      <c r="D93" s="1217"/>
      <c r="E93" s="1217"/>
      <c r="F93" s="1217"/>
      <c r="G93" s="1217"/>
      <c r="H93" s="1217"/>
      <c r="I93" s="1217"/>
      <c r="J93" s="1217"/>
      <c r="K93" s="1217"/>
      <c r="L93" s="1217"/>
      <c r="M93" s="1266"/>
      <c r="N93" s="1267"/>
      <c r="O93" s="1267"/>
      <c r="P93" s="1575"/>
      <c r="Q93" s="1188"/>
      <c r="R93" s="1086"/>
      <c r="S93" s="1086"/>
      <c r="T93" s="1086"/>
      <c r="U93" s="1086"/>
      <c r="V93" s="1086"/>
      <c r="W93" s="1086"/>
      <c r="X93" s="1086"/>
      <c r="Y93" s="1086"/>
      <c r="Z93" s="1086"/>
      <c r="AA93" s="1086"/>
      <c r="AB93" s="1086"/>
      <c r="AC93" s="1086"/>
    </row>
    <row r="94" spans="1:29" ht="15">
      <c r="A94" s="1215"/>
      <c r="B94" s="1218">
        <f>B29</f>
        <v>111</v>
      </c>
      <c r="C94" s="1226"/>
      <c r="D94" s="1226"/>
      <c r="E94" s="1226"/>
      <c r="F94" s="1226"/>
      <c r="G94" s="1243"/>
      <c r="H94" s="1243"/>
      <c r="I94" s="1243"/>
      <c r="J94" s="1243"/>
      <c r="K94" s="1294"/>
      <c r="L94" s="1295"/>
      <c r="M94" s="1296"/>
      <c r="N94" s="1264"/>
      <c r="O94" s="1264"/>
      <c r="P94" s="1575"/>
      <c r="Q94" s="1188"/>
      <c r="R94" s="1086"/>
      <c r="S94" s="1086"/>
      <c r="T94" s="1086"/>
      <c r="U94" s="1086"/>
      <c r="V94" s="1086"/>
      <c r="W94" s="1086"/>
      <c r="X94" s="1086"/>
      <c r="Y94" s="1086"/>
      <c r="Z94" s="1086"/>
      <c r="AA94" s="1086"/>
      <c r="AB94" s="1086"/>
      <c r="AC94" s="1086"/>
    </row>
    <row r="95" spans="1:29" ht="15">
      <c r="A95" s="1215"/>
      <c r="B95" s="1220"/>
      <c r="C95" s="1228"/>
      <c r="D95" s="1217"/>
      <c r="E95" s="1217"/>
      <c r="F95" s="1217"/>
      <c r="G95" s="1217"/>
      <c r="H95" s="1217"/>
      <c r="I95" s="1217"/>
      <c r="J95" s="1217"/>
      <c r="K95" s="1217"/>
      <c r="L95" s="1217"/>
      <c r="M95" s="1266"/>
      <c r="N95" s="1267"/>
      <c r="O95" s="1267"/>
      <c r="P95" s="1575"/>
      <c r="Q95" s="1188"/>
      <c r="R95" s="1086"/>
      <c r="S95" s="1086"/>
      <c r="T95" s="1086"/>
      <c r="U95" s="1086"/>
      <c r="V95" s="1086"/>
      <c r="W95" s="1086"/>
      <c r="X95" s="1086"/>
      <c r="Y95" s="1086"/>
      <c r="Z95" s="1086"/>
      <c r="AA95" s="1086"/>
      <c r="AB95" s="1086"/>
      <c r="AC95" s="1086"/>
    </row>
    <row r="96" spans="1:29" ht="15">
      <c r="A96" s="1215"/>
      <c r="B96" s="1218">
        <f>B30</f>
        <v>111</v>
      </c>
      <c r="C96" s="1226"/>
      <c r="D96" s="1226"/>
      <c r="E96" s="1226"/>
      <c r="F96" s="1226"/>
      <c r="G96" s="1243"/>
      <c r="H96" s="1243"/>
      <c r="I96" s="1243"/>
      <c r="J96" s="1243"/>
      <c r="K96" s="1294"/>
      <c r="L96" s="1295"/>
      <c r="M96" s="1296"/>
      <c r="N96" s="1264"/>
      <c r="O96" s="1264"/>
      <c r="P96" s="1575"/>
      <c r="Q96" s="1188"/>
      <c r="R96" s="1086"/>
      <c r="S96" s="1086"/>
      <c r="T96" s="1086"/>
      <c r="U96" s="1086"/>
      <c r="V96" s="1086"/>
      <c r="W96" s="1086"/>
      <c r="X96" s="1086"/>
      <c r="Y96" s="1086"/>
      <c r="Z96" s="1086"/>
      <c r="AA96" s="1086"/>
      <c r="AB96" s="1086"/>
      <c r="AC96" s="1086"/>
    </row>
    <row r="97" spans="1:29" ht="15">
      <c r="A97" s="1215"/>
      <c r="B97" s="1220"/>
      <c r="C97" s="1228"/>
      <c r="D97" s="1217"/>
      <c r="E97" s="1217"/>
      <c r="F97" s="1217"/>
      <c r="G97" s="1217"/>
      <c r="H97" s="1217"/>
      <c r="I97" s="1217"/>
      <c r="J97" s="1217"/>
      <c r="K97" s="1217"/>
      <c r="L97" s="1217"/>
      <c r="M97" s="1266"/>
      <c r="N97" s="1267"/>
      <c r="O97" s="1267"/>
      <c r="P97" s="1575"/>
      <c r="Q97" s="1188"/>
      <c r="R97" s="1086"/>
      <c r="S97" s="1086"/>
      <c r="T97" s="1086"/>
      <c r="U97" s="1086"/>
      <c r="V97" s="1086"/>
      <c r="W97" s="1086"/>
      <c r="X97" s="1086"/>
      <c r="Y97" s="1086"/>
      <c r="Z97" s="1086"/>
      <c r="AA97" s="1086"/>
      <c r="AB97" s="1086"/>
      <c r="AC97" s="1086"/>
    </row>
    <row r="98" spans="1:29" ht="15">
      <c r="A98" s="1215"/>
      <c r="B98" s="1222">
        <f>B31</f>
        <v>111</v>
      </c>
      <c r="C98" s="1226"/>
      <c r="D98" s="1226"/>
      <c r="E98" s="1226"/>
      <c r="F98" s="1226"/>
      <c r="G98" s="1244"/>
      <c r="H98" s="1244"/>
      <c r="I98" s="1244"/>
      <c r="J98" s="1244"/>
      <c r="K98" s="1297"/>
      <c r="L98" s="1298"/>
      <c r="M98" s="1299"/>
      <c r="N98" s="1264"/>
      <c r="O98" s="1264"/>
      <c r="P98" s="1575"/>
      <c r="Q98" s="1188"/>
      <c r="R98" s="1086"/>
      <c r="S98" s="1086"/>
      <c r="T98" s="1086"/>
      <c r="U98" s="1086"/>
      <c r="V98" s="1086"/>
      <c r="W98" s="1086"/>
      <c r="X98" s="1086"/>
      <c r="Y98" s="1086"/>
      <c r="Z98" s="1086"/>
      <c r="AA98" s="1086"/>
      <c r="AB98" s="1086"/>
      <c r="AC98" s="1086"/>
    </row>
    <row r="99" spans="1:29" ht="15">
      <c r="A99" s="1533"/>
      <c r="B99" s="1232"/>
      <c r="C99" s="1233"/>
      <c r="D99" s="1233"/>
      <c r="E99" s="1233"/>
      <c r="F99" s="1233"/>
      <c r="G99" s="1245"/>
      <c r="H99" s="1245"/>
      <c r="I99" s="1245"/>
      <c r="J99" s="1245"/>
      <c r="K99" s="1245"/>
      <c r="L99" s="1245"/>
      <c r="M99" s="1300"/>
      <c r="N99" s="1267"/>
      <c r="O99" s="1267"/>
      <c r="P99" s="1575"/>
      <c r="Q99" s="1188"/>
      <c r="R99" s="1086"/>
      <c r="S99" s="1086"/>
      <c r="T99" s="1086"/>
      <c r="U99" s="1086"/>
      <c r="V99" s="1086"/>
      <c r="W99" s="1086"/>
      <c r="X99" s="1086"/>
      <c r="Y99" s="1086"/>
      <c r="Z99" s="1086"/>
      <c r="AA99" s="1086"/>
      <c r="AB99" s="1086"/>
      <c r="AC99" s="1086"/>
    </row>
    <row r="100" spans="1:29">
      <c r="A100" s="1213" t="s">
        <v>1065</v>
      </c>
      <c r="B100" s="1214" t="s">
        <v>1477</v>
      </c>
      <c r="C100" s="1156"/>
      <c r="D100" s="1156"/>
      <c r="E100" s="1156"/>
      <c r="F100" s="1156"/>
      <c r="G100" s="1156"/>
      <c r="H100" s="1156"/>
      <c r="I100" s="1156"/>
      <c r="J100" s="1156"/>
      <c r="K100" s="1261"/>
      <c r="L100" s="1262"/>
      <c r="M100" s="1263"/>
      <c r="N100" s="1264"/>
      <c r="O100" s="1264"/>
      <c r="P100" s="1575"/>
      <c r="Q100" s="1188"/>
      <c r="R100" s="1086"/>
      <c r="S100" s="1086"/>
      <c r="T100" s="1086"/>
      <c r="U100" s="1086"/>
      <c r="V100" s="1086"/>
      <c r="W100" s="1086"/>
      <c r="X100" s="1086"/>
      <c r="Y100" s="1086"/>
      <c r="Z100" s="1086"/>
      <c r="AA100" s="1086"/>
      <c r="AB100" s="1086"/>
      <c r="AC100" s="1086"/>
    </row>
    <row r="101" spans="1:29" ht="15">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75"/>
      <c r="Q101" s="1188"/>
      <c r="R101" s="1086"/>
      <c r="S101" s="1086"/>
      <c r="T101" s="1086"/>
      <c r="U101" s="1086"/>
      <c r="V101" s="1086"/>
      <c r="W101" s="1086"/>
      <c r="X101" s="1086"/>
      <c r="Y101" s="1086"/>
      <c r="Z101" s="1086"/>
      <c r="AA101" s="1086"/>
      <c r="AB101" s="1086"/>
      <c r="AC101" s="1086"/>
    </row>
    <row r="102" spans="1:29" ht="15">
      <c r="A102" s="1215"/>
      <c r="B102" s="1218" t="s">
        <v>1069</v>
      </c>
      <c r="C102" s="1237" t="str">
        <f>C103&amp;"(含)"&amp;"-"&amp;D103</f>
        <v>(含)-</v>
      </c>
      <c r="D102" s="1237" t="str">
        <f t="shared" ref="D102:L102" si="23">D103&amp;"(含)"&amp;"-"&amp;E103</f>
        <v>(含)-</v>
      </c>
      <c r="E102" s="1237" t="str">
        <f t="shared" si="23"/>
        <v>(含)-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75"/>
      <c r="Q102" s="1188"/>
      <c r="R102" s="1086"/>
      <c r="S102" s="1086"/>
      <c r="T102" s="1086"/>
      <c r="U102" s="1086"/>
      <c r="V102" s="1086"/>
      <c r="W102" s="1086"/>
      <c r="X102" s="1086"/>
      <c r="Y102" s="1086"/>
      <c r="Z102" s="1086"/>
      <c r="AA102" s="1086"/>
      <c r="AB102" s="1086"/>
      <c r="AC102" s="1086"/>
    </row>
    <row r="103" spans="1:29" s="972" customFormat="1">
      <c r="A103" s="1246"/>
      <c r="B103" s="1247"/>
      <c r="C103" s="1202"/>
      <c r="D103" s="1202"/>
      <c r="E103" s="1202"/>
      <c r="F103" s="1202"/>
      <c r="G103" s="1202"/>
      <c r="H103" s="1202"/>
      <c r="I103" s="1202"/>
      <c r="J103" s="1301"/>
      <c r="K103" s="1301"/>
      <c r="L103" s="1302"/>
      <c r="M103" s="1303"/>
      <c r="N103" s="1277"/>
      <c r="O103" s="1277"/>
      <c r="P103" s="1580"/>
      <c r="Q103" s="1309"/>
      <c r="R103" s="1310"/>
      <c r="S103" s="1310"/>
      <c r="T103" s="1310"/>
      <c r="U103" s="1310"/>
      <c r="V103" s="1310"/>
      <c r="W103" s="1310"/>
      <c r="X103" s="1310"/>
      <c r="Y103" s="1310"/>
      <c r="Z103" s="1310"/>
      <c r="AA103" s="1310"/>
      <c r="AB103" s="1310"/>
      <c r="AC103" s="1310"/>
    </row>
    <row r="104" spans="1:29" s="972" customFormat="1" ht="15">
      <c r="A104" s="1225"/>
      <c r="B104" s="1220"/>
      <c r="C104" s="1228"/>
      <c r="D104" s="1217"/>
      <c r="E104" s="1217"/>
      <c r="F104" s="1217"/>
      <c r="G104" s="1217"/>
      <c r="H104" s="1217"/>
      <c r="I104" s="1217"/>
      <c r="J104" s="1217"/>
      <c r="K104" s="1217"/>
      <c r="L104" s="1217"/>
      <c r="M104" s="1266"/>
      <c r="N104" s="1267"/>
      <c r="O104" s="1267"/>
      <c r="P104" s="1580"/>
      <c r="Q104" s="1309"/>
      <c r="R104" s="1310"/>
      <c r="S104" s="1310"/>
      <c r="T104" s="1310"/>
      <c r="U104" s="1310"/>
      <c r="V104" s="1310"/>
      <c r="W104" s="1310"/>
      <c r="X104" s="1310"/>
      <c r="Y104" s="1310"/>
      <c r="Z104" s="1310"/>
      <c r="AA104" s="1310"/>
      <c r="AB104" s="1310"/>
      <c r="AC104" s="1310"/>
    </row>
    <row r="105" spans="1:29">
      <c r="A105" s="1249"/>
      <c r="B105" s="1218" t="s">
        <v>1070</v>
      </c>
      <c r="C105" s="1226"/>
      <c r="D105" s="1226"/>
      <c r="E105" s="1243"/>
      <c r="F105" s="1243"/>
      <c r="G105" s="1243"/>
      <c r="H105" s="1243"/>
      <c r="I105" s="1243"/>
      <c r="J105" s="1243"/>
      <c r="K105" s="1294"/>
      <c r="L105" s="1295"/>
      <c r="M105" s="1296"/>
      <c r="N105" s="1264"/>
      <c r="O105" s="1264"/>
      <c r="P105" s="1575"/>
      <c r="Q105" s="1188"/>
      <c r="R105" s="1086"/>
      <c r="S105" s="1086"/>
      <c r="T105" s="1086"/>
      <c r="U105" s="1086"/>
      <c r="V105" s="1086"/>
      <c r="W105" s="1086"/>
      <c r="X105" s="1086"/>
      <c r="Y105" s="1086"/>
      <c r="Z105" s="1086"/>
      <c r="AA105" s="1086"/>
      <c r="AB105" s="1086"/>
      <c r="AC105" s="1086"/>
    </row>
    <row r="106" spans="1:29" ht="15">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75"/>
      <c r="Q106" s="1188"/>
      <c r="R106" s="1086"/>
      <c r="S106" s="1086"/>
      <c r="T106" s="1086"/>
      <c r="U106" s="1086"/>
      <c r="V106" s="1086"/>
      <c r="W106" s="1086"/>
      <c r="X106" s="1086"/>
      <c r="Y106" s="1086"/>
      <c r="Z106" s="1086"/>
      <c r="AA106" s="1086"/>
      <c r="AB106" s="1086"/>
      <c r="AC106" s="1086"/>
    </row>
    <row r="107" spans="1:29">
      <c r="A107" s="1249"/>
      <c r="B107" s="1218" t="s">
        <v>1073</v>
      </c>
      <c r="C107" s="1226"/>
      <c r="D107" s="1226"/>
      <c r="E107" s="1226"/>
      <c r="F107" s="1243"/>
      <c r="G107" s="1243"/>
      <c r="H107" s="1243"/>
      <c r="I107" s="1243"/>
      <c r="J107" s="1243"/>
      <c r="K107" s="1294"/>
      <c r="L107" s="1295"/>
      <c r="M107" s="1296"/>
      <c r="N107" s="1264"/>
      <c r="O107" s="1264"/>
      <c r="P107" s="1575"/>
      <c r="Q107" s="1188"/>
      <c r="R107" s="1086"/>
      <c r="S107" s="1086"/>
      <c r="T107" s="1086"/>
      <c r="U107" s="1086"/>
      <c r="V107" s="1086"/>
      <c r="W107" s="1086"/>
      <c r="X107" s="1086"/>
      <c r="Y107" s="1086"/>
      <c r="Z107" s="1086"/>
      <c r="AA107" s="1086"/>
      <c r="AB107" s="1086"/>
      <c r="AC107" s="1086"/>
    </row>
    <row r="108" spans="1:29" ht="15">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75"/>
      <c r="Q108" s="1188"/>
      <c r="R108" s="1086"/>
      <c r="S108" s="1086"/>
      <c r="T108" s="1086"/>
      <c r="U108" s="1086"/>
      <c r="V108" s="1086"/>
      <c r="W108" s="1086"/>
      <c r="X108" s="1086"/>
      <c r="Y108" s="1086"/>
      <c r="Z108" s="1086"/>
      <c r="AA108" s="1086"/>
      <c r="AB108" s="1086"/>
      <c r="AC108" s="1086"/>
    </row>
    <row r="109" spans="1:29">
      <c r="A109" s="1249"/>
      <c r="B109" s="1218" t="s">
        <v>568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75"/>
      <c r="Q109" s="1188"/>
      <c r="R109" s="1086"/>
      <c r="S109" s="1086"/>
      <c r="T109" s="1086"/>
      <c r="U109" s="1086"/>
      <c r="V109" s="1086"/>
      <c r="W109" s="1086"/>
      <c r="X109" s="1086"/>
      <c r="Y109" s="1086"/>
      <c r="Z109" s="1086"/>
      <c r="AA109" s="1086"/>
      <c r="AB109" s="1086"/>
      <c r="AC109" s="1086"/>
    </row>
    <row r="110" spans="1:29">
      <c r="A110" s="1249"/>
      <c r="B110" s="1222"/>
      <c r="C110" s="905">
        <v>0.5</v>
      </c>
      <c r="D110" s="905">
        <v>0.6</v>
      </c>
      <c r="E110" s="905">
        <v>0.7</v>
      </c>
      <c r="F110" s="905">
        <v>0.8</v>
      </c>
      <c r="G110" s="905">
        <v>0.9</v>
      </c>
      <c r="H110" s="905">
        <v>1.0001</v>
      </c>
      <c r="I110" s="1493"/>
      <c r="J110" s="1493"/>
      <c r="K110" s="1494"/>
      <c r="L110" s="1495"/>
      <c r="M110" s="1496"/>
      <c r="N110" s="1264"/>
      <c r="O110" s="1264"/>
      <c r="P110" s="1575"/>
      <c r="Q110" s="1188"/>
      <c r="R110" s="1086"/>
      <c r="S110" s="1086"/>
      <c r="T110" s="1086"/>
      <c r="U110" s="1086"/>
      <c r="V110" s="1086"/>
      <c r="W110" s="1086"/>
      <c r="X110" s="1086"/>
      <c r="Y110" s="1086"/>
      <c r="Z110" s="1086"/>
      <c r="AA110" s="1086"/>
      <c r="AB110" s="1086"/>
      <c r="AC110" s="1086"/>
    </row>
    <row r="111" spans="1:29" ht="15">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75"/>
      <c r="Q111" s="1188"/>
      <c r="R111" s="1086"/>
      <c r="S111" s="1086"/>
      <c r="T111" s="1086"/>
      <c r="U111" s="1086"/>
      <c r="V111" s="1086"/>
      <c r="W111" s="1086"/>
      <c r="X111" s="1086"/>
      <c r="Y111" s="1086"/>
      <c r="Z111" s="1086"/>
      <c r="AA111" s="1086"/>
      <c r="AB111" s="1086"/>
      <c r="AC111" s="1086"/>
    </row>
    <row r="112" spans="1:29" s="972" customFormat="1">
      <c r="A112" s="1246"/>
      <c r="B112" s="1218" t="s">
        <v>1077</v>
      </c>
      <c r="C112" s="1226"/>
      <c r="D112" s="1226"/>
      <c r="E112" s="1226"/>
      <c r="F112" s="1226"/>
      <c r="G112" s="1226"/>
      <c r="H112" s="1243"/>
      <c r="I112" s="1243"/>
      <c r="J112" s="1243"/>
      <c r="K112" s="1294"/>
      <c r="L112" s="1295"/>
      <c r="M112" s="1296"/>
      <c r="N112" s="1277"/>
      <c r="O112" s="1277"/>
      <c r="P112" s="1580"/>
      <c r="Q112" s="1309"/>
      <c r="R112" s="1310"/>
      <c r="S112" s="1310"/>
      <c r="T112" s="1310"/>
      <c r="U112" s="1310"/>
      <c r="V112" s="1310"/>
      <c r="W112" s="1310"/>
      <c r="X112" s="1310"/>
      <c r="Y112" s="1310"/>
      <c r="Z112" s="1310"/>
      <c r="AA112" s="1310"/>
      <c r="AB112" s="1310"/>
      <c r="AC112" s="1310"/>
    </row>
    <row r="113" spans="1:29" s="972" customFormat="1" ht="15">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80"/>
      <c r="Q113" s="1309"/>
      <c r="R113" s="1310"/>
      <c r="S113" s="1310"/>
      <c r="T113" s="1310"/>
      <c r="U113" s="1310"/>
      <c r="V113" s="1310"/>
      <c r="W113" s="1310"/>
      <c r="X113" s="1310"/>
      <c r="Y113" s="1310"/>
      <c r="Z113" s="1310"/>
      <c r="AA113" s="1310"/>
      <c r="AB113" s="1310"/>
      <c r="AC113" s="1310"/>
    </row>
    <row r="114" spans="1:29">
      <c r="A114" s="1249"/>
      <c r="B114" s="1218" t="s">
        <v>1478</v>
      </c>
      <c r="C114" s="1226"/>
      <c r="D114" s="1226"/>
      <c r="E114" s="1243"/>
      <c r="F114" s="1243"/>
      <c r="G114" s="1243"/>
      <c r="H114" s="1243"/>
      <c r="I114" s="1243"/>
      <c r="J114" s="1243"/>
      <c r="K114" s="1294"/>
      <c r="L114" s="1295"/>
      <c r="M114" s="1296"/>
      <c r="N114" s="1264"/>
      <c r="O114" s="1264"/>
      <c r="P114" s="1575"/>
      <c r="Q114" s="1188"/>
      <c r="R114" s="1086"/>
      <c r="S114" s="1086"/>
      <c r="T114" s="1086"/>
      <c r="U114" s="1086"/>
      <c r="V114" s="1086"/>
      <c r="W114" s="1086"/>
      <c r="X114" s="1086"/>
      <c r="Y114" s="1086"/>
      <c r="Z114" s="1086"/>
      <c r="AA114" s="1086"/>
      <c r="AB114" s="1086"/>
      <c r="AC114" s="1086"/>
    </row>
    <row r="115" spans="1:29" ht="15">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75"/>
      <c r="Q115" s="1188"/>
      <c r="R115" s="1086"/>
      <c r="S115" s="1086"/>
      <c r="T115" s="1086"/>
      <c r="U115" s="1086"/>
      <c r="V115" s="1086"/>
      <c r="W115" s="1086"/>
      <c r="X115" s="1086"/>
      <c r="Y115" s="1086"/>
      <c r="Z115" s="1086"/>
      <c r="AA115" s="1086"/>
      <c r="AB115" s="1086"/>
      <c r="AC115" s="1086"/>
    </row>
    <row r="116" spans="1:29">
      <c r="A116" s="1249"/>
      <c r="B116" s="1218" t="s">
        <v>1479</v>
      </c>
      <c r="C116" s="1226"/>
      <c r="D116" s="1226"/>
      <c r="E116" s="1226"/>
      <c r="F116" s="1226"/>
      <c r="G116" s="1226"/>
      <c r="H116" s="1243"/>
      <c r="I116" s="1243"/>
      <c r="J116" s="1243"/>
      <c r="K116" s="1294"/>
      <c r="L116" s="1295"/>
      <c r="M116" s="1296"/>
      <c r="N116" s="1264"/>
      <c r="O116" s="1264"/>
      <c r="P116" s="1575"/>
      <c r="Q116" s="1188"/>
      <c r="R116" s="1086"/>
      <c r="S116" s="1086"/>
      <c r="T116" s="1086"/>
      <c r="U116" s="1086"/>
      <c r="V116" s="1086"/>
      <c r="W116" s="1086"/>
      <c r="X116" s="1086"/>
      <c r="Y116" s="1086"/>
      <c r="Z116" s="1086"/>
      <c r="AA116" s="1086"/>
      <c r="AB116" s="1086"/>
      <c r="AC116" s="1086"/>
    </row>
    <row r="117" spans="1:29" ht="15">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75"/>
      <c r="Q117" s="1188"/>
      <c r="R117" s="1086"/>
      <c r="S117" s="1086"/>
      <c r="T117" s="1086"/>
      <c r="U117" s="1086"/>
      <c r="V117" s="1086"/>
      <c r="W117" s="1086"/>
      <c r="X117" s="1086"/>
      <c r="Y117" s="1086"/>
      <c r="Z117" s="1086"/>
      <c r="AA117" s="1086"/>
      <c r="AB117" s="1086"/>
      <c r="AC117" s="1086"/>
    </row>
    <row r="118" spans="1:29">
      <c r="A118" s="1249"/>
      <c r="B118" s="1218" t="s">
        <v>1480</v>
      </c>
      <c r="C118" s="1579"/>
      <c r="D118" s="1579"/>
      <c r="E118" s="1579"/>
      <c r="F118" s="1579"/>
      <c r="G118" s="1579"/>
      <c r="H118" s="1227"/>
      <c r="I118" s="1227"/>
      <c r="J118" s="1227"/>
      <c r="K118" s="1227"/>
      <c r="L118" s="1275"/>
      <c r="M118" s="1276"/>
      <c r="N118" s="1264"/>
      <c r="O118" s="1264"/>
      <c r="P118" s="1575"/>
      <c r="Q118" s="1188"/>
      <c r="R118" s="1086"/>
      <c r="S118" s="1086"/>
      <c r="T118" s="1086"/>
      <c r="U118" s="1086"/>
      <c r="V118" s="1086"/>
      <c r="W118" s="1086"/>
      <c r="X118" s="1086"/>
      <c r="Y118" s="1086"/>
      <c r="Z118" s="1086"/>
      <c r="AA118" s="1086"/>
      <c r="AB118" s="1086"/>
      <c r="AC118" s="1086"/>
    </row>
    <row r="119" spans="1:29" ht="15">
      <c r="A119" s="1215"/>
      <c r="B119" s="1220"/>
      <c r="C119" s="1228"/>
      <c r="D119" s="1217"/>
      <c r="E119" s="1217"/>
      <c r="F119" s="1217"/>
      <c r="G119" s="1217"/>
      <c r="H119" s="1217"/>
      <c r="I119" s="1217"/>
      <c r="J119" s="1217"/>
      <c r="K119" s="1217"/>
      <c r="L119" s="1217"/>
      <c r="M119" s="1266"/>
      <c r="N119" s="1267"/>
      <c r="O119" s="1267"/>
      <c r="P119" s="1575"/>
      <c r="Q119" s="1188"/>
      <c r="R119" s="1086"/>
      <c r="S119" s="1086"/>
      <c r="T119" s="1086"/>
      <c r="U119" s="1086"/>
      <c r="V119" s="1086"/>
      <c r="W119" s="1086"/>
      <c r="X119" s="1086"/>
      <c r="Y119" s="1086"/>
      <c r="Z119" s="1086"/>
      <c r="AA119" s="1086"/>
      <c r="AB119" s="1086"/>
      <c r="AC119" s="1086"/>
    </row>
    <row r="120" spans="1:29" s="972" customFormat="1">
      <c r="A120" s="1246"/>
      <c r="B120" s="1218" t="s">
        <v>1483</v>
      </c>
      <c r="C120" s="1243"/>
      <c r="D120" s="1243"/>
      <c r="E120" s="1243"/>
      <c r="F120" s="1243"/>
      <c r="G120" s="1227"/>
      <c r="H120" s="1227"/>
      <c r="I120" s="1227"/>
      <c r="J120" s="1227"/>
      <c r="K120" s="1227"/>
      <c r="L120" s="1275"/>
      <c r="M120" s="1276"/>
      <c r="N120" s="1277"/>
      <c r="O120" s="1277"/>
      <c r="P120" s="1580"/>
      <c r="Q120" s="1309"/>
      <c r="R120" s="1310"/>
      <c r="S120" s="1310"/>
      <c r="T120" s="1310"/>
      <c r="U120" s="1310"/>
      <c r="V120" s="1310"/>
      <c r="W120" s="1310"/>
      <c r="X120" s="1310"/>
      <c r="Y120" s="1310"/>
      <c r="Z120" s="1310"/>
      <c r="AA120" s="1310"/>
      <c r="AB120" s="1310"/>
      <c r="AC120" s="1310"/>
    </row>
    <row r="121" spans="1:29" s="972" customFormat="1" ht="15">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80"/>
      <c r="Q121" s="1309"/>
      <c r="R121" s="1310"/>
      <c r="S121" s="1310"/>
      <c r="T121" s="1310"/>
      <c r="U121" s="1310"/>
      <c r="V121" s="1310"/>
      <c r="W121" s="1310"/>
      <c r="X121" s="1310"/>
      <c r="Y121" s="1310"/>
      <c r="Z121" s="1310"/>
      <c r="AA121" s="1310"/>
      <c r="AB121" s="1310"/>
      <c r="AC121" s="1310"/>
    </row>
    <row r="122" spans="1:29">
      <c r="A122" s="1249"/>
      <c r="B122" s="1218" t="s">
        <v>1083</v>
      </c>
      <c r="C122" s="1226"/>
      <c r="D122" s="1226"/>
      <c r="E122" s="1226"/>
      <c r="F122" s="1243"/>
      <c r="G122" s="1243"/>
      <c r="H122" s="1243"/>
      <c r="I122" s="1243"/>
      <c r="J122" s="1243"/>
      <c r="K122" s="1294"/>
      <c r="L122" s="1295"/>
      <c r="M122" s="1296"/>
      <c r="N122" s="1264"/>
      <c r="O122" s="1264"/>
      <c r="P122" s="1575"/>
      <c r="Q122" s="1188"/>
      <c r="R122" s="1086"/>
      <c r="S122" s="1086"/>
      <c r="T122" s="1086"/>
      <c r="U122" s="1086"/>
      <c r="V122" s="1086"/>
      <c r="W122" s="1086"/>
      <c r="X122" s="1086"/>
      <c r="Y122" s="1086"/>
      <c r="Z122" s="1086"/>
      <c r="AA122" s="1086"/>
      <c r="AB122" s="1086"/>
      <c r="AC122" s="1086"/>
    </row>
    <row r="123" spans="1:29" ht="15">
      <c r="A123" s="1215"/>
      <c r="B123" s="1220"/>
      <c r="C123" s="1221">
        <v>100</v>
      </c>
      <c r="D123" s="1221">
        <f t="shared" ref="D123:M123" si="30">C123-$K42</f>
        <v>100</v>
      </c>
      <c r="E123" s="1221">
        <f t="shared" si="30"/>
        <v>100</v>
      </c>
      <c r="F123" s="1221">
        <f t="shared" si="30"/>
        <v>100</v>
      </c>
      <c r="G123" s="1221">
        <f t="shared" si="30"/>
        <v>100</v>
      </c>
      <c r="H123" s="1221">
        <f t="shared" si="30"/>
        <v>100</v>
      </c>
      <c r="I123" s="1221">
        <f t="shared" si="30"/>
        <v>100</v>
      </c>
      <c r="J123" s="1221">
        <f t="shared" si="30"/>
        <v>100</v>
      </c>
      <c r="K123" s="1221">
        <f t="shared" si="30"/>
        <v>100</v>
      </c>
      <c r="L123" s="1221">
        <f t="shared" si="30"/>
        <v>100</v>
      </c>
      <c r="M123" s="1271">
        <f t="shared" si="30"/>
        <v>100</v>
      </c>
      <c r="N123" s="1267"/>
      <c r="O123" s="1267"/>
      <c r="P123" s="1575"/>
      <c r="Q123" s="1188"/>
      <c r="R123" s="1086"/>
      <c r="S123" s="1086"/>
      <c r="T123" s="1086"/>
      <c r="U123" s="1086"/>
      <c r="V123" s="1086"/>
      <c r="W123" s="1086"/>
      <c r="X123" s="1086"/>
      <c r="Y123" s="1086"/>
      <c r="Z123" s="1086"/>
      <c r="AA123" s="1086"/>
      <c r="AB123" s="1086"/>
      <c r="AC123" s="1086"/>
    </row>
    <row r="124" spans="1:29">
      <c r="A124" s="1249"/>
      <c r="B124" s="1218" t="s">
        <v>1086</v>
      </c>
      <c r="C124" s="1237" t="s">
        <v>1104</v>
      </c>
      <c r="D124" s="1237" t="s">
        <v>1105</v>
      </c>
      <c r="E124" s="1237" t="s">
        <v>1106</v>
      </c>
      <c r="F124" s="1237" t="s">
        <v>1107</v>
      </c>
      <c r="G124" s="1237" t="s">
        <v>1108</v>
      </c>
      <c r="H124" s="1219"/>
      <c r="I124" s="1219"/>
      <c r="J124" s="1219"/>
      <c r="K124" s="1268"/>
      <c r="L124" s="1269"/>
      <c r="M124" s="1270"/>
      <c r="N124" s="1264"/>
      <c r="O124" s="1264"/>
      <c r="P124" s="1580"/>
      <c r="Q124" s="1188"/>
      <c r="R124" s="1086"/>
      <c r="S124" s="1086"/>
      <c r="T124" s="1086"/>
      <c r="U124" s="1086"/>
      <c r="V124" s="1086"/>
      <c r="W124" s="1086"/>
      <c r="X124" s="1086"/>
      <c r="Y124" s="1086"/>
      <c r="Z124" s="1086"/>
      <c r="AA124" s="1086"/>
      <c r="AB124" s="1086"/>
      <c r="AC124" s="1086"/>
    </row>
    <row r="125" spans="1:29" ht="15">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75"/>
      <c r="Q125" s="1188"/>
      <c r="R125" s="1086"/>
      <c r="S125" s="1086"/>
      <c r="T125" s="1086"/>
      <c r="U125" s="1086"/>
      <c r="V125" s="1086"/>
      <c r="W125" s="1086"/>
      <c r="X125" s="1086"/>
      <c r="Y125" s="1086"/>
      <c r="Z125" s="1086"/>
      <c r="AA125" s="1086"/>
      <c r="AB125" s="1086"/>
      <c r="AC125" s="1086"/>
    </row>
    <row r="126" spans="1:29" s="972" customFormat="1">
      <c r="A126" s="1246"/>
      <c r="B126" s="1218">
        <f>B44</f>
        <v>111</v>
      </c>
      <c r="C126" s="1226"/>
      <c r="D126" s="1226"/>
      <c r="E126" s="1226"/>
      <c r="F126" s="1226"/>
      <c r="G126" s="1226"/>
      <c r="H126" s="1227"/>
      <c r="I126" s="1227"/>
      <c r="J126" s="1227"/>
      <c r="K126" s="1227"/>
      <c r="L126" s="1275"/>
      <c r="M126" s="1276"/>
      <c r="N126" s="1277"/>
      <c r="O126" s="1277"/>
      <c r="P126" s="1580"/>
      <c r="Q126" s="1309"/>
      <c r="R126" s="1310"/>
      <c r="S126" s="1310"/>
      <c r="T126" s="1310"/>
      <c r="U126" s="1310"/>
      <c r="V126" s="1310"/>
      <c r="W126" s="1310"/>
      <c r="X126" s="1310"/>
      <c r="Y126" s="1310"/>
      <c r="Z126" s="1310"/>
      <c r="AA126" s="1310"/>
      <c r="AB126" s="1310"/>
      <c r="AC126" s="1310"/>
    </row>
    <row r="127" spans="1:29" s="972" customFormat="1" ht="15">
      <c r="A127" s="1225"/>
      <c r="B127" s="1220"/>
      <c r="C127" s="1228"/>
      <c r="D127" s="1217"/>
      <c r="E127" s="1217"/>
      <c r="F127" s="1217"/>
      <c r="G127" s="1228"/>
      <c r="H127" s="1229"/>
      <c r="I127" s="1229"/>
      <c r="J127" s="1229"/>
      <c r="K127" s="1229"/>
      <c r="L127" s="1229"/>
      <c r="M127" s="1279"/>
      <c r="N127" s="1277"/>
      <c r="O127" s="1277"/>
      <c r="P127" s="1580"/>
      <c r="Q127" s="1309"/>
      <c r="R127" s="1310"/>
      <c r="S127" s="1310"/>
      <c r="T127" s="1310"/>
      <c r="U127" s="1310"/>
      <c r="V127" s="1310"/>
      <c r="W127" s="1310"/>
      <c r="X127" s="1310"/>
      <c r="Y127" s="1310"/>
      <c r="Z127" s="1310"/>
      <c r="AA127" s="1310"/>
      <c r="AB127" s="1310"/>
      <c r="AC127" s="1310"/>
    </row>
    <row r="128" spans="1:29">
      <c r="A128" s="1249"/>
      <c r="B128" s="1218">
        <f>B45</f>
        <v>111</v>
      </c>
      <c r="C128" s="1226"/>
      <c r="D128" s="1226"/>
      <c r="E128" s="1226"/>
      <c r="F128" s="1226"/>
      <c r="G128" s="1243"/>
      <c r="H128" s="1243"/>
      <c r="I128" s="1243"/>
      <c r="J128" s="1243"/>
      <c r="K128" s="1294"/>
      <c r="L128" s="1295"/>
      <c r="M128" s="1296"/>
      <c r="N128" s="1264"/>
      <c r="O128" s="1264"/>
      <c r="P128" s="1575"/>
      <c r="Q128" s="1188"/>
      <c r="R128" s="1086"/>
      <c r="S128" s="1086"/>
      <c r="T128" s="1086"/>
      <c r="U128" s="1086"/>
      <c r="V128" s="1086"/>
      <c r="W128" s="1086"/>
      <c r="X128" s="1086"/>
      <c r="Y128" s="1086"/>
      <c r="Z128" s="1086"/>
      <c r="AA128" s="1086"/>
      <c r="AB128" s="1086"/>
      <c r="AC128" s="1086"/>
    </row>
    <row r="129" spans="1:29" ht="15">
      <c r="A129" s="1215"/>
      <c r="B129" s="1220"/>
      <c r="C129" s="1228"/>
      <c r="D129" s="1217"/>
      <c r="E129" s="1217"/>
      <c r="F129" s="1217"/>
      <c r="G129" s="1217"/>
      <c r="H129" s="1217"/>
      <c r="I129" s="1217"/>
      <c r="J129" s="1217"/>
      <c r="K129" s="1217"/>
      <c r="L129" s="1217"/>
      <c r="M129" s="1266"/>
      <c r="N129" s="1267"/>
      <c r="O129" s="1267"/>
      <c r="P129" s="1575"/>
      <c r="Q129" s="1188"/>
      <c r="R129" s="1086"/>
      <c r="S129" s="1086"/>
      <c r="T129" s="1086"/>
      <c r="U129" s="1086"/>
      <c r="V129" s="1086"/>
      <c r="W129" s="1086"/>
      <c r="X129" s="1086"/>
      <c r="Y129" s="1086"/>
      <c r="Z129" s="1086"/>
      <c r="AA129" s="1086"/>
      <c r="AB129" s="1086"/>
      <c r="AC129" s="1086"/>
    </row>
    <row r="130" spans="1:29">
      <c r="A130" s="1249"/>
      <c r="B130" s="1222">
        <f>B46</f>
        <v>111</v>
      </c>
      <c r="C130" s="1226"/>
      <c r="D130" s="1226"/>
      <c r="E130" s="1226"/>
      <c r="F130" s="1226"/>
      <c r="G130" s="1244"/>
      <c r="H130" s="1244"/>
      <c r="I130" s="1244"/>
      <c r="J130" s="1244"/>
      <c r="K130" s="1210"/>
      <c r="L130" s="1256"/>
      <c r="M130" s="1299"/>
      <c r="N130" s="1264"/>
      <c r="O130" s="1264"/>
      <c r="P130" s="1575"/>
      <c r="Q130" s="1188"/>
      <c r="R130" s="1086"/>
      <c r="S130" s="1086"/>
      <c r="T130" s="1086"/>
      <c r="U130" s="1086"/>
      <c r="V130" s="1086"/>
      <c r="W130" s="1086"/>
      <c r="X130" s="1086"/>
      <c r="Y130" s="1086"/>
      <c r="Z130" s="1086"/>
      <c r="AA130" s="1086"/>
      <c r="AB130" s="1086"/>
      <c r="AC130" s="1086"/>
    </row>
    <row r="131" spans="1:29" ht="15">
      <c r="A131" s="1533"/>
      <c r="B131" s="1232"/>
      <c r="C131" s="1233"/>
      <c r="D131" s="1233"/>
      <c r="E131" s="1233"/>
      <c r="F131" s="1233"/>
      <c r="G131" s="1245"/>
      <c r="H131" s="1245"/>
      <c r="I131" s="1245"/>
      <c r="J131" s="1245"/>
      <c r="K131" s="1245"/>
      <c r="L131" s="1245"/>
      <c r="M131" s="1300"/>
      <c r="N131" s="1267"/>
      <c r="O131" s="1267"/>
      <c r="P131" s="1575"/>
      <c r="Q131" s="1188"/>
      <c r="R131" s="1086"/>
      <c r="S131" s="1086"/>
      <c r="T131" s="1086"/>
      <c r="U131" s="1086"/>
      <c r="V131" s="1086"/>
      <c r="W131" s="1086"/>
      <c r="X131" s="1086"/>
      <c r="Y131" s="1086"/>
      <c r="Z131" s="1086"/>
      <c r="AA131" s="1086"/>
      <c r="AB131" s="1086"/>
      <c r="AC131" s="10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6" stopIfTrue="1">
      <formula>$F$52="超过30%"</formula>
    </cfRule>
  </conditionalFormatting>
  <conditionalFormatting sqref="G52">
    <cfRule type="expression" dxfId="151" priority="12" stopIfTrue="1">
      <formula>$H$52="超过30%"</formula>
    </cfRule>
  </conditionalFormatting>
  <conditionalFormatting sqref="I52">
    <cfRule type="expression" dxfId="150" priority="7" stopIfTrue="1">
      <formula>$J$52="超过30%"</formula>
    </cfRule>
  </conditionalFormatting>
  <conditionalFormatting sqref="J52">
    <cfRule type="containsText" dxfId="149" priority="10" stopIfTrue="1" operator="containsText" text="超过">
      <formula>NOT(ISERROR(SEARCH("超过",J52)))</formula>
    </cfRule>
  </conditionalFormatting>
  <conditionalFormatting sqref="E53">
    <cfRule type="expression" dxfId="148" priority="15" stopIfTrue="1">
      <formula>$F$53="超过20%"</formula>
    </cfRule>
  </conditionalFormatting>
  <conditionalFormatting sqref="G53">
    <cfRule type="expression" dxfId="147" priority="11" stopIfTrue="1">
      <formula>$H$53="超过20%"</formula>
    </cfRule>
  </conditionalFormatting>
  <conditionalFormatting sqref="I53">
    <cfRule type="expression" dxfId="146" priority="6" stopIfTrue="1">
      <formula>$J$53="超过20%"</formula>
    </cfRule>
  </conditionalFormatting>
  <conditionalFormatting sqref="J53">
    <cfRule type="containsText" dxfId="145" priority="8" stopIfTrue="1" operator="containsText" text="超过">
      <formula>NOT(ISERROR(SEARCH("超过",J53)))</formula>
    </cfRule>
  </conditionalFormatting>
  <conditionalFormatting sqref="E54">
    <cfRule type="expression" dxfId="144" priority="14" stopIfTrue="1">
      <formula>$F$54="超过30%"</formula>
    </cfRule>
  </conditionalFormatting>
  <conditionalFormatting sqref="F54">
    <cfRule type="containsText" dxfId="143" priority="18" stopIfTrue="1" operator="containsText" text="超过">
      <formula>NOT(ISERROR(SEARCH("超过",F54)))</formula>
    </cfRule>
  </conditionalFormatting>
  <conditionalFormatting sqref="G54">
    <cfRule type="expression" dxfId="142" priority="13" stopIfTrue="1">
      <formula>$H$54="超过30%"</formula>
    </cfRule>
  </conditionalFormatting>
  <conditionalFormatting sqref="H54">
    <cfRule type="containsText" dxfId="141" priority="19" stopIfTrue="1" operator="containsText" text="超过">
      <formula>NOT(ISERROR(SEARCH("超过",H54)))</formula>
    </cfRule>
  </conditionalFormatting>
  <conditionalFormatting sqref="I54">
    <cfRule type="expression" dxfId="140" priority="5" stopIfTrue="1">
      <formula>$J$54="超过30%"</formula>
    </cfRule>
  </conditionalFormatting>
  <conditionalFormatting sqref="J54">
    <cfRule type="containsText" dxfId="139" priority="9" stopIfTrue="1" operator="containsText" text="超过">
      <formula>NOT(ISERROR(SEARCH("超过",J54)))</formula>
    </cfRule>
  </conditionalFormatting>
  <conditionalFormatting sqref="F7:F46 H7:H46 J7:J46">
    <cfRule type="cellIs" dxfId="138" priority="1" operator="notEqual">
      <formula>100</formula>
    </cfRule>
  </conditionalFormatting>
  <conditionalFormatting sqref="F52 H52">
    <cfRule type="containsText" dxfId="137" priority="21" stopIfTrue="1" operator="containsText" text="超过">
      <formula>NOT(ISERROR(SEARCH("超过",F52)))</formula>
    </cfRule>
  </conditionalFormatting>
  <conditionalFormatting sqref="F53 H53">
    <cfRule type="containsText" dxfId="136"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976" customWidth="1"/>
    <col min="2" max="2" width="15.75" style="976" customWidth="1"/>
    <col min="3" max="3" width="15.6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441"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1019</v>
      </c>
      <c r="B1" s="1498" t="s">
        <v>1484</v>
      </c>
      <c r="C1" s="1365" t="s">
        <v>1021</v>
      </c>
      <c r="D1" s="1366"/>
      <c r="E1" s="1367"/>
      <c r="F1" s="1368"/>
      <c r="G1" s="1369" t="s">
        <v>1023</v>
      </c>
      <c r="H1" s="1367"/>
      <c r="I1" s="1367"/>
      <c r="J1" s="1367"/>
      <c r="K1" s="1420"/>
      <c r="L1" s="1421"/>
      <c r="M1" s="1422"/>
      <c r="N1" s="1422"/>
      <c r="O1" s="1422"/>
      <c r="P1" s="1365"/>
      <c r="Q1" s="1365"/>
      <c r="R1" s="1365"/>
      <c r="S1" s="1365"/>
      <c r="T1" s="1365"/>
      <c r="U1" s="1365"/>
      <c r="V1" s="1365"/>
      <c r="W1" s="1365"/>
      <c r="X1" s="1365"/>
      <c r="Y1" s="1365"/>
      <c r="Z1" s="1365"/>
      <c r="AA1" s="1365"/>
      <c r="AB1" s="1365"/>
      <c r="AC1" s="1428"/>
    </row>
    <row r="2" spans="1:29" s="969" customFormat="1" ht="28.5" customHeight="1">
      <c r="A2" s="1370" t="s">
        <v>923</v>
      </c>
      <c r="B2" s="1371" t="e">
        <f ca="1">IF(C2="——",ROUND(C50*D3/10000,0),ROUND(C50*D3/10000,0)-D2)</f>
        <v>#DIV/0!</v>
      </c>
      <c r="C2" s="1372"/>
      <c r="D2" s="1540" t="e">
        <f ca="1">SUMIF(INDIRECT("'"&amp;F2&amp;"'"&amp;"!A:A"),"承租人权益价值",INDIRECT("'"&amp;F2&amp;"'"&amp;"!c:c"))</f>
        <v>#REF!</v>
      </c>
      <c r="E2" s="1373" t="s">
        <v>924</v>
      </c>
      <c r="F2" s="1374"/>
      <c r="G2" s="985"/>
      <c r="H2" s="985"/>
      <c r="I2" s="985"/>
      <c r="J2" s="985"/>
      <c r="K2" s="985"/>
      <c r="L2" s="1131"/>
      <c r="M2" s="1132"/>
      <c r="N2" s="1132"/>
      <c r="O2" s="1132"/>
      <c r="P2" s="1129"/>
      <c r="Q2" s="1129"/>
      <c r="R2" s="1129"/>
      <c r="S2" s="1129"/>
      <c r="T2" s="1129"/>
      <c r="U2" s="1129"/>
      <c r="V2" s="1129"/>
      <c r="W2" s="1129"/>
      <c r="X2" s="1129"/>
      <c r="Y2" s="1129"/>
      <c r="Z2" s="1129"/>
      <c r="AA2" s="1129"/>
      <c r="AB2" s="1129"/>
      <c r="AC2" s="1189"/>
    </row>
    <row r="3" spans="1:29" s="969" customFormat="1" ht="28.5" customHeight="1">
      <c r="A3" s="241" t="s">
        <v>925</v>
      </c>
      <c r="B3" s="987" t="e">
        <f ca="1">IF(C2="——",C50,ROUND(B2*10000/D3,0))</f>
        <v>#DIV/0!</v>
      </c>
      <c r="C3" s="1375" t="s">
        <v>1024</v>
      </c>
      <c r="D3" s="1376">
        <f>IF(D1="",'数据-汇总表'!E3,SUMIF('数据-汇总表'!$C19:$C33,D1,'数据-汇总表'!$E19:$E33))</f>
        <v>1</v>
      </c>
      <c r="E3" s="1541"/>
      <c r="F3" s="986"/>
      <c r="G3" s="985"/>
      <c r="H3" s="985"/>
      <c r="I3" s="985"/>
      <c r="J3" s="985"/>
      <c r="K3" s="1130"/>
      <c r="L3" s="1131"/>
      <c r="M3" s="1132"/>
      <c r="N3" s="1132"/>
      <c r="O3" s="1132"/>
      <c r="P3" s="1129"/>
      <c r="Q3" s="1129"/>
      <c r="R3" s="1129"/>
      <c r="S3" s="1129"/>
      <c r="T3" s="1129"/>
      <c r="U3" s="1129"/>
      <c r="V3" s="1129"/>
      <c r="W3" s="1129"/>
      <c r="X3" s="1129"/>
      <c r="Y3" s="1129"/>
      <c r="Z3" s="1129"/>
      <c r="AA3" s="1129"/>
      <c r="AB3" s="1129"/>
      <c r="AC3" s="1189"/>
    </row>
    <row r="4" spans="1:29" ht="15">
      <c r="A4" s="989" t="s">
        <v>1025</v>
      </c>
      <c r="B4" s="990"/>
      <c r="C4" s="3443" t="s">
        <v>1026</v>
      </c>
      <c r="D4" s="3444"/>
      <c r="E4" s="3445" t="s">
        <v>1027</v>
      </c>
      <c r="F4" s="3446"/>
      <c r="G4" s="3443" t="s">
        <v>1028</v>
      </c>
      <c r="H4" s="3444"/>
      <c r="I4" s="3443" t="s">
        <v>1029</v>
      </c>
      <c r="J4" s="3444"/>
      <c r="K4" s="1133" t="s">
        <v>1030</v>
      </c>
      <c r="L4" s="1134"/>
      <c r="M4" s="1135"/>
      <c r="N4" s="1135"/>
      <c r="O4" s="1135"/>
      <c r="P4" s="3497" t="s">
        <v>1031</v>
      </c>
      <c r="Q4" s="3498"/>
      <c r="R4" s="3501" t="s">
        <v>1027</v>
      </c>
      <c r="S4" s="3502"/>
      <c r="T4" s="3501" t="s">
        <v>1028</v>
      </c>
      <c r="U4" s="3502"/>
      <c r="V4" s="3503" t="s">
        <v>1029</v>
      </c>
      <c r="W4" s="3503"/>
      <c r="X4" s="1551"/>
      <c r="Y4" s="3501" t="s">
        <v>1031</v>
      </c>
      <c r="Z4" s="3502"/>
      <c r="AA4" s="3493" t="s">
        <v>1027</v>
      </c>
      <c r="AB4" s="3493" t="s">
        <v>1028</v>
      </c>
      <c r="AC4" s="3494" t="s">
        <v>1029</v>
      </c>
    </row>
    <row r="5" spans="1:29" ht="15">
      <c r="A5" s="991"/>
      <c r="B5" s="992"/>
      <c r="C5" s="3447" t="s">
        <v>1032</v>
      </c>
      <c r="D5" s="3448"/>
      <c r="E5" s="3449" t="s">
        <v>1469</v>
      </c>
      <c r="F5" s="3450"/>
      <c r="G5" s="3447" t="s">
        <v>1470</v>
      </c>
      <c r="H5" s="3448"/>
      <c r="I5" s="3447" t="s">
        <v>1471</v>
      </c>
      <c r="J5" s="3448"/>
      <c r="K5" s="1133"/>
      <c r="L5" s="1134"/>
      <c r="M5" s="1135"/>
      <c r="N5" s="1135"/>
      <c r="O5" s="1135"/>
      <c r="P5" s="3499"/>
      <c r="Q5" s="3480"/>
      <c r="R5" s="3485"/>
      <c r="S5" s="3486"/>
      <c r="T5" s="3485"/>
      <c r="U5" s="3486"/>
      <c r="V5" s="3459"/>
      <c r="W5" s="3459"/>
      <c r="X5" s="1177"/>
      <c r="Y5" s="3485"/>
      <c r="Z5" s="3486"/>
      <c r="AA5" s="3475"/>
      <c r="AB5" s="3475"/>
      <c r="AC5" s="3495"/>
    </row>
    <row r="6" spans="1:29" ht="15">
      <c r="A6" s="993"/>
      <c r="B6" s="994"/>
      <c r="C6" s="3451" t="s">
        <v>1033</v>
      </c>
      <c r="D6" s="3452"/>
      <c r="E6" s="3453" t="s">
        <v>1033</v>
      </c>
      <c r="F6" s="3454"/>
      <c r="G6" s="3451" t="s">
        <v>1033</v>
      </c>
      <c r="H6" s="3452"/>
      <c r="I6" s="3451" t="s">
        <v>1033</v>
      </c>
      <c r="J6" s="3452"/>
      <c r="K6" s="1133" t="s">
        <v>1034</v>
      </c>
      <c r="L6" s="1134"/>
      <c r="M6" s="1135"/>
      <c r="N6" s="1135"/>
      <c r="O6" s="1135"/>
      <c r="P6" s="3500"/>
      <c r="Q6" s="3482"/>
      <c r="R6" s="3485"/>
      <c r="S6" s="3486"/>
      <c r="T6" s="3487"/>
      <c r="U6" s="3488"/>
      <c r="V6" s="3459"/>
      <c r="W6" s="3459"/>
      <c r="X6" s="1177"/>
      <c r="Y6" s="3487"/>
      <c r="Z6" s="3488"/>
      <c r="AA6" s="3476"/>
      <c r="AB6" s="3476"/>
      <c r="AC6" s="3496"/>
    </row>
    <row r="7" spans="1:29" s="970" customFormat="1" ht="15">
      <c r="A7" s="995" t="s">
        <v>1035</v>
      </c>
      <c r="B7" s="996"/>
      <c r="C7" s="997">
        <f>'数据-取费表'!B2</f>
        <v>44347</v>
      </c>
      <c r="D7" s="998">
        <v>100</v>
      </c>
      <c r="E7" s="999"/>
      <c r="F7" s="1000">
        <f>SUMIF(59:59,YEAR(E7)&amp;"-"&amp;MONTH(E7),60:60)</f>
        <v>0</v>
      </c>
      <c r="G7" s="999"/>
      <c r="H7" s="998">
        <f>SUMIF(59:59,YEAR(G7)&amp;"-"&amp;MONTH(G7),60:60)</f>
        <v>0</v>
      </c>
      <c r="I7" s="999"/>
      <c r="J7" s="998">
        <f>SUMIF(59:59,YEAR(I7)&amp;"-"&amp;MONTH(I7),60:60)</f>
        <v>0</v>
      </c>
      <c r="K7" s="1136"/>
      <c r="L7" s="1137"/>
      <c r="M7" s="1138"/>
      <c r="N7" s="1138"/>
      <c r="O7" s="1138"/>
      <c r="P7" s="3489" t="s">
        <v>1036</v>
      </c>
      <c r="Q7" s="3456"/>
      <c r="R7" s="1178" t="s">
        <v>1037</v>
      </c>
      <c r="S7" s="1179">
        <f t="shared" ref="S7:S15" si="0">F7</f>
        <v>0</v>
      </c>
      <c r="T7" s="1178" t="s">
        <v>1037</v>
      </c>
      <c r="U7" s="1179">
        <f t="shared" ref="U7:U15" si="1">H7</f>
        <v>0</v>
      </c>
      <c r="V7" s="1178" t="s">
        <v>1037</v>
      </c>
      <c r="W7" s="1179">
        <f t="shared" ref="W7:W15" si="2">J7</f>
        <v>0</v>
      </c>
      <c r="X7" s="1180"/>
      <c r="Y7" s="3455" t="s">
        <v>1036</v>
      </c>
      <c r="Z7" s="3457"/>
      <c r="AA7" s="1192" t="e">
        <f>D7/F7</f>
        <v>#DIV/0!</v>
      </c>
      <c r="AB7" s="1192" t="e">
        <f>D7/H7</f>
        <v>#DIV/0!</v>
      </c>
      <c r="AC7" s="1553" t="e">
        <f>D7/J7</f>
        <v>#DIV/0!</v>
      </c>
    </row>
    <row r="8" spans="1:29" s="970" customFormat="1" ht="15">
      <c r="A8" s="995" t="s">
        <v>1038</v>
      </c>
      <c r="B8" s="996"/>
      <c r="C8" s="1002" t="s">
        <v>1039</v>
      </c>
      <c r="D8" s="998">
        <v>100</v>
      </c>
      <c r="E8" s="1002"/>
      <c r="F8" s="1000">
        <f>SUMIF(62:62,E8,63:63)-SUMIF(62:62,C8,63:63)+100</f>
        <v>0</v>
      </c>
      <c r="G8" s="1002"/>
      <c r="H8" s="998">
        <f>SUMIF(62:62,G8,63:63)-SUMIF(62:62,C8,63:63)+100</f>
        <v>0</v>
      </c>
      <c r="I8" s="1002"/>
      <c r="J8" s="998">
        <f>SUMIF(62:62,I8,63:63)-SUMIF(62:62,C8,63:63)+100</f>
        <v>0</v>
      </c>
      <c r="K8" s="1136"/>
      <c r="L8" s="1137"/>
      <c r="M8" s="1138"/>
      <c r="N8" s="1138"/>
      <c r="O8" s="1138"/>
      <c r="P8" s="3489" t="s">
        <v>1041</v>
      </c>
      <c r="Q8" s="3457"/>
      <c r="R8" s="1178" t="s">
        <v>1037</v>
      </c>
      <c r="S8" s="1179">
        <f t="shared" si="0"/>
        <v>0</v>
      </c>
      <c r="T8" s="1178" t="s">
        <v>1037</v>
      </c>
      <c r="U8" s="1179">
        <f t="shared" si="1"/>
        <v>0</v>
      </c>
      <c r="V8" s="1178" t="s">
        <v>1037</v>
      </c>
      <c r="W8" s="1179">
        <f t="shared" si="2"/>
        <v>0</v>
      </c>
      <c r="X8" s="1180"/>
      <c r="Y8" s="3455" t="s">
        <v>1041</v>
      </c>
      <c r="Z8" s="3457"/>
      <c r="AA8" s="1192" t="e">
        <f t="shared" ref="AA8:AA47" si="3">D8/F8</f>
        <v>#DIV/0!</v>
      </c>
      <c r="AB8" s="1192" t="e">
        <f t="shared" ref="AB8:AB47" si="4">D8/H8</f>
        <v>#DIV/0!</v>
      </c>
      <c r="AC8" s="1553" t="e">
        <f t="shared" ref="AC8:AC47" si="5">D8/J8</f>
        <v>#DIV/0!</v>
      </c>
    </row>
    <row r="9" spans="1:29" s="970" customFormat="1">
      <c r="A9" s="1003" t="s">
        <v>1042</v>
      </c>
      <c r="B9" s="1004" t="s">
        <v>1043</v>
      </c>
      <c r="C9" s="1377"/>
      <c r="D9" s="1006">
        <v>100</v>
      </c>
      <c r="E9" s="1378"/>
      <c r="F9" s="1006">
        <f>SUMIF(64:64,E9,65:65)-SUMIF(64:64,C9,65:65)+100</f>
        <v>100</v>
      </c>
      <c r="G9" s="1446"/>
      <c r="H9" s="1006">
        <f>SUMIF(64:64,G9,65:65)-SUMIF(64:64,C9,65:65)+100</f>
        <v>100</v>
      </c>
      <c r="I9" s="1446"/>
      <c r="J9" s="1006">
        <f>SUMIF(64:64,I9,65:65)-SUMIF(64:64,C9,65:65)+100</f>
        <v>100</v>
      </c>
      <c r="K9" s="1136"/>
      <c r="L9" s="1137"/>
      <c r="M9" s="1138"/>
      <c r="N9" s="1138"/>
      <c r="O9" s="1138"/>
      <c r="P9" s="3460" t="s">
        <v>1045</v>
      </c>
      <c r="Q9" s="1182" t="str">
        <f t="shared" ref="Q9:Q15" si="6">B9</f>
        <v>用途</v>
      </c>
      <c r="R9" s="1178" t="s">
        <v>1037</v>
      </c>
      <c r="S9" s="1179">
        <f t="shared" si="0"/>
        <v>100</v>
      </c>
      <c r="T9" s="1178" t="s">
        <v>1037</v>
      </c>
      <c r="U9" s="1179">
        <f t="shared" si="1"/>
        <v>100</v>
      </c>
      <c r="V9" s="1178" t="s">
        <v>1037</v>
      </c>
      <c r="W9" s="1179">
        <f t="shared" si="2"/>
        <v>100</v>
      </c>
      <c r="X9" s="1180"/>
      <c r="Y9" s="3411" t="s">
        <v>1046</v>
      </c>
      <c r="Z9" s="1193" t="str">
        <f t="shared" ref="Z9:Z15" si="7">Q9</f>
        <v>用途</v>
      </c>
      <c r="AA9" s="1192">
        <f t="shared" si="3"/>
        <v>1</v>
      </c>
      <c r="AB9" s="1192">
        <f t="shared" si="4"/>
        <v>1</v>
      </c>
      <c r="AC9" s="1553">
        <f t="shared" si="5"/>
        <v>1</v>
      </c>
    </row>
    <row r="10" spans="1:29" s="971" customFormat="1" ht="27">
      <c r="A10" s="1007"/>
      <c r="B10" s="1008" t="s">
        <v>1047</v>
      </c>
      <c r="C10" s="1380"/>
      <c r="D10" s="1010">
        <v>100</v>
      </c>
      <c r="E10" s="1380"/>
      <c r="F10" s="1010">
        <f>SUMIF(66:66,E10,67:67)-SUMIF(66:66,C10,67:67)+100</f>
        <v>100</v>
      </c>
      <c r="G10" s="1449"/>
      <c r="H10" s="1010">
        <f>SUMIF(66:66,G10,67:67)-SUMIF(66:66,C10,67:67)+100</f>
        <v>100</v>
      </c>
      <c r="I10" s="1380"/>
      <c r="J10" s="1010">
        <f>SUMIF(66:66,I10,67:67)-SUMIF(66:66,C10,67:67)+100</f>
        <v>100</v>
      </c>
      <c r="K10" s="1153"/>
      <c r="L10" s="1141"/>
      <c r="M10" s="1142"/>
      <c r="N10" s="1142"/>
      <c r="O10" s="1142"/>
      <c r="P10" s="3460"/>
      <c r="Q10" s="1182" t="str">
        <f t="shared" si="6"/>
        <v>土地使用年限（年）</v>
      </c>
      <c r="R10" s="1178" t="s">
        <v>1037</v>
      </c>
      <c r="S10" s="1179">
        <f t="shared" si="0"/>
        <v>100</v>
      </c>
      <c r="T10" s="1178" t="s">
        <v>1037</v>
      </c>
      <c r="U10" s="1179">
        <f t="shared" si="1"/>
        <v>100</v>
      </c>
      <c r="V10" s="1178" t="s">
        <v>1037</v>
      </c>
      <c r="W10" s="1179">
        <f t="shared" si="2"/>
        <v>100</v>
      </c>
      <c r="X10" s="1180"/>
      <c r="Y10" s="3411"/>
      <c r="Z10" s="1193" t="str">
        <f t="shared" si="7"/>
        <v>土地使用年限（年）</v>
      </c>
      <c r="AA10" s="1192">
        <f t="shared" si="3"/>
        <v>1</v>
      </c>
      <c r="AB10" s="1192">
        <f t="shared" si="4"/>
        <v>1</v>
      </c>
      <c r="AC10" s="1553">
        <f t="shared" si="5"/>
        <v>1</v>
      </c>
    </row>
    <row r="11" spans="1:29" ht="15">
      <c r="A11" s="1011"/>
      <c r="B11" s="1008" t="s">
        <v>1049</v>
      </c>
      <c r="C11" s="1012"/>
      <c r="D11" s="1010">
        <v>100</v>
      </c>
      <c r="E11" s="1012"/>
      <c r="F11" s="1010" t="e">
        <f>LOOKUP(E11,69:69,70:70)-LOOKUP(C11,69:69,70:70)+100</f>
        <v>#N/A</v>
      </c>
      <c r="G11" s="1013"/>
      <c r="H11" s="1010" t="e">
        <f>LOOKUP(G11,69:69,70:70)-LOOKUP(C11,69:69,70:70)+100</f>
        <v>#N/A</v>
      </c>
      <c r="I11" s="1012"/>
      <c r="J11" s="1010" t="e">
        <f>LOOKUP(I11,69:69,70:70)-LOOKUP(C11,69:69,70:70)+100</f>
        <v>#N/A</v>
      </c>
      <c r="K11" s="1153"/>
      <c r="L11" s="1145"/>
      <c r="M11" s="1135"/>
      <c r="N11" s="1135"/>
      <c r="O11" s="1135"/>
      <c r="P11" s="3460"/>
      <c r="Q11" s="1182" t="str">
        <f t="shared" si="6"/>
        <v>容积率</v>
      </c>
      <c r="R11" s="1178" t="s">
        <v>1037</v>
      </c>
      <c r="S11" s="1179" t="e">
        <f t="shared" si="0"/>
        <v>#N/A</v>
      </c>
      <c r="T11" s="1178" t="s">
        <v>1037</v>
      </c>
      <c r="U11" s="1179" t="e">
        <f t="shared" si="1"/>
        <v>#N/A</v>
      </c>
      <c r="V11" s="1178" t="s">
        <v>1037</v>
      </c>
      <c r="W11" s="1179" t="e">
        <f t="shared" si="2"/>
        <v>#N/A</v>
      </c>
      <c r="X11" s="1180"/>
      <c r="Y11" s="3411"/>
      <c r="Z11" s="1193" t="str">
        <f t="shared" si="7"/>
        <v>容积率</v>
      </c>
      <c r="AA11" s="1192" t="e">
        <f t="shared" si="3"/>
        <v>#N/A</v>
      </c>
      <c r="AB11" s="1192" t="e">
        <f t="shared" si="4"/>
        <v>#N/A</v>
      </c>
      <c r="AC11" s="1553" t="e">
        <f t="shared" si="5"/>
        <v>#N/A</v>
      </c>
    </row>
    <row r="12" spans="1:29" s="970" customFormat="1" ht="15">
      <c r="A12" s="1014"/>
      <c r="B12" s="1015">
        <v>111</v>
      </c>
      <c r="C12" s="1009"/>
      <c r="D12" s="1016">
        <v>100</v>
      </c>
      <c r="E12" s="1009"/>
      <c r="F12" s="1010">
        <f>SUMIF(71:71,E12,72:72)-SUMIF(71:71,C12,72:72)+100</f>
        <v>100</v>
      </c>
      <c r="G12" s="1542"/>
      <c r="H12" s="1010">
        <f>SUMIF(71:71,G12,72:72)-SUMIF(71:71,C12,72:72)+100</f>
        <v>100</v>
      </c>
      <c r="I12" s="1009"/>
      <c r="J12" s="1010">
        <f>SUMIF(71:71,I12,72:72)-SUMIF(71:71,C12,72:72)+100</f>
        <v>100</v>
      </c>
      <c r="K12" s="1152"/>
      <c r="L12" s="1137"/>
      <c r="M12" s="1138"/>
      <c r="N12" s="1138"/>
      <c r="O12" s="1138"/>
      <c r="P12" s="3460"/>
      <c r="Q12" s="1182">
        <f t="shared" si="6"/>
        <v>111</v>
      </c>
      <c r="R12" s="1178" t="s">
        <v>1037</v>
      </c>
      <c r="S12" s="1179">
        <f t="shared" si="0"/>
        <v>100</v>
      </c>
      <c r="T12" s="1178" t="s">
        <v>1037</v>
      </c>
      <c r="U12" s="1179">
        <f t="shared" si="1"/>
        <v>100</v>
      </c>
      <c r="V12" s="1178" t="s">
        <v>1037</v>
      </c>
      <c r="W12" s="1179">
        <f t="shared" si="2"/>
        <v>100</v>
      </c>
      <c r="X12" s="1180"/>
      <c r="Y12" s="3411"/>
      <c r="Z12" s="1193">
        <f t="shared" si="7"/>
        <v>111</v>
      </c>
      <c r="AA12" s="1192">
        <f t="shared" si="3"/>
        <v>1</v>
      </c>
      <c r="AB12" s="1192">
        <f t="shared" si="4"/>
        <v>1</v>
      </c>
      <c r="AC12" s="1553">
        <f t="shared" si="5"/>
        <v>1</v>
      </c>
    </row>
    <row r="13" spans="1:29" ht="15">
      <c r="A13" s="1011"/>
      <c r="B13" s="1015">
        <v>111</v>
      </c>
      <c r="C13" s="1019"/>
      <c r="D13" s="1020">
        <v>100</v>
      </c>
      <c r="E13" s="1009"/>
      <c r="F13" s="1010">
        <f>SUMIF(73:73,E13,74:74)-SUMIF(73:73,C13,74:74)+100</f>
        <v>100</v>
      </c>
      <c r="G13" s="1542"/>
      <c r="H13" s="1020">
        <f>SUMIF(73:73,G13,74:74)-SUMIF(73:73,C13,74:74)+100</f>
        <v>100</v>
      </c>
      <c r="I13" s="1009"/>
      <c r="J13" s="1020">
        <f>SUMIF(73:73,I13,74:74)-SUMIF(73:73,C13,74:74)+100</f>
        <v>100</v>
      </c>
      <c r="K13" s="1152"/>
      <c r="L13" s="1147"/>
      <c r="M13" s="1135"/>
      <c r="N13" s="1135"/>
      <c r="O13" s="1135"/>
      <c r="P13" s="3460"/>
      <c r="Q13" s="1182">
        <f t="shared" si="6"/>
        <v>111</v>
      </c>
      <c r="R13" s="1178" t="s">
        <v>1037</v>
      </c>
      <c r="S13" s="1179">
        <f t="shared" si="0"/>
        <v>100</v>
      </c>
      <c r="T13" s="1178" t="s">
        <v>1037</v>
      </c>
      <c r="U13" s="1179">
        <f t="shared" si="1"/>
        <v>100</v>
      </c>
      <c r="V13" s="1178" t="s">
        <v>1037</v>
      </c>
      <c r="W13" s="1179">
        <f t="shared" si="2"/>
        <v>100</v>
      </c>
      <c r="X13" s="1180"/>
      <c r="Y13" s="3411"/>
      <c r="Z13" s="1193">
        <f t="shared" si="7"/>
        <v>111</v>
      </c>
      <c r="AA13" s="1192">
        <f t="shared" si="3"/>
        <v>1</v>
      </c>
      <c r="AB13" s="1192">
        <f t="shared" si="4"/>
        <v>1</v>
      </c>
      <c r="AC13" s="1553">
        <f t="shared" si="5"/>
        <v>1</v>
      </c>
    </row>
    <row r="14" spans="1:29" ht="15">
      <c r="A14" s="1021"/>
      <c r="B14" s="1022">
        <v>111</v>
      </c>
      <c r="C14" s="1023"/>
      <c r="D14" s="1024">
        <v>100</v>
      </c>
      <c r="E14" s="1458"/>
      <c r="F14" s="1024">
        <f>SUMIF(75:75,E14,76:76)-SUMIF(75:75,C14,76:76)+100</f>
        <v>100</v>
      </c>
      <c r="G14" s="1542"/>
      <c r="H14" s="1024">
        <f>SUMIF(75:75,G14,76:76)-SUMIF(75:75,C14,76:76)+100</f>
        <v>100</v>
      </c>
      <c r="I14" s="1009"/>
      <c r="J14" s="1024">
        <f>SUMIF(75:75,I14,76:76)-SUMIF(75:75,C14,76:76)+100</f>
        <v>100</v>
      </c>
      <c r="K14" s="1152"/>
      <c r="L14" s="1147"/>
      <c r="M14" s="1135"/>
      <c r="N14" s="1135"/>
      <c r="O14" s="1135"/>
      <c r="P14" s="3460"/>
      <c r="Q14" s="1182">
        <f t="shared" si="6"/>
        <v>111</v>
      </c>
      <c r="R14" s="1178" t="s">
        <v>1037</v>
      </c>
      <c r="S14" s="1179">
        <f t="shared" si="0"/>
        <v>100</v>
      </c>
      <c r="T14" s="1178" t="s">
        <v>1037</v>
      </c>
      <c r="U14" s="1179">
        <f t="shared" si="1"/>
        <v>100</v>
      </c>
      <c r="V14" s="1178" t="s">
        <v>1037</v>
      </c>
      <c r="W14" s="1179">
        <f t="shared" si="2"/>
        <v>100</v>
      </c>
      <c r="X14" s="1180"/>
      <c r="Y14" s="3411"/>
      <c r="Z14" s="1193">
        <f t="shared" si="7"/>
        <v>111</v>
      </c>
      <c r="AA14" s="1192">
        <f t="shared" si="3"/>
        <v>1</v>
      </c>
      <c r="AB14" s="1192">
        <f t="shared" si="4"/>
        <v>1</v>
      </c>
      <c r="AC14" s="1553">
        <f t="shared" si="5"/>
        <v>1</v>
      </c>
    </row>
    <row r="15" spans="1:29" ht="42.75">
      <c r="A15" s="1025" t="s">
        <v>1051</v>
      </c>
      <c r="B15" s="1026" t="s">
        <v>1485</v>
      </c>
      <c r="C15" s="1543" t="str">
        <f>估价对象房地状况!C5</f>
        <v>，周边办公楼项目一般，入驻率高，办公集聚程度一般</v>
      </c>
      <c r="D15" s="1028">
        <v>100</v>
      </c>
      <c r="E15" s="1148"/>
      <c r="F15" s="1028">
        <f>SUMIF(77:77,E16,78:78)-SUMIF(77:77,C16,78:78)+100</f>
        <v>100</v>
      </c>
      <c r="G15" s="1029"/>
      <c r="H15" s="1028">
        <f>SUMIF(77:77,G16,78:78)-SUMIF(77:77,C16,78:78)+100</f>
        <v>100</v>
      </c>
      <c r="I15" s="1029"/>
      <c r="J15" s="1028">
        <f>SUMIF(77:77,I16,78:78)-SUMIF(77:77,C16,78:78)+100</f>
        <v>100</v>
      </c>
      <c r="K15" s="1423"/>
      <c r="L15" s="1147"/>
      <c r="M15" s="1135"/>
      <c r="N15" s="1135"/>
      <c r="O15" s="1135"/>
      <c r="P15" s="3461" t="s">
        <v>1053</v>
      </c>
      <c r="Q15" s="746" t="str">
        <f t="shared" si="6"/>
        <v>办公集聚程度</v>
      </c>
      <c r="R15" s="1183" t="s">
        <v>1037</v>
      </c>
      <c r="S15" s="1184">
        <f t="shared" si="0"/>
        <v>100</v>
      </c>
      <c r="T15" s="1183" t="s">
        <v>1037</v>
      </c>
      <c r="U15" s="1184">
        <f t="shared" si="1"/>
        <v>100</v>
      </c>
      <c r="V15" s="1183" t="s">
        <v>1037</v>
      </c>
      <c r="W15" s="1184">
        <f t="shared" si="2"/>
        <v>100</v>
      </c>
      <c r="X15" s="1177"/>
      <c r="Y15" s="3466" t="s">
        <v>1053</v>
      </c>
      <c r="Z15" s="1167" t="str">
        <f t="shared" si="7"/>
        <v>办公集聚程度</v>
      </c>
      <c r="AA15" s="1194">
        <f t="shared" si="3"/>
        <v>1</v>
      </c>
      <c r="AB15" s="1194">
        <f t="shared" si="4"/>
        <v>1</v>
      </c>
      <c r="AC15" s="1554">
        <f t="shared" si="5"/>
        <v>1</v>
      </c>
    </row>
    <row r="16" spans="1:29" ht="15">
      <c r="A16" s="1011"/>
      <c r="B16" s="1030"/>
      <c r="C16" s="1033"/>
      <c r="D16" s="1032"/>
      <c r="E16" s="1031"/>
      <c r="F16" s="1032"/>
      <c r="G16" s="1033"/>
      <c r="H16" s="1034"/>
      <c r="I16" s="1031"/>
      <c r="J16" s="1032"/>
      <c r="K16" s="1424"/>
      <c r="L16" s="1147"/>
      <c r="M16" s="1135"/>
      <c r="N16" s="1135"/>
      <c r="O16" s="1135"/>
      <c r="P16" s="3462"/>
      <c r="Q16" s="746"/>
      <c r="R16" s="1183"/>
      <c r="S16" s="1184"/>
      <c r="T16" s="1183"/>
      <c r="U16" s="1184"/>
      <c r="V16" s="1183"/>
      <c r="W16" s="1184"/>
      <c r="X16" s="1177"/>
      <c r="Y16" s="3467"/>
      <c r="Z16" s="1167"/>
      <c r="AA16" s="1194">
        <v>1</v>
      </c>
      <c r="AB16" s="1194">
        <v>1</v>
      </c>
      <c r="AC16" s="1554">
        <v>1</v>
      </c>
    </row>
    <row r="17" spans="1:29" ht="142.5">
      <c r="A17" s="1011"/>
      <c r="B17" s="1035" t="s">
        <v>1056</v>
      </c>
      <c r="C17" s="1544" t="str">
        <f>估价对象房地状况!C6</f>
        <v>估价对象紧邻城市支路-东环路、附近有公交车站昌平南大街站，停靠线路有493路、昌52路、昌66路等，附近600米范围内有地铁昌平线昌平站合评价交通便捷度较好。</v>
      </c>
      <c r="D17" s="1034">
        <v>100</v>
      </c>
      <c r="E17" s="1149"/>
      <c r="F17" s="1034">
        <f>SUMIF(79:79,E18,80:80)-SUMIF(79:79,C18,80:80)+100</f>
        <v>100</v>
      </c>
      <c r="G17" s="1037"/>
      <c r="H17" s="1038">
        <f>SUMIF(79:79,G18,80:80)-SUMIF(79:79,C18,80:80)+100</f>
        <v>100</v>
      </c>
      <c r="I17" s="1037"/>
      <c r="J17" s="1038">
        <f>SUMIF(79:79,I18,80:80)-SUMIF(79:79,C18,80:80)+100</f>
        <v>100</v>
      </c>
      <c r="K17" s="1423"/>
      <c r="L17" s="1147"/>
      <c r="M17" s="1135"/>
      <c r="N17" s="1135"/>
      <c r="O17" s="1135"/>
      <c r="P17" s="3462"/>
      <c r="Q17" s="746" t="str">
        <f>B17</f>
        <v>交通便捷度</v>
      </c>
      <c r="R17" s="1183" t="s">
        <v>1037</v>
      </c>
      <c r="S17" s="1184">
        <f>F17</f>
        <v>100</v>
      </c>
      <c r="T17" s="1183" t="s">
        <v>1037</v>
      </c>
      <c r="U17" s="1184">
        <f>H17</f>
        <v>100</v>
      </c>
      <c r="V17" s="1183" t="s">
        <v>1037</v>
      </c>
      <c r="W17" s="1184">
        <f>J17</f>
        <v>100</v>
      </c>
      <c r="X17" s="1177"/>
      <c r="Y17" s="3467"/>
      <c r="Z17" s="1167" t="str">
        <f>Q17</f>
        <v>交通便捷度</v>
      </c>
      <c r="AA17" s="1194">
        <f t="shared" si="3"/>
        <v>1</v>
      </c>
      <c r="AB17" s="1194">
        <f t="shared" si="4"/>
        <v>1</v>
      </c>
      <c r="AC17" s="1554">
        <f t="shared" si="5"/>
        <v>1</v>
      </c>
    </row>
    <row r="18" spans="1:29" ht="15">
      <c r="A18" s="1011"/>
      <c r="B18" s="1039"/>
      <c r="C18" s="1545"/>
      <c r="D18" s="1034"/>
      <c r="E18" s="1339"/>
      <c r="F18" s="1034"/>
      <c r="G18" s="1323"/>
      <c r="H18" s="1032"/>
      <c r="I18" s="1323"/>
      <c r="J18" s="1032"/>
      <c r="K18" s="1424"/>
      <c r="L18" s="1147"/>
      <c r="M18" s="1135"/>
      <c r="N18" s="1135"/>
      <c r="O18" s="1135"/>
      <c r="P18" s="3462"/>
      <c r="Q18" s="746"/>
      <c r="R18" s="1183"/>
      <c r="S18" s="1184"/>
      <c r="T18" s="1183"/>
      <c r="U18" s="1184"/>
      <c r="V18" s="1183"/>
      <c r="W18" s="1184"/>
      <c r="X18" s="1177"/>
      <c r="Y18" s="3467"/>
      <c r="Z18" s="1167"/>
      <c r="AA18" s="1194">
        <v>1</v>
      </c>
      <c r="AB18" s="1194">
        <v>1</v>
      </c>
      <c r="AC18" s="1554">
        <v>1</v>
      </c>
    </row>
    <row r="19" spans="1:29" ht="171">
      <c r="A19" s="1011"/>
      <c r="B19" s="1035" t="s">
        <v>1057</v>
      </c>
      <c r="C19" s="1544"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1038">
        <v>100</v>
      </c>
      <c r="E19" s="1340"/>
      <c r="F19" s="1038">
        <f>SUMIF(81:81,E20,82:82)-SUMIF(81:81,C20,82:82)+100</f>
        <v>100</v>
      </c>
      <c r="G19" s="1324"/>
      <c r="H19" s="1034">
        <f>SUMIF(81:81,G20,82:82)-SUMIF(81:81,C20,82:82)+100</f>
        <v>100</v>
      </c>
      <c r="I19" s="1324"/>
      <c r="J19" s="1034">
        <f>SUMIF(81:81,I20,82:82)-SUMIF(81:81,C20,82:82)+100</f>
        <v>100</v>
      </c>
      <c r="K19" s="1423"/>
      <c r="L19" s="1147"/>
      <c r="M19" s="1135"/>
      <c r="N19" s="1135"/>
      <c r="O19" s="1135"/>
      <c r="P19" s="3462"/>
      <c r="Q19" s="746" t="str">
        <f>B19</f>
        <v>公共配套设施</v>
      </c>
      <c r="R19" s="1183" t="s">
        <v>1037</v>
      </c>
      <c r="S19" s="1184">
        <f>F19</f>
        <v>100</v>
      </c>
      <c r="T19" s="1183" t="s">
        <v>1037</v>
      </c>
      <c r="U19" s="1184">
        <f>H19</f>
        <v>100</v>
      </c>
      <c r="V19" s="1183" t="s">
        <v>1037</v>
      </c>
      <c r="W19" s="1184">
        <f>J19</f>
        <v>100</v>
      </c>
      <c r="X19" s="1177"/>
      <c r="Y19" s="3467"/>
      <c r="Z19" s="1167" t="str">
        <f>Q19</f>
        <v>公共配套设施</v>
      </c>
      <c r="AA19" s="1194">
        <f t="shared" si="3"/>
        <v>1</v>
      </c>
      <c r="AB19" s="1194">
        <f t="shared" si="4"/>
        <v>1</v>
      </c>
      <c r="AC19" s="1554">
        <f t="shared" si="5"/>
        <v>1</v>
      </c>
    </row>
    <row r="20" spans="1:29" ht="15">
      <c r="A20" s="1011"/>
      <c r="B20" s="1039"/>
      <c r="C20" s="1033"/>
      <c r="D20" s="1032"/>
      <c r="E20" s="1150"/>
      <c r="F20" s="1032"/>
      <c r="G20" s="1040"/>
      <c r="H20" s="1032"/>
      <c r="I20" s="1040"/>
      <c r="J20" s="1032"/>
      <c r="K20" s="1424"/>
      <c r="L20" s="1147"/>
      <c r="M20" s="1135"/>
      <c r="N20" s="1135"/>
      <c r="O20" s="1135"/>
      <c r="P20" s="3462"/>
      <c r="Q20" s="746"/>
      <c r="R20" s="1183"/>
      <c r="S20" s="1184"/>
      <c r="T20" s="1183"/>
      <c r="U20" s="1184"/>
      <c r="V20" s="1183"/>
      <c r="W20" s="1184"/>
      <c r="X20" s="1177"/>
      <c r="Y20" s="3467"/>
      <c r="Z20" s="1167"/>
      <c r="AA20" s="1194">
        <v>1</v>
      </c>
      <c r="AB20" s="1194">
        <v>1</v>
      </c>
      <c r="AC20" s="1554">
        <v>1</v>
      </c>
    </row>
    <row r="21" spans="1:29" ht="42.75">
      <c r="A21" s="1011"/>
      <c r="B21" s="1042" t="s">
        <v>1058</v>
      </c>
      <c r="C21" s="1544" t="str">
        <f>估价对象房地状况!C8</f>
        <v>估价对象所在区域基础设施水平为七通一平</v>
      </c>
      <c r="D21" s="1034">
        <v>100</v>
      </c>
      <c r="E21" s="1340"/>
      <c r="F21" s="1038">
        <f>SUMIF(83:83,E22,84:84)-SUMIF(83:83,C22,84:84)+100</f>
        <v>100</v>
      </c>
      <c r="G21" s="1324"/>
      <c r="H21" s="1034">
        <f>SUMIF(83:83,G22,84:84)-SUMIF(83:83,C22,84:84)+100</f>
        <v>100</v>
      </c>
      <c r="I21" s="1324"/>
      <c r="J21" s="1034">
        <f>SUMIF(83:83,I22,84:84)-SUMIF(83:83,C22,84:84)+100</f>
        <v>100</v>
      </c>
      <c r="K21" s="1423"/>
      <c r="L21" s="1147"/>
      <c r="M21" s="1135"/>
      <c r="N21" s="1135"/>
      <c r="O21" s="1135"/>
      <c r="P21" s="3462"/>
      <c r="Q21" s="746" t="str">
        <f>B21</f>
        <v>基础设施水平</v>
      </c>
      <c r="R21" s="1183" t="s">
        <v>1037</v>
      </c>
      <c r="S21" s="1184">
        <f>F21</f>
        <v>100</v>
      </c>
      <c r="T21" s="1183" t="s">
        <v>1037</v>
      </c>
      <c r="U21" s="1184">
        <f>H21</f>
        <v>100</v>
      </c>
      <c r="V21" s="1183" t="s">
        <v>1037</v>
      </c>
      <c r="W21" s="1184">
        <f>J21</f>
        <v>100</v>
      </c>
      <c r="X21" s="1177"/>
      <c r="Y21" s="3467"/>
      <c r="Z21" s="1167" t="str">
        <f>Q21</f>
        <v>基础设施水平</v>
      </c>
      <c r="AA21" s="1194">
        <f t="shared" ref="AA21" si="8">D21/F21</f>
        <v>1</v>
      </c>
      <c r="AB21" s="1194">
        <f t="shared" ref="AB21" si="9">D21/H21</f>
        <v>1</v>
      </c>
      <c r="AC21" s="1554">
        <f t="shared" ref="AC21" si="10">D21/J21</f>
        <v>1</v>
      </c>
    </row>
    <row r="22" spans="1:29" ht="15">
      <c r="A22" s="1011"/>
      <c r="B22" s="1042"/>
      <c r="C22" s="1545"/>
      <c r="D22" s="1032"/>
      <c r="E22" s="1031"/>
      <c r="F22" s="1032"/>
      <c r="G22" s="1033"/>
      <c r="H22" s="1032"/>
      <c r="I22" s="1033"/>
      <c r="J22" s="1032"/>
      <c r="K22" s="1425"/>
      <c r="L22" s="1147"/>
      <c r="M22" s="1135"/>
      <c r="N22" s="1135"/>
      <c r="O22" s="1135"/>
      <c r="P22" s="3462"/>
      <c r="Q22" s="746"/>
      <c r="R22" s="1183"/>
      <c r="S22" s="1184"/>
      <c r="T22" s="1183"/>
      <c r="U22" s="1184"/>
      <c r="V22" s="1183"/>
      <c r="W22" s="1184"/>
      <c r="X22" s="1177"/>
      <c r="Y22" s="3467"/>
      <c r="Z22" s="1167"/>
      <c r="AA22" s="1194">
        <v>1</v>
      </c>
      <c r="AB22" s="1194">
        <v>1</v>
      </c>
      <c r="AC22" s="1554">
        <v>1</v>
      </c>
    </row>
    <row r="23" spans="1:29" ht="99.75">
      <c r="A23" s="1011"/>
      <c r="B23" s="1035" t="s">
        <v>1486</v>
      </c>
      <c r="C23" s="1544" t="str">
        <f>估价对象房地状况!C9</f>
        <v>估计对象周边有昌平公园、学府等自然环境景观，有北京昌平卫生学校、中国石油大学等人文环境；综合评价环境状况较好。</v>
      </c>
      <c r="D23" s="1034">
        <v>100</v>
      </c>
      <c r="E23" s="1149"/>
      <c r="F23" s="1034">
        <f>SUMIF(85:85,E24,86:86)-SUMIF(85:85,C24,86:86)+100</f>
        <v>100</v>
      </c>
      <c r="G23" s="1037"/>
      <c r="H23" s="1034">
        <f>SUMIF(85:85,G24,86:86)-SUMIF(85:85,C24,86:86)+100</f>
        <v>100</v>
      </c>
      <c r="I23" s="1037"/>
      <c r="J23" s="1034">
        <f>SUMIF(85:85,I24,86:86)-SUMIF(85:85,C24,86:86)+100</f>
        <v>100</v>
      </c>
      <c r="K23" s="1423"/>
      <c r="L23" s="1147"/>
      <c r="M23" s="1135"/>
      <c r="N23" s="1135"/>
      <c r="O23" s="1135"/>
      <c r="P23" s="3462"/>
      <c r="Q23" s="746" t="str">
        <f>B23</f>
        <v>环境质量</v>
      </c>
      <c r="R23" s="1183" t="s">
        <v>1037</v>
      </c>
      <c r="S23" s="1184">
        <f>F23</f>
        <v>100</v>
      </c>
      <c r="T23" s="1183" t="s">
        <v>1037</v>
      </c>
      <c r="U23" s="1184">
        <f>H23</f>
        <v>100</v>
      </c>
      <c r="V23" s="1183" t="s">
        <v>1037</v>
      </c>
      <c r="W23" s="1184">
        <f>J23</f>
        <v>100</v>
      </c>
      <c r="X23" s="1177"/>
      <c r="Y23" s="3467"/>
      <c r="Z23" s="1167" t="str">
        <f>Q23</f>
        <v>环境质量</v>
      </c>
      <c r="AA23" s="1194">
        <f t="shared" si="3"/>
        <v>1</v>
      </c>
      <c r="AB23" s="1194">
        <f t="shared" si="4"/>
        <v>1</v>
      </c>
      <c r="AC23" s="1554">
        <f t="shared" si="5"/>
        <v>1</v>
      </c>
    </row>
    <row r="24" spans="1:29" ht="15">
      <c r="A24" s="1011"/>
      <c r="B24" s="1042"/>
      <c r="C24" s="1033"/>
      <c r="D24" s="1032"/>
      <c r="E24" s="1150"/>
      <c r="F24" s="1032"/>
      <c r="G24" s="1040"/>
      <c r="H24" s="1032"/>
      <c r="I24" s="1040"/>
      <c r="J24" s="1032"/>
      <c r="K24" s="1424"/>
      <c r="L24" s="1147"/>
      <c r="M24" s="1135"/>
      <c r="N24" s="1135"/>
      <c r="O24" s="1135"/>
      <c r="P24" s="3462"/>
      <c r="Q24" s="746"/>
      <c r="R24" s="1183"/>
      <c r="S24" s="1184"/>
      <c r="T24" s="1183"/>
      <c r="U24" s="1184"/>
      <c r="V24" s="1183"/>
      <c r="W24" s="1184"/>
      <c r="X24" s="1177"/>
      <c r="Y24" s="3467"/>
      <c r="Z24" s="1167"/>
      <c r="AA24" s="1194">
        <v>1</v>
      </c>
      <c r="AB24" s="1194">
        <v>1</v>
      </c>
      <c r="AC24" s="1554">
        <v>1</v>
      </c>
    </row>
    <row r="25" spans="1:29" ht="27">
      <c r="A25" s="991"/>
      <c r="B25" s="1035" t="s">
        <v>1487</v>
      </c>
      <c r="C25" s="1546"/>
      <c r="D25" s="1020">
        <v>100</v>
      </c>
      <c r="E25" s="1019"/>
      <c r="F25" s="1020">
        <f>SUMIF(87:87,E26,88:88)-SUMIF(87:87,C26,88:88)+100</f>
        <v>100</v>
      </c>
      <c r="G25" s="1546"/>
      <c r="H25" s="1020">
        <f>SUMIF(87:87,G26,88:88)-SUMIF(87:87,C26,88:88)+100</f>
        <v>100</v>
      </c>
      <c r="I25" s="1019"/>
      <c r="J25" s="1020">
        <f>SUMIF(87:87,I26,88:88)-SUMIF(87:87,C26,88:88)+100</f>
        <v>100</v>
      </c>
      <c r="K25" s="1423"/>
      <c r="L25" s="1147"/>
      <c r="M25" s="1135"/>
      <c r="N25" s="1135"/>
      <c r="O25" s="1135"/>
      <c r="P25" s="3462"/>
      <c r="Q25" s="746" t="str">
        <f>B25</f>
        <v>毗邻道路的类型与等级</v>
      </c>
      <c r="R25" s="1183" t="s">
        <v>1037</v>
      </c>
      <c r="S25" s="1184">
        <f>F25</f>
        <v>100</v>
      </c>
      <c r="T25" s="1183" t="s">
        <v>1037</v>
      </c>
      <c r="U25" s="1184">
        <f>H25</f>
        <v>100</v>
      </c>
      <c r="V25" s="1183" t="s">
        <v>1037</v>
      </c>
      <c r="W25" s="1184">
        <f>J25</f>
        <v>100</v>
      </c>
      <c r="X25" s="1177"/>
      <c r="Y25" s="3467"/>
      <c r="Z25" s="1167" t="str">
        <f>Q25</f>
        <v>毗邻道路的类型与等级</v>
      </c>
      <c r="AA25" s="1194">
        <f t="shared" si="3"/>
        <v>1</v>
      </c>
      <c r="AB25" s="1194">
        <f t="shared" si="4"/>
        <v>1</v>
      </c>
      <c r="AC25" s="1554">
        <f t="shared" si="5"/>
        <v>1</v>
      </c>
    </row>
    <row r="26" spans="1:29" ht="15">
      <c r="A26" s="991"/>
      <c r="B26" s="1039"/>
      <c r="C26" s="1046"/>
      <c r="D26" s="1020"/>
      <c r="E26" s="1045"/>
      <c r="F26" s="1020"/>
      <c r="G26" s="1046"/>
      <c r="H26" s="1020"/>
      <c r="I26" s="1045"/>
      <c r="J26" s="1020"/>
      <c r="K26" s="1424"/>
      <c r="L26" s="1147"/>
      <c r="M26" s="1135"/>
      <c r="N26" s="1135"/>
      <c r="O26" s="1135"/>
      <c r="P26" s="3462"/>
      <c r="Q26" s="746"/>
      <c r="R26" s="1183"/>
      <c r="S26" s="1184"/>
      <c r="T26" s="1183"/>
      <c r="U26" s="1184"/>
      <c r="V26" s="1183"/>
      <c r="W26" s="1184"/>
      <c r="X26" s="1177"/>
      <c r="Y26" s="3467"/>
      <c r="Z26" s="1167"/>
      <c r="AA26" s="1194">
        <v>1</v>
      </c>
      <c r="AB26" s="1194">
        <v>1</v>
      </c>
      <c r="AC26" s="1554">
        <v>1</v>
      </c>
    </row>
    <row r="27" spans="1:29" ht="15">
      <c r="A27" s="1011"/>
      <c r="B27" s="1039" t="s">
        <v>1476</v>
      </c>
      <c r="C27" s="1046"/>
      <c r="D27" s="1020">
        <v>100</v>
      </c>
      <c r="E27" s="1045"/>
      <c r="F27" s="1020">
        <f>SUMIF(89:89,E27,90:90)-SUMIF(89:89,C27,90:90)+100</f>
        <v>100</v>
      </c>
      <c r="G27" s="1046"/>
      <c r="H27" s="1020">
        <f>SUMIF(89:89,G27,90:90)-SUMIF(89:89,C27,90:90)+100</f>
        <v>100</v>
      </c>
      <c r="I27" s="1045"/>
      <c r="J27" s="1020">
        <f>SUMIF(89:89,I27,90:90)-SUMIF(89:89,C27,90:90)+100</f>
        <v>100</v>
      </c>
      <c r="K27" s="1153"/>
      <c r="L27" s="1147"/>
      <c r="M27" s="1135"/>
      <c r="N27" s="1135"/>
      <c r="O27" s="1135"/>
      <c r="P27" s="3462"/>
      <c r="Q27" s="746" t="str">
        <f t="shared" ref="Q27:Q47" si="11">B27</f>
        <v>楼层</v>
      </c>
      <c r="R27" s="1183" t="s">
        <v>1037</v>
      </c>
      <c r="S27" s="1184">
        <f>F27</f>
        <v>100</v>
      </c>
      <c r="T27" s="1183" t="s">
        <v>1037</v>
      </c>
      <c r="U27" s="1184">
        <f>H27</f>
        <v>100</v>
      </c>
      <c r="V27" s="1183" t="s">
        <v>1037</v>
      </c>
      <c r="W27" s="1184">
        <f>J27</f>
        <v>100</v>
      </c>
      <c r="X27" s="1177"/>
      <c r="Y27" s="3467"/>
      <c r="Z27" s="1167" t="str">
        <f>Q27</f>
        <v>楼层</v>
      </c>
      <c r="AA27" s="1194">
        <f t="shared" si="3"/>
        <v>1</v>
      </c>
      <c r="AB27" s="1194">
        <f t="shared" si="4"/>
        <v>1</v>
      </c>
      <c r="AC27" s="1554">
        <f t="shared" si="5"/>
        <v>1</v>
      </c>
    </row>
    <row r="28" spans="1:29" s="970" customFormat="1" ht="15">
      <c r="A28" s="1014"/>
      <c r="B28" s="1035" t="s">
        <v>1063</v>
      </c>
      <c r="C28" s="1547"/>
      <c r="D28" s="1500">
        <v>100</v>
      </c>
      <c r="E28" s="1548"/>
      <c r="F28" s="1500">
        <f>SUMIF(91:91,E28,92:92)-SUMIF(91:91,C28,92:92)+100</f>
        <v>100</v>
      </c>
      <c r="G28" s="1547"/>
      <c r="H28" s="1500">
        <f>SUMIF(91:91,G28,92:92)-SUMIF(91:91,C28,92:92)+100</f>
        <v>100</v>
      </c>
      <c r="I28" s="1548"/>
      <c r="J28" s="1500">
        <f>SUMIF(91:91,I28,92:92)-SUMIF(91:91,C28,92:92)+100</f>
        <v>100</v>
      </c>
      <c r="K28" s="1153"/>
      <c r="L28" s="1137"/>
      <c r="M28" s="1138"/>
      <c r="N28" s="1138"/>
      <c r="O28" s="1138"/>
      <c r="P28" s="3462"/>
      <c r="Q28" s="1182" t="str">
        <f t="shared" si="11"/>
        <v>朝向</v>
      </c>
      <c r="R28" s="1178" t="s">
        <v>1037</v>
      </c>
      <c r="S28" s="1179">
        <f>F28</f>
        <v>100</v>
      </c>
      <c r="T28" s="1178" t="s">
        <v>1037</v>
      </c>
      <c r="U28" s="1179">
        <f>H28</f>
        <v>100</v>
      </c>
      <c r="V28" s="1178" t="s">
        <v>1037</v>
      </c>
      <c r="W28" s="1179">
        <f>J28</f>
        <v>100</v>
      </c>
      <c r="X28" s="1180"/>
      <c r="Y28" s="3467"/>
      <c r="Z28" s="1193" t="str">
        <f>Q28</f>
        <v>朝向</v>
      </c>
      <c r="AA28" s="1194">
        <f t="shared" si="3"/>
        <v>1</v>
      </c>
      <c r="AB28" s="1194">
        <f t="shared" si="4"/>
        <v>1</v>
      </c>
      <c r="AC28" s="1554">
        <f t="shared" si="5"/>
        <v>1</v>
      </c>
    </row>
    <row r="29" spans="1:29" ht="15">
      <c r="A29" s="1011"/>
      <c r="B29" s="1050">
        <v>111</v>
      </c>
      <c r="C29" s="1546"/>
      <c r="D29" s="1020">
        <v>100</v>
      </c>
      <c r="E29" s="1009"/>
      <c r="F29" s="1020">
        <f>SUMIF(93:93,E29,94:94)-SUMIF(93:93,C29,94:94)+100</f>
        <v>100</v>
      </c>
      <c r="G29" s="1542"/>
      <c r="H29" s="1020">
        <f>SUMIF(93:93,G29,94:94)-SUMIF(93:93,C29,94:94)+100</f>
        <v>100</v>
      </c>
      <c r="I29" s="1009"/>
      <c r="J29" s="1020">
        <f>SUMIF(93:93,I29,94:94)-SUMIF(93:93,C29,94:94)+100</f>
        <v>100</v>
      </c>
      <c r="K29" s="1152"/>
      <c r="L29" s="1147"/>
      <c r="M29" s="1135"/>
      <c r="N29" s="1135"/>
      <c r="O29" s="1135"/>
      <c r="P29" s="3462"/>
      <c r="Q29" s="746">
        <f t="shared" si="11"/>
        <v>111</v>
      </c>
      <c r="R29" s="1183" t="s">
        <v>1037</v>
      </c>
      <c r="S29" s="1184">
        <f t="shared" ref="S29:S47" si="12">F29</f>
        <v>100</v>
      </c>
      <c r="T29" s="1183" t="s">
        <v>1037</v>
      </c>
      <c r="U29" s="1184">
        <f t="shared" ref="U29:U47" si="13">H29</f>
        <v>100</v>
      </c>
      <c r="V29" s="1183" t="s">
        <v>1037</v>
      </c>
      <c r="W29" s="1184">
        <f t="shared" ref="W29:W47" si="14">J29</f>
        <v>100</v>
      </c>
      <c r="X29" s="1177"/>
      <c r="Y29" s="3467"/>
      <c r="Z29" s="1167">
        <f t="shared" ref="Z29:Z47" si="15">Q29</f>
        <v>111</v>
      </c>
      <c r="AA29" s="1194">
        <f t="shared" si="3"/>
        <v>1</v>
      </c>
      <c r="AB29" s="1194">
        <f t="shared" si="4"/>
        <v>1</v>
      </c>
      <c r="AC29" s="1554">
        <f t="shared" si="5"/>
        <v>1</v>
      </c>
    </row>
    <row r="30" spans="1:29" ht="15">
      <c r="A30" s="1011"/>
      <c r="B30" s="1050">
        <v>111</v>
      </c>
      <c r="C30" s="1546"/>
      <c r="D30" s="1020">
        <v>100</v>
      </c>
      <c r="E30" s="1009"/>
      <c r="F30" s="1020">
        <f>SUMIF(95:95,E30,96:96)-SUMIF(95:95,C30,96:96)+100</f>
        <v>100</v>
      </c>
      <c r="G30" s="1542"/>
      <c r="H30" s="1020">
        <f>SUMIF(95:95,G30,96:96)-SUMIF(95:95,C30,96:96)+100</f>
        <v>100</v>
      </c>
      <c r="I30" s="1009"/>
      <c r="J30" s="1020">
        <f>SUMIF(95:95,I30,96:96)-SUMIF(95:95,C30,96:96)+100</f>
        <v>100</v>
      </c>
      <c r="K30" s="1152"/>
      <c r="L30" s="1147"/>
      <c r="M30" s="1135"/>
      <c r="N30" s="1135"/>
      <c r="O30" s="1135"/>
      <c r="P30" s="3462"/>
      <c r="Q30" s="746">
        <f t="shared" si="11"/>
        <v>111</v>
      </c>
      <c r="R30" s="1183" t="s">
        <v>1037</v>
      </c>
      <c r="S30" s="1184">
        <f t="shared" si="12"/>
        <v>100</v>
      </c>
      <c r="T30" s="1183" t="s">
        <v>1037</v>
      </c>
      <c r="U30" s="1184">
        <f t="shared" si="13"/>
        <v>100</v>
      </c>
      <c r="V30" s="1183" t="s">
        <v>1037</v>
      </c>
      <c r="W30" s="1184">
        <f t="shared" si="14"/>
        <v>100</v>
      </c>
      <c r="X30" s="1177"/>
      <c r="Y30" s="3467"/>
      <c r="Z30" s="1167">
        <f t="shared" si="15"/>
        <v>111</v>
      </c>
      <c r="AA30" s="1194">
        <f t="shared" si="3"/>
        <v>1</v>
      </c>
      <c r="AB30" s="1194">
        <f t="shared" si="4"/>
        <v>1</v>
      </c>
      <c r="AC30" s="1554">
        <f t="shared" si="5"/>
        <v>1</v>
      </c>
    </row>
    <row r="31" spans="1:29" ht="15">
      <c r="A31" s="1011"/>
      <c r="B31" s="1050">
        <v>111</v>
      </c>
      <c r="C31" s="1546"/>
      <c r="D31" s="1020">
        <v>100</v>
      </c>
      <c r="E31" s="1009"/>
      <c r="F31" s="1020">
        <f>SUMIF(97:97,E31,98:98)-SUMIF(97:97,C31,98:98)+100</f>
        <v>100</v>
      </c>
      <c r="G31" s="1542"/>
      <c r="H31" s="1020">
        <f>SUMIF(97:97,G31,98:98)-SUMIF(97:97,C31,98:98)+100</f>
        <v>100</v>
      </c>
      <c r="I31" s="1009"/>
      <c r="J31" s="1020">
        <f>SUMIF(97:97,I31,98:98)-SUMIF(97:97,C31,98:98)+100</f>
        <v>100</v>
      </c>
      <c r="K31" s="1152"/>
      <c r="L31" s="1147"/>
      <c r="M31" s="1135"/>
      <c r="N31" s="1135"/>
      <c r="O31" s="1135"/>
      <c r="P31" s="3462"/>
      <c r="Q31" s="746">
        <f t="shared" si="11"/>
        <v>111</v>
      </c>
      <c r="R31" s="1183" t="s">
        <v>1037</v>
      </c>
      <c r="S31" s="1184">
        <f t="shared" si="12"/>
        <v>100</v>
      </c>
      <c r="T31" s="1183" t="s">
        <v>1037</v>
      </c>
      <c r="U31" s="1184">
        <f t="shared" si="13"/>
        <v>100</v>
      </c>
      <c r="V31" s="1183" t="s">
        <v>1037</v>
      </c>
      <c r="W31" s="1184">
        <f t="shared" si="14"/>
        <v>100</v>
      </c>
      <c r="X31" s="1177"/>
      <c r="Y31" s="3467"/>
      <c r="Z31" s="1167">
        <f t="shared" si="15"/>
        <v>111</v>
      </c>
      <c r="AA31" s="1194">
        <f t="shared" si="3"/>
        <v>1</v>
      </c>
      <c r="AB31" s="1194">
        <f t="shared" si="4"/>
        <v>1</v>
      </c>
      <c r="AC31" s="1554">
        <f t="shared" si="5"/>
        <v>1</v>
      </c>
    </row>
    <row r="32" spans="1:29" ht="15">
      <c r="A32" s="1021"/>
      <c r="B32" s="1456">
        <v>111</v>
      </c>
      <c r="C32" s="1549"/>
      <c r="D32" s="1024">
        <v>100</v>
      </c>
      <c r="E32" s="1458"/>
      <c r="F32" s="1024">
        <f>SUMIF(99:99,E32,100:100)-SUMIF(99:99,C32,100:100)+100</f>
        <v>100</v>
      </c>
      <c r="G32" s="1542"/>
      <c r="H32" s="1024">
        <f>SUMIF(99:99,G32,100:100)-SUMIF(99:99,C32,100:100)+100</f>
        <v>100</v>
      </c>
      <c r="I32" s="1009"/>
      <c r="J32" s="1024">
        <f>SUMIF(99:99,I32,100:100)-SUMIF(99:99,C32,100:100)+100</f>
        <v>100</v>
      </c>
      <c r="K32" s="1152"/>
      <c r="L32" s="1147"/>
      <c r="M32" s="1135"/>
      <c r="N32" s="1135"/>
      <c r="O32" s="1135"/>
      <c r="P32" s="3462"/>
      <c r="Q32" s="746">
        <f t="shared" si="11"/>
        <v>111</v>
      </c>
      <c r="R32" s="1183" t="s">
        <v>1037</v>
      </c>
      <c r="S32" s="1184">
        <f t="shared" si="12"/>
        <v>100</v>
      </c>
      <c r="T32" s="1183" t="s">
        <v>1037</v>
      </c>
      <c r="U32" s="1184">
        <f t="shared" si="13"/>
        <v>100</v>
      </c>
      <c r="V32" s="1183" t="s">
        <v>1037</v>
      </c>
      <c r="W32" s="1184">
        <f t="shared" si="14"/>
        <v>100</v>
      </c>
      <c r="X32" s="1177"/>
      <c r="Y32" s="3467"/>
      <c r="Z32" s="1167">
        <f t="shared" si="15"/>
        <v>111</v>
      </c>
      <c r="AA32" s="1194">
        <f t="shared" si="3"/>
        <v>1</v>
      </c>
      <c r="AB32" s="1194">
        <f t="shared" si="4"/>
        <v>1</v>
      </c>
      <c r="AC32" s="1554">
        <f t="shared" si="5"/>
        <v>1</v>
      </c>
    </row>
    <row r="33" spans="1:29" ht="15">
      <c r="A33" s="1025" t="s">
        <v>1065</v>
      </c>
      <c r="B33" s="1004" t="s">
        <v>1066</v>
      </c>
      <c r="C33" s="1393"/>
      <c r="D33" s="1061">
        <v>100</v>
      </c>
      <c r="E33" s="1393"/>
      <c r="F33" s="1388">
        <f>SUMIF(101:101,E33,102:102)-SUMIF(101:101,C33,102:102)+100</f>
        <v>100</v>
      </c>
      <c r="G33" s="1393"/>
      <c r="H33" s="1020">
        <f>SUMIF(101:101,G33,102:102)-SUMIF(101:101,C33,102:102)+100</f>
        <v>100</v>
      </c>
      <c r="I33" s="1393"/>
      <c r="J33" s="1061">
        <f>SUMIF(101:101,I33,102:102)-SUMIF(101:101,C33,102:102)+100</f>
        <v>100</v>
      </c>
      <c r="K33" s="1153"/>
      <c r="L33" s="1147"/>
      <c r="M33" s="1135"/>
      <c r="N33" s="1135"/>
      <c r="O33" s="1135"/>
      <c r="P33" s="3463" t="s">
        <v>1068</v>
      </c>
      <c r="Q33" s="746" t="str">
        <f t="shared" si="11"/>
        <v>建筑类型</v>
      </c>
      <c r="R33" s="1183" t="s">
        <v>1037</v>
      </c>
      <c r="S33" s="1184">
        <f t="shared" si="12"/>
        <v>100</v>
      </c>
      <c r="T33" s="1183" t="s">
        <v>1037</v>
      </c>
      <c r="U33" s="1184">
        <f t="shared" si="13"/>
        <v>100</v>
      </c>
      <c r="V33" s="1183" t="s">
        <v>1037</v>
      </c>
      <c r="W33" s="1184">
        <f t="shared" si="14"/>
        <v>100</v>
      </c>
      <c r="X33" s="1177"/>
      <c r="Y33" s="3468" t="s">
        <v>1068</v>
      </c>
      <c r="Z33" s="1167" t="str">
        <f t="shared" si="15"/>
        <v>建筑类型</v>
      </c>
      <c r="AA33" s="1194">
        <f t="shared" si="3"/>
        <v>1</v>
      </c>
      <c r="AB33" s="1194">
        <f t="shared" si="4"/>
        <v>1</v>
      </c>
      <c r="AC33" s="1554">
        <f t="shared" si="5"/>
        <v>1</v>
      </c>
    </row>
    <row r="34" spans="1:29" s="972" customFormat="1" ht="15">
      <c r="A34" s="1067"/>
      <c r="B34" s="1008" t="s">
        <v>1069</v>
      </c>
      <c r="C34" s="1382"/>
      <c r="D34" s="1010">
        <v>100</v>
      </c>
      <c r="E34" s="1013"/>
      <c r="F34" s="1381" t="e">
        <f>LOOKUP(E34,104:104,105:105)-LOOKUP(C34,104:104,105:105)+100</f>
        <v>#N/A</v>
      </c>
      <c r="G34" s="1012"/>
      <c r="H34" s="1010" t="e">
        <f>LOOKUP(G34,104:104,105:105)-LOOKUP(C34,104:104,105:105)+100</f>
        <v>#N/A</v>
      </c>
      <c r="I34" s="1012"/>
      <c r="J34" s="1010" t="e">
        <f>LOOKUP(I34,104:104,105:105)-LOOKUP(C34,104:104,105:105)+100</f>
        <v>#N/A</v>
      </c>
      <c r="K34" s="1152"/>
      <c r="L34" s="1145"/>
      <c r="M34" s="1154"/>
      <c r="N34" s="1154"/>
      <c r="O34" s="1154"/>
      <c r="P34" s="3464"/>
      <c r="Q34" s="1427" t="str">
        <f t="shared" si="11"/>
        <v>项目建筑规模</v>
      </c>
      <c r="R34" s="1185" t="s">
        <v>1037</v>
      </c>
      <c r="S34" s="1186" t="e">
        <f t="shared" si="12"/>
        <v>#N/A</v>
      </c>
      <c r="T34" s="1185" t="s">
        <v>1037</v>
      </c>
      <c r="U34" s="1186" t="e">
        <f t="shared" si="13"/>
        <v>#N/A</v>
      </c>
      <c r="V34" s="1185" t="s">
        <v>1037</v>
      </c>
      <c r="W34" s="1186" t="e">
        <f t="shared" si="14"/>
        <v>#N/A</v>
      </c>
      <c r="X34" s="1187"/>
      <c r="Y34" s="3468"/>
      <c r="Z34" s="1195" t="str">
        <f t="shared" si="15"/>
        <v>项目建筑规模</v>
      </c>
      <c r="AA34" s="1194" t="e">
        <f t="shared" si="3"/>
        <v>#N/A</v>
      </c>
      <c r="AB34" s="1194" t="e">
        <f t="shared" si="4"/>
        <v>#N/A</v>
      </c>
      <c r="AC34" s="1554" t="e">
        <f t="shared" si="5"/>
        <v>#N/A</v>
      </c>
    </row>
    <row r="35" spans="1:29" ht="15">
      <c r="A35" s="1062"/>
      <c r="B35" s="1008" t="s">
        <v>1070</v>
      </c>
      <c r="C35" s="1398"/>
      <c r="D35" s="1020">
        <v>100</v>
      </c>
      <c r="E35" s="1398"/>
      <c r="F35" s="1388">
        <f>SUMIF(106:106,E35,107:107)-SUMIF(106:106,C35,107:107)+100</f>
        <v>100</v>
      </c>
      <c r="G35" s="1398"/>
      <c r="H35" s="1020">
        <f>SUMIF(106:106,G35,107:107)-SUMIF(106:106,C35,107:107)+100</f>
        <v>100</v>
      </c>
      <c r="I35" s="1398"/>
      <c r="J35" s="1020">
        <f>SUMIF(106:106,I35,107:107)-SUMIF(106:106,C35,107:107)+100</f>
        <v>100</v>
      </c>
      <c r="K35" s="1153"/>
      <c r="L35" s="1147"/>
      <c r="M35" s="1135"/>
      <c r="N35" s="1135"/>
      <c r="O35" s="1135"/>
      <c r="P35" s="3464"/>
      <c r="Q35" s="746" t="str">
        <f t="shared" si="11"/>
        <v>建筑结构</v>
      </c>
      <c r="R35" s="1183" t="s">
        <v>1037</v>
      </c>
      <c r="S35" s="1184">
        <f t="shared" si="12"/>
        <v>100</v>
      </c>
      <c r="T35" s="1183" t="s">
        <v>1037</v>
      </c>
      <c r="U35" s="1184">
        <f t="shared" si="13"/>
        <v>100</v>
      </c>
      <c r="V35" s="1183" t="s">
        <v>1037</v>
      </c>
      <c r="W35" s="1184">
        <f t="shared" si="14"/>
        <v>100</v>
      </c>
      <c r="X35" s="1177"/>
      <c r="Y35" s="3468"/>
      <c r="Z35" s="1167" t="str">
        <f t="shared" si="15"/>
        <v>建筑结构</v>
      </c>
      <c r="AA35" s="1194">
        <f t="shared" si="3"/>
        <v>1</v>
      </c>
      <c r="AB35" s="1194">
        <f t="shared" si="4"/>
        <v>1</v>
      </c>
      <c r="AC35" s="1554">
        <f t="shared" si="5"/>
        <v>1</v>
      </c>
    </row>
    <row r="36" spans="1:29" ht="15">
      <c r="A36" s="1062"/>
      <c r="B36" s="1008" t="s">
        <v>1073</v>
      </c>
      <c r="C36" s="1398"/>
      <c r="D36" s="1020">
        <v>100</v>
      </c>
      <c r="E36" s="1398"/>
      <c r="F36" s="1388">
        <f>SUMIF(108:108,E36,109:109)-SUMIF(108:108,C36,109:109)+100</f>
        <v>100</v>
      </c>
      <c r="G36" s="1398"/>
      <c r="H36" s="1020">
        <f>SUMIF(108:108,G36,109:109)-SUMIF(108:108,C36,109:109)+100</f>
        <v>100</v>
      </c>
      <c r="I36" s="1398"/>
      <c r="J36" s="1020">
        <f>SUMIF(108:108,I36,109:109)-SUMIF(108:108,C36,109:109)+100</f>
        <v>100</v>
      </c>
      <c r="K36" s="1153"/>
      <c r="L36" s="1147"/>
      <c r="M36" s="1135"/>
      <c r="N36" s="1135"/>
      <c r="O36" s="1135"/>
      <c r="P36" s="3464"/>
      <c r="Q36" s="746" t="str">
        <f t="shared" si="11"/>
        <v>公共部分装修</v>
      </c>
      <c r="R36" s="1183" t="s">
        <v>1037</v>
      </c>
      <c r="S36" s="1184">
        <f t="shared" si="12"/>
        <v>100</v>
      </c>
      <c r="T36" s="1183" t="s">
        <v>1037</v>
      </c>
      <c r="U36" s="1184">
        <f t="shared" si="13"/>
        <v>100</v>
      </c>
      <c r="V36" s="1183" t="s">
        <v>1037</v>
      </c>
      <c r="W36" s="1184">
        <f t="shared" si="14"/>
        <v>100</v>
      </c>
      <c r="X36" s="1177"/>
      <c r="Y36" s="3468"/>
      <c r="Z36" s="1167" t="str">
        <f t="shared" si="15"/>
        <v>公共部分装修</v>
      </c>
      <c r="AA36" s="1194">
        <f t="shared" si="3"/>
        <v>1</v>
      </c>
      <c r="AB36" s="1194">
        <f t="shared" si="4"/>
        <v>1</v>
      </c>
      <c r="AC36" s="1554">
        <f t="shared" si="5"/>
        <v>1</v>
      </c>
    </row>
    <row r="37" spans="1:29" ht="15">
      <c r="A37" s="1062"/>
      <c r="B37" s="1008" t="s">
        <v>568</v>
      </c>
      <c r="C37" s="1395"/>
      <c r="D37" s="1020">
        <v>100</v>
      </c>
      <c r="E37" s="1395"/>
      <c r="F37" s="1388" t="e">
        <f>LOOKUP(E37,111:111,112:112)-LOOKUP(C37,111:111,112:112)+100</f>
        <v>#N/A</v>
      </c>
      <c r="G37" s="1395"/>
      <c r="H37" s="1388" t="e">
        <f>LOOKUP(G37,111:111,112:112)-LOOKUP(C37,111:111,112:112)+100</f>
        <v>#N/A</v>
      </c>
      <c r="I37" s="1395"/>
      <c r="J37" s="1020" t="e">
        <f>LOOKUP(I37,111:111,112:112)-LOOKUP(C37,111:111,112:112)+100</f>
        <v>#N/A</v>
      </c>
      <c r="K37" s="1153"/>
      <c r="L37" s="1147"/>
      <c r="M37" s="1135"/>
      <c r="N37" s="1135"/>
      <c r="O37" s="1135"/>
      <c r="P37" s="3464"/>
      <c r="Q37" s="746" t="str">
        <f t="shared" si="11"/>
        <v>成新度</v>
      </c>
      <c r="R37" s="1183" t="s">
        <v>1037</v>
      </c>
      <c r="S37" s="1184" t="e">
        <f t="shared" si="12"/>
        <v>#N/A</v>
      </c>
      <c r="T37" s="1183" t="s">
        <v>1037</v>
      </c>
      <c r="U37" s="1184" t="e">
        <f t="shared" si="13"/>
        <v>#N/A</v>
      </c>
      <c r="V37" s="1183" t="s">
        <v>1037</v>
      </c>
      <c r="W37" s="1184" t="e">
        <f t="shared" si="14"/>
        <v>#N/A</v>
      </c>
      <c r="X37" s="1177"/>
      <c r="Y37" s="3468"/>
      <c r="Z37" s="1167" t="str">
        <f t="shared" si="15"/>
        <v>成新度</v>
      </c>
      <c r="AA37" s="1194" t="e">
        <f t="shared" si="3"/>
        <v>#N/A</v>
      </c>
      <c r="AB37" s="1194" t="e">
        <f t="shared" si="4"/>
        <v>#N/A</v>
      </c>
      <c r="AC37" s="1554" t="e">
        <f t="shared" si="5"/>
        <v>#N/A</v>
      </c>
    </row>
    <row r="38" spans="1:29" s="970" customFormat="1" ht="15">
      <c r="A38" s="1064"/>
      <c r="B38" s="1008" t="s">
        <v>1488</v>
      </c>
      <c r="C38" s="1398"/>
      <c r="D38" s="1010">
        <v>100</v>
      </c>
      <c r="E38" s="1398"/>
      <c r="F38" s="1388">
        <f>SUMIF(113:113,E38,114:114)-SUMIF(113:113,C38,114:114)+100</f>
        <v>100</v>
      </c>
      <c r="G38" s="1398"/>
      <c r="H38" s="1020">
        <f>SUMIF(113:113,G38,114:114)-SUMIF(113:113,C38,114:114)+100</f>
        <v>100</v>
      </c>
      <c r="I38" s="1398"/>
      <c r="J38" s="1020">
        <f>SUMIF(113:113,I38,114:114)-SUMIF(113:113,C38,114:114)+100</f>
        <v>100</v>
      </c>
      <c r="K38" s="1153"/>
      <c r="L38" s="1137"/>
      <c r="M38" s="1138"/>
      <c r="N38" s="1138"/>
      <c r="O38" s="1138"/>
      <c r="P38" s="3464"/>
      <c r="Q38" s="1182" t="str">
        <f t="shared" si="11"/>
        <v>写字楼等级</v>
      </c>
      <c r="R38" s="1178" t="s">
        <v>1037</v>
      </c>
      <c r="S38" s="1179">
        <f t="shared" si="12"/>
        <v>100</v>
      </c>
      <c r="T38" s="1178" t="s">
        <v>1037</v>
      </c>
      <c r="U38" s="1179">
        <f t="shared" si="13"/>
        <v>100</v>
      </c>
      <c r="V38" s="1178" t="s">
        <v>1037</v>
      </c>
      <c r="W38" s="1179">
        <f t="shared" si="14"/>
        <v>100</v>
      </c>
      <c r="X38" s="1180"/>
      <c r="Y38" s="3468"/>
      <c r="Z38" s="1193" t="str">
        <f t="shared" si="15"/>
        <v>写字楼等级</v>
      </c>
      <c r="AA38" s="1192">
        <f t="shared" si="3"/>
        <v>1</v>
      </c>
      <c r="AB38" s="1192">
        <f t="shared" si="4"/>
        <v>1</v>
      </c>
      <c r="AC38" s="1553">
        <f t="shared" si="5"/>
        <v>1</v>
      </c>
    </row>
    <row r="39" spans="1:29" ht="15">
      <c r="A39" s="1062"/>
      <c r="B39" s="1008" t="s">
        <v>1075</v>
      </c>
      <c r="C39" s="1398"/>
      <c r="D39" s="1020">
        <v>100</v>
      </c>
      <c r="E39" s="1398"/>
      <c r="F39" s="1388">
        <f>SUMIF(115:115,E39,116:116)-SUMIF(115:115,C39,116:116)+100</f>
        <v>100</v>
      </c>
      <c r="G39" s="1398"/>
      <c r="H39" s="1020">
        <f>SUMIF(115:115,G39,116:116)-SUMIF(115:115,C39,116:116)+100</f>
        <v>100</v>
      </c>
      <c r="I39" s="1398"/>
      <c r="J39" s="1020">
        <f>SUMIF(115:115,I39,116:116)-SUMIF(115:115,C39,116:116)+100</f>
        <v>100</v>
      </c>
      <c r="K39" s="1153"/>
      <c r="L39" s="1147"/>
      <c r="M39" s="1135"/>
      <c r="N39" s="1135"/>
      <c r="O39" s="1135"/>
      <c r="P39" s="3464" t="s">
        <v>1068</v>
      </c>
      <c r="Q39" s="746" t="str">
        <f t="shared" si="11"/>
        <v>物业管理</v>
      </c>
      <c r="R39" s="1183" t="s">
        <v>1037</v>
      </c>
      <c r="S39" s="1184">
        <f t="shared" si="12"/>
        <v>100</v>
      </c>
      <c r="T39" s="1183" t="s">
        <v>1037</v>
      </c>
      <c r="U39" s="1184">
        <f t="shared" si="13"/>
        <v>100</v>
      </c>
      <c r="V39" s="1183" t="s">
        <v>1037</v>
      </c>
      <c r="W39" s="1184">
        <f t="shared" si="14"/>
        <v>100</v>
      </c>
      <c r="X39" s="1177"/>
      <c r="Y39" s="3468" t="s">
        <v>1068</v>
      </c>
      <c r="Z39" s="1167" t="str">
        <f t="shared" si="15"/>
        <v>物业管理</v>
      </c>
      <c r="AA39" s="1194">
        <f t="shared" si="3"/>
        <v>1</v>
      </c>
      <c r="AB39" s="1194">
        <f t="shared" si="4"/>
        <v>1</v>
      </c>
      <c r="AC39" s="1554">
        <f t="shared" si="5"/>
        <v>1</v>
      </c>
    </row>
    <row r="40" spans="1:29" ht="15">
      <c r="A40" s="1062"/>
      <c r="B40" s="1008" t="s">
        <v>1077</v>
      </c>
      <c r="C40" s="1398"/>
      <c r="D40" s="1020">
        <v>100</v>
      </c>
      <c r="E40" s="1398"/>
      <c r="F40" s="1388">
        <f>SUMIF(117:117,E40,118:118)-SUMIF(117:117,C40,118:118)+100</f>
        <v>100</v>
      </c>
      <c r="G40" s="1398"/>
      <c r="H40" s="1020">
        <f>SUMIF(117:117,G40,118:118)-SUMIF(117:117,C40,118:118)+100</f>
        <v>100</v>
      </c>
      <c r="I40" s="1398"/>
      <c r="J40" s="1020">
        <f>SUMIF(117:117,I40,118:118)-SUMIF(117:117,C40,118:118)+100</f>
        <v>100</v>
      </c>
      <c r="K40" s="1153"/>
      <c r="L40" s="1147"/>
      <c r="M40" s="1135"/>
      <c r="N40" s="1135"/>
      <c r="O40" s="1135"/>
      <c r="P40" s="3464"/>
      <c r="Q40" s="746" t="str">
        <f t="shared" si="11"/>
        <v>市政基础设施</v>
      </c>
      <c r="R40" s="1183" t="s">
        <v>1037</v>
      </c>
      <c r="S40" s="1184">
        <f t="shared" si="12"/>
        <v>100</v>
      </c>
      <c r="T40" s="1183" t="s">
        <v>1037</v>
      </c>
      <c r="U40" s="1184">
        <f t="shared" si="13"/>
        <v>100</v>
      </c>
      <c r="V40" s="1183" t="s">
        <v>1037</v>
      </c>
      <c r="W40" s="1184">
        <f t="shared" si="14"/>
        <v>100</v>
      </c>
      <c r="X40" s="1177"/>
      <c r="Y40" s="3468"/>
      <c r="Z40" s="1167" t="str">
        <f t="shared" si="15"/>
        <v>市政基础设施</v>
      </c>
      <c r="AA40" s="1194">
        <f t="shared" si="3"/>
        <v>1</v>
      </c>
      <c r="AB40" s="1194">
        <f t="shared" si="4"/>
        <v>1</v>
      </c>
      <c r="AC40" s="1554">
        <f t="shared" si="5"/>
        <v>1</v>
      </c>
    </row>
    <row r="41" spans="1:29" ht="15">
      <c r="A41" s="1062"/>
      <c r="B41" s="1008" t="s">
        <v>1479</v>
      </c>
      <c r="C41" s="1045"/>
      <c r="D41" s="1020">
        <v>100</v>
      </c>
      <c r="E41" s="1045"/>
      <c r="F41" s="1388">
        <f>SUMIF(119:119,E41,120:120)-SUMIF(119:119,C41,120:120)+100</f>
        <v>100</v>
      </c>
      <c r="G41" s="1045"/>
      <c r="H41" s="1020">
        <f>SUMIF(119:119,G41,120:120)-SUMIF(119:119,C41,120:120)+100</f>
        <v>100</v>
      </c>
      <c r="I41" s="1045"/>
      <c r="J41" s="1020">
        <f>SUMIF(119:119,I41,120:120)-SUMIF(119:119,C41,120:120)+100</f>
        <v>100</v>
      </c>
      <c r="K41" s="1153"/>
      <c r="L41" s="1147"/>
      <c r="M41" s="1135"/>
      <c r="N41" s="1135"/>
      <c r="O41" s="1135"/>
      <c r="P41" s="3464"/>
      <c r="Q41" s="746" t="str">
        <f t="shared" si="11"/>
        <v>层高</v>
      </c>
      <c r="R41" s="1183" t="s">
        <v>1037</v>
      </c>
      <c r="S41" s="1184">
        <f t="shared" si="12"/>
        <v>100</v>
      </c>
      <c r="T41" s="1183" t="s">
        <v>1037</v>
      </c>
      <c r="U41" s="1184">
        <f t="shared" si="13"/>
        <v>100</v>
      </c>
      <c r="V41" s="1183" t="s">
        <v>1037</v>
      </c>
      <c r="W41" s="1184">
        <f t="shared" si="14"/>
        <v>100</v>
      </c>
      <c r="X41" s="1177"/>
      <c r="Y41" s="3468"/>
      <c r="Z41" s="1167" t="str">
        <f t="shared" si="15"/>
        <v>层高</v>
      </c>
      <c r="AA41" s="1194">
        <f t="shared" si="3"/>
        <v>1</v>
      </c>
      <c r="AB41" s="1194">
        <f t="shared" si="4"/>
        <v>1</v>
      </c>
      <c r="AC41" s="1554">
        <f t="shared" si="5"/>
        <v>1</v>
      </c>
    </row>
    <row r="42" spans="1:29" s="972" customFormat="1" ht="15">
      <c r="A42" s="1067"/>
      <c r="B42" s="1162" t="s">
        <v>1489</v>
      </c>
      <c r="C42" s="1019"/>
      <c r="D42" s="1020">
        <v>100</v>
      </c>
      <c r="E42" s="1019"/>
      <c r="F42" s="1388">
        <f>SUMIF(121:121,E42,122:122)-SUMIF(121:121,C42,122:122)+100</f>
        <v>100</v>
      </c>
      <c r="G42" s="1019"/>
      <c r="H42" s="1020">
        <f>SUMIF(121:121,G42,122:122)-SUMIF(121:121,C42,122:122)+100</f>
        <v>100</v>
      </c>
      <c r="I42" s="1019"/>
      <c r="J42" s="1020">
        <f>SUMIF(121:121,I42,122:122)-SUMIF(121:121,C42,122:122)+100</f>
        <v>100</v>
      </c>
      <c r="K42" s="1152"/>
      <c r="L42" s="1145"/>
      <c r="M42" s="1154"/>
      <c r="N42" s="1154"/>
      <c r="O42" s="1154"/>
      <c r="P42" s="3464"/>
      <c r="Q42" s="1427" t="str">
        <f t="shared" si="11"/>
        <v>单套建筑面积</v>
      </c>
      <c r="R42" s="1185" t="s">
        <v>1037</v>
      </c>
      <c r="S42" s="1186">
        <f t="shared" si="12"/>
        <v>100</v>
      </c>
      <c r="T42" s="1185" t="s">
        <v>1037</v>
      </c>
      <c r="U42" s="1186">
        <f t="shared" si="13"/>
        <v>100</v>
      </c>
      <c r="V42" s="1185" t="s">
        <v>1037</v>
      </c>
      <c r="W42" s="1186">
        <f t="shared" si="14"/>
        <v>100</v>
      </c>
      <c r="X42" s="1187"/>
      <c r="Y42" s="3468"/>
      <c r="Z42" s="1195" t="str">
        <f t="shared" si="15"/>
        <v>单套建筑面积</v>
      </c>
      <c r="AA42" s="1194">
        <f t="shared" si="3"/>
        <v>1</v>
      </c>
      <c r="AB42" s="1194">
        <f t="shared" si="4"/>
        <v>1</v>
      </c>
      <c r="AC42" s="1554">
        <f t="shared" si="5"/>
        <v>1</v>
      </c>
    </row>
    <row r="43" spans="1:29" ht="15">
      <c r="A43" s="1062"/>
      <c r="B43" s="1008" t="s">
        <v>1083</v>
      </c>
      <c r="C43" s="1398"/>
      <c r="D43" s="1020">
        <v>100</v>
      </c>
      <c r="E43" s="1398"/>
      <c r="F43" s="1388">
        <f>SUMIF(123:123,E43,124:124)-SUMIF(123:123,C43,124:124)+100</f>
        <v>100</v>
      </c>
      <c r="G43" s="1398"/>
      <c r="H43" s="1020">
        <f>SUMIF(123:123,G43,124:124)-SUMIF(123:123,C43,124:124)+100</f>
        <v>100</v>
      </c>
      <c r="I43" s="1398"/>
      <c r="J43" s="1020">
        <f>SUMIF(123:123,I43,124:124)-SUMIF(123:123,C43,124:124)+100</f>
        <v>100</v>
      </c>
      <c r="K43" s="1153"/>
      <c r="L43" s="1147"/>
      <c r="M43" s="1135"/>
      <c r="N43" s="1135"/>
      <c r="O43" s="1135"/>
      <c r="P43" s="3464"/>
      <c r="Q43" s="746" t="str">
        <f t="shared" si="11"/>
        <v>内部装修</v>
      </c>
      <c r="R43" s="1183" t="s">
        <v>1037</v>
      </c>
      <c r="S43" s="1184">
        <f t="shared" si="12"/>
        <v>100</v>
      </c>
      <c r="T43" s="1183" t="s">
        <v>1037</v>
      </c>
      <c r="U43" s="1184">
        <f t="shared" si="13"/>
        <v>100</v>
      </c>
      <c r="V43" s="1183" t="s">
        <v>1037</v>
      </c>
      <c r="W43" s="1184">
        <f t="shared" si="14"/>
        <v>100</v>
      </c>
      <c r="X43" s="1177"/>
      <c r="Y43" s="3468"/>
      <c r="Z43" s="1167" t="str">
        <f t="shared" si="15"/>
        <v>内部装修</v>
      </c>
      <c r="AA43" s="1194">
        <f t="shared" si="3"/>
        <v>1</v>
      </c>
      <c r="AB43" s="1194">
        <f t="shared" si="4"/>
        <v>1</v>
      </c>
      <c r="AC43" s="1554">
        <f t="shared" si="5"/>
        <v>1</v>
      </c>
    </row>
    <row r="44" spans="1:29" ht="15">
      <c r="A44" s="1062"/>
      <c r="B44" s="1008" t="s">
        <v>1086</v>
      </c>
      <c r="C44" s="1398"/>
      <c r="D44" s="1020">
        <v>100</v>
      </c>
      <c r="E44" s="1063"/>
      <c r="F44" s="1388">
        <f>SUMIF(125:125,E44,126:126)-SUMIF(125:125,C44,126:126)+100</f>
        <v>100</v>
      </c>
      <c r="G44" s="1063"/>
      <c r="H44" s="1020">
        <f>SUMIF(125:125,G44,126:126)-SUMIF(125:125,C44,126:126)+100</f>
        <v>100</v>
      </c>
      <c r="I44" s="1063"/>
      <c r="J44" s="1020">
        <f>SUMIF(125:125,I44,126:126)-SUMIF(125:125,C44,126:126)+100</f>
        <v>100</v>
      </c>
      <c r="K44" s="1153"/>
      <c r="L44" s="1147"/>
      <c r="M44" s="1135"/>
      <c r="N44" s="1135"/>
      <c r="O44" s="1135"/>
      <c r="P44" s="3464"/>
      <c r="Q44" s="746" t="str">
        <f t="shared" si="11"/>
        <v>内部装修维护情况</v>
      </c>
      <c r="R44" s="1183" t="s">
        <v>1037</v>
      </c>
      <c r="S44" s="1184">
        <f t="shared" si="12"/>
        <v>100</v>
      </c>
      <c r="T44" s="1183" t="s">
        <v>1037</v>
      </c>
      <c r="U44" s="1184">
        <f t="shared" si="13"/>
        <v>100</v>
      </c>
      <c r="V44" s="1183" t="s">
        <v>1037</v>
      </c>
      <c r="W44" s="1184">
        <f t="shared" si="14"/>
        <v>100</v>
      </c>
      <c r="X44" s="1177"/>
      <c r="Y44" s="3468"/>
      <c r="Z44" s="1167" t="str">
        <f t="shared" si="15"/>
        <v>内部装修维护情况</v>
      </c>
      <c r="AA44" s="1194">
        <f t="shared" si="3"/>
        <v>1</v>
      </c>
      <c r="AB44" s="1194">
        <f t="shared" si="4"/>
        <v>1</v>
      </c>
      <c r="AC44" s="1554">
        <f t="shared" si="5"/>
        <v>1</v>
      </c>
    </row>
    <row r="45" spans="1:29" s="970" customFormat="1" ht="15">
      <c r="A45" s="1064"/>
      <c r="B45" s="1327">
        <v>111</v>
      </c>
      <c r="C45" s="1382"/>
      <c r="D45" s="1010">
        <v>100</v>
      </c>
      <c r="E45" s="1009"/>
      <c r="F45" s="1381">
        <f>SUMIF(127:127,E45,128:128)-SUMIF(127:127,C45,128:128)+100</f>
        <v>100</v>
      </c>
      <c r="G45" s="1009"/>
      <c r="H45" s="1010">
        <f>SUMIF(127:127,G45,128:128)-SUMIF(127:127,C45,128:128)+100</f>
        <v>100</v>
      </c>
      <c r="I45" s="1009"/>
      <c r="J45" s="1010">
        <f>SUMIF(127:127,I45,128:128)-SUMIF(127:127,C45,128:128)+100</f>
        <v>100</v>
      </c>
      <c r="K45" s="1152"/>
      <c r="L45" s="1137"/>
      <c r="M45" s="1138"/>
      <c r="N45" s="1138"/>
      <c r="O45" s="1138"/>
      <c r="P45" s="3464"/>
      <c r="Q45" s="1182">
        <f t="shared" si="11"/>
        <v>111</v>
      </c>
      <c r="R45" s="1178" t="s">
        <v>1037</v>
      </c>
      <c r="S45" s="1179">
        <f t="shared" si="12"/>
        <v>100</v>
      </c>
      <c r="T45" s="1178" t="s">
        <v>1037</v>
      </c>
      <c r="U45" s="1179">
        <f t="shared" si="13"/>
        <v>100</v>
      </c>
      <c r="V45" s="1178" t="s">
        <v>1037</v>
      </c>
      <c r="W45" s="1179">
        <f t="shared" si="14"/>
        <v>100</v>
      </c>
      <c r="X45" s="1180"/>
      <c r="Y45" s="3468"/>
      <c r="Z45" s="1193">
        <f t="shared" si="15"/>
        <v>111</v>
      </c>
      <c r="AA45" s="1192">
        <f t="shared" si="3"/>
        <v>1</v>
      </c>
      <c r="AB45" s="1192">
        <f t="shared" si="4"/>
        <v>1</v>
      </c>
      <c r="AC45" s="1553">
        <f t="shared" si="5"/>
        <v>1</v>
      </c>
    </row>
    <row r="46" spans="1:29" ht="15">
      <c r="A46" s="1062"/>
      <c r="B46" s="1327">
        <v>111</v>
      </c>
      <c r="C46" s="1019"/>
      <c r="D46" s="1020">
        <v>100</v>
      </c>
      <c r="E46" s="1009"/>
      <c r="F46" s="1388">
        <f>SUMIF(129:129,E46,130:130)-SUMIF(129:129,C46,130:130)+100</f>
        <v>100</v>
      </c>
      <c r="G46" s="1009"/>
      <c r="H46" s="1020">
        <f>SUMIF(129:129,G46,130:130)-SUMIF(129:129,C46,130:130)+100</f>
        <v>100</v>
      </c>
      <c r="I46" s="1009"/>
      <c r="J46" s="1020">
        <f>SUMIF(129:129,I46,130:130)-SUMIF(129:129,C46,130:130)+100</f>
        <v>100</v>
      </c>
      <c r="K46" s="1152"/>
      <c r="L46" s="1147"/>
      <c r="M46" s="1135"/>
      <c r="N46" s="1135"/>
      <c r="O46" s="1135"/>
      <c r="P46" s="3464"/>
      <c r="Q46" s="746">
        <f t="shared" si="11"/>
        <v>111</v>
      </c>
      <c r="R46" s="1183" t="s">
        <v>1037</v>
      </c>
      <c r="S46" s="1184">
        <f t="shared" si="12"/>
        <v>100</v>
      </c>
      <c r="T46" s="1183" t="s">
        <v>1037</v>
      </c>
      <c r="U46" s="1184">
        <f t="shared" si="13"/>
        <v>100</v>
      </c>
      <c r="V46" s="1183" t="s">
        <v>1037</v>
      </c>
      <c r="W46" s="1184">
        <f t="shared" si="14"/>
        <v>100</v>
      </c>
      <c r="X46" s="1177"/>
      <c r="Y46" s="3468"/>
      <c r="Z46" s="1167">
        <f t="shared" si="15"/>
        <v>111</v>
      </c>
      <c r="AA46" s="1194">
        <f t="shared" si="3"/>
        <v>1</v>
      </c>
      <c r="AB46" s="1194">
        <f t="shared" si="4"/>
        <v>1</v>
      </c>
      <c r="AC46" s="1554">
        <f t="shared" si="5"/>
        <v>1</v>
      </c>
    </row>
    <row r="47" spans="1:29" ht="15">
      <c r="A47" s="1400"/>
      <c r="B47" s="1022">
        <v>111</v>
      </c>
      <c r="C47" s="1023"/>
      <c r="D47" s="1024">
        <v>100</v>
      </c>
      <c r="E47" s="1009"/>
      <c r="F47" s="1401">
        <f>SUMIF(131:131,E47,132:132)-SUMIF(131:131,C47,132:132)+100</f>
        <v>100</v>
      </c>
      <c r="G47" s="1009"/>
      <c r="H47" s="1024">
        <f>SUMIF(131:131,G47,132:132)-SUMIF(131:131,C47,132:132)+100</f>
        <v>100</v>
      </c>
      <c r="I47" s="1009"/>
      <c r="J47" s="1024">
        <f>SUMIF(131:131,I47,132:132)-SUMIF(131:131,C47,132:132)+100</f>
        <v>100</v>
      </c>
      <c r="K47" s="1152"/>
      <c r="L47" s="1147"/>
      <c r="M47" s="1135"/>
      <c r="N47" s="1135"/>
      <c r="O47" s="1135"/>
      <c r="P47" s="3465"/>
      <c r="Q47" s="746">
        <f t="shared" si="11"/>
        <v>111</v>
      </c>
      <c r="R47" s="1183" t="s">
        <v>1037</v>
      </c>
      <c r="S47" s="1184">
        <f t="shared" si="12"/>
        <v>100</v>
      </c>
      <c r="T47" s="1183" t="s">
        <v>1037</v>
      </c>
      <c r="U47" s="1184">
        <f t="shared" si="13"/>
        <v>100</v>
      </c>
      <c r="V47" s="1183" t="s">
        <v>1037</v>
      </c>
      <c r="W47" s="1184">
        <f t="shared" si="14"/>
        <v>100</v>
      </c>
      <c r="X47" s="1177"/>
      <c r="Y47" s="3469"/>
      <c r="Z47" s="1167">
        <f t="shared" si="15"/>
        <v>111</v>
      </c>
      <c r="AA47" s="1194">
        <f t="shared" si="3"/>
        <v>1</v>
      </c>
      <c r="AB47" s="1194">
        <f t="shared" si="4"/>
        <v>1</v>
      </c>
      <c r="AC47" s="1554">
        <f t="shared" si="5"/>
        <v>1</v>
      </c>
    </row>
    <row r="48" spans="1:29" ht="15">
      <c r="A48" s="1069" t="s">
        <v>1087</v>
      </c>
      <c r="B48" s="1402"/>
      <c r="C48" s="1403" t="s">
        <v>124</v>
      </c>
      <c r="D48" s="1404"/>
      <c r="E48" s="1405"/>
      <c r="F48" s="1406"/>
      <c r="G48" s="1407"/>
      <c r="H48" s="1408"/>
      <c r="I48" s="1405"/>
      <c r="J48" s="1076"/>
      <c r="K48" s="1158"/>
      <c r="L48" s="1159"/>
      <c r="M48" s="1135"/>
      <c r="N48" s="1135"/>
      <c r="O48" s="1135"/>
      <c r="P48" s="3460" t="str">
        <f>A48</f>
        <v>成交单价（元/平方米）</v>
      </c>
      <c r="Q48" s="3458"/>
      <c r="R48" s="3470">
        <f>E48</f>
        <v>0</v>
      </c>
      <c r="S48" s="3470"/>
      <c r="T48" s="3470">
        <f>G48</f>
        <v>0</v>
      </c>
      <c r="U48" s="3470"/>
      <c r="V48" s="3470">
        <f>I48</f>
        <v>0</v>
      </c>
      <c r="W48" s="3470"/>
      <c r="X48" s="1320"/>
      <c r="Y48" s="1196"/>
      <c r="Z48" s="1320"/>
      <c r="AA48" s="1320"/>
      <c r="AB48" s="1320"/>
      <c r="AC48" s="1030"/>
    </row>
    <row r="49" spans="1:29" ht="15">
      <c r="A49" s="1077" t="s">
        <v>1088</v>
      </c>
      <c r="B49" s="1409"/>
      <c r="C49" s="1410" t="e">
        <f>R50</f>
        <v>#DIV/0!</v>
      </c>
      <c r="D49" s="1080" t="s">
        <v>1089</v>
      </c>
      <c r="E49" s="1411" t="e">
        <f>R49</f>
        <v>#DIV/0!</v>
      </c>
      <c r="F49" s="1081"/>
      <c r="G49" s="1410" t="e">
        <f>T49</f>
        <v>#DIV/0!</v>
      </c>
      <c r="H49" s="1081"/>
      <c r="I49" s="1411" t="e">
        <f>V49</f>
        <v>#DIV/0!</v>
      </c>
      <c r="J49" s="1081"/>
      <c r="K49" s="1160">
        <f>F49+H49+J49</f>
        <v>0</v>
      </c>
      <c r="L49" s="1159"/>
      <c r="M49" s="1135"/>
      <c r="N49" s="1135"/>
      <c r="O49" s="1135"/>
      <c r="P49" s="3460" t="str">
        <f>A49</f>
        <v>比较价值（元/平方米）</v>
      </c>
      <c r="Q49" s="3458"/>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320"/>
      <c r="Y49" s="1320"/>
      <c r="Z49" s="1320"/>
      <c r="AA49" s="1320"/>
      <c r="AB49" s="1320"/>
      <c r="AC49" s="1030"/>
    </row>
    <row r="50" spans="1:29" ht="15">
      <c r="A50" s="1083" t="s">
        <v>1090</v>
      </c>
      <c r="B50" s="1084"/>
      <c r="C50" s="1412" t="e">
        <f>R50</f>
        <v>#DIV/0!</v>
      </c>
      <c r="D50" s="1412"/>
      <c r="E50" s="1412"/>
      <c r="F50" s="1412"/>
      <c r="G50" s="1412"/>
      <c r="H50" s="1412"/>
      <c r="I50" s="1412"/>
      <c r="J50" s="1085"/>
      <c r="K50" s="1161"/>
      <c r="L50" s="1159"/>
      <c r="M50" s="1135"/>
      <c r="N50" s="1135"/>
      <c r="O50" s="1135"/>
      <c r="P50" s="3490" t="str">
        <f>A50</f>
        <v>估价对象XX用房的比较价值（楼面单价，元/平方米）</v>
      </c>
      <c r="Q50" s="3491"/>
      <c r="R50" s="3492" t="e">
        <f>IF(F1="售价",ROUND(IF(D49="简单平均",AVERAGE(R49:V49),R49*F49+T49*H49+V49*J49),0),ROUND(IF(D49="简单平均",AVERAGE(R49:V49),R49*F49+T49*H49+V49*J49),1))</f>
        <v>#DIV/0!</v>
      </c>
      <c r="S50" s="3492"/>
      <c r="T50" s="3492"/>
      <c r="U50" s="3492"/>
      <c r="V50" s="3492"/>
      <c r="W50" s="3492"/>
      <c r="X50" s="1552"/>
      <c r="Y50" s="1552"/>
      <c r="Z50" s="1552"/>
      <c r="AA50" s="1552"/>
      <c r="AB50" s="1552"/>
      <c r="AC50" s="1555"/>
    </row>
    <row r="51" spans="1:29">
      <c r="A51" s="1086"/>
      <c r="B51" s="1086"/>
      <c r="C51" s="1086"/>
      <c r="D51" s="1086"/>
      <c r="E51" s="1086"/>
      <c r="F51" s="1086"/>
      <c r="G51" s="1087"/>
      <c r="H51" s="1086"/>
      <c r="I51" s="1086"/>
      <c r="J51" s="1086"/>
      <c r="K51" s="1163"/>
      <c r="L51" s="1164"/>
      <c r="M51" s="1086"/>
      <c r="N51" s="1086"/>
      <c r="O51" s="1086"/>
      <c r="P51" s="1479"/>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163"/>
      <c r="L52" s="1164"/>
      <c r="M52" s="1086"/>
      <c r="N52" s="1086"/>
      <c r="O52" s="1086"/>
      <c r="P52" s="1479"/>
      <c r="Q52" s="1086"/>
      <c r="R52" s="1086"/>
      <c r="S52" s="1086"/>
      <c r="T52" s="1086"/>
      <c r="U52" s="1086"/>
      <c r="V52" s="1086"/>
      <c r="W52" s="1086"/>
      <c r="X52" s="1086"/>
      <c r="Y52" s="1086"/>
      <c r="Z52" s="1086"/>
      <c r="AA52" s="1086"/>
      <c r="AB52" s="1086"/>
      <c r="AC52" s="1086"/>
    </row>
    <row r="53" spans="1:29" ht="13.5" customHeight="1">
      <c r="A53" s="1086"/>
      <c r="B53" s="1086"/>
      <c r="C53" s="1088" t="s">
        <v>1091</v>
      </c>
      <c r="D53" s="788"/>
      <c r="E53" s="1089" t="e">
        <f>IF(E48&lt;E49,E49/E48-1,E48/E49-1)</f>
        <v>#DIV/0!</v>
      </c>
      <c r="F53" s="1090" t="e">
        <f>IF(OR(E53&gt;=0.3,E53&lt;=-0.3),"超过30%","")</f>
        <v>#DIV/0!</v>
      </c>
      <c r="G53" s="1089" t="e">
        <f>IF(G48&lt;G49,G49/G48-1,G48/G49-1)</f>
        <v>#DIV/0!</v>
      </c>
      <c r="H53" s="1090" t="e">
        <f>IF(OR(G53&gt;=0.3,G53&lt;=-0.3),"超过30%","")</f>
        <v>#DIV/0!</v>
      </c>
      <c r="I53" s="1089" t="e">
        <f>IF(I48&lt;I49,I49/I48-1,I48/I49-1)</f>
        <v>#DIV/0!</v>
      </c>
      <c r="J53" s="1090" t="e">
        <f>IF(OR(I53&gt;=0.3,I53&lt;=-0.3),"超过30%","")</f>
        <v>#DIV/0!</v>
      </c>
      <c r="K53" s="1163"/>
      <c r="L53" s="1164"/>
      <c r="M53" s="1086"/>
      <c r="N53" s="1086"/>
      <c r="O53" s="1086"/>
      <c r="P53" s="1479"/>
      <c r="Q53" s="1086"/>
      <c r="R53" s="1086"/>
      <c r="S53" s="1086"/>
      <c r="T53" s="1086"/>
      <c r="U53" s="1086"/>
      <c r="V53" s="1086"/>
      <c r="W53" s="1086"/>
      <c r="X53" s="1086"/>
      <c r="Y53" s="1086"/>
      <c r="Z53" s="1086"/>
      <c r="AA53" s="1086"/>
      <c r="AB53" s="1086"/>
      <c r="AC53" s="1086"/>
    </row>
    <row r="54" spans="1:29" ht="13.5" customHeight="1">
      <c r="A54" s="1086"/>
      <c r="B54" s="1086"/>
      <c r="C54" s="1088" t="s">
        <v>1092</v>
      </c>
      <c r="D54" s="787"/>
      <c r="E54" s="1089" t="e">
        <f>IF(E49&lt;G49,G49/E49-1,E49/G49-1)</f>
        <v>#DIV/0!</v>
      </c>
      <c r="F54" s="1090" t="e">
        <f>IF(OR(E54&gt;=0.2,E54&lt;=-0.2),"超过20%","")</f>
        <v>#DIV/0!</v>
      </c>
      <c r="G54" s="1089" t="e">
        <f>IF(G49&lt;I49,I49/G49-1,G49/I49-1)</f>
        <v>#DIV/0!</v>
      </c>
      <c r="H54" s="1090" t="e">
        <f>IF(OR(G54&gt;=0.2,G54&lt;=-0.2),"超过20%","")</f>
        <v>#DIV/0!</v>
      </c>
      <c r="I54" s="1089" t="e">
        <f>IF(I49&lt;E49,E49/I49-1,I49/E49-1)</f>
        <v>#DIV/0!</v>
      </c>
      <c r="J54" s="1090" t="e">
        <f>IF(OR(I54&gt;=0.2,I54&lt;=-0.2),"超过20%","")</f>
        <v>#DIV/0!</v>
      </c>
      <c r="K54" s="1163"/>
      <c r="L54" s="1164"/>
      <c r="M54" s="1086"/>
      <c r="N54" s="1086"/>
      <c r="O54" s="1086"/>
      <c r="P54" s="1479"/>
      <c r="Q54" s="1086"/>
      <c r="R54" s="1086"/>
      <c r="S54" s="1086"/>
      <c r="T54" s="1086"/>
      <c r="U54" s="1086"/>
      <c r="V54" s="1086"/>
      <c r="W54" s="1086"/>
      <c r="X54" s="1086"/>
      <c r="Y54" s="1086"/>
      <c r="Z54" s="1086"/>
      <c r="AA54" s="1086"/>
      <c r="AB54" s="1086"/>
      <c r="AC54" s="1086"/>
    </row>
    <row r="55" spans="1:29" s="973" customFormat="1" ht="13.5" customHeight="1">
      <c r="A55" s="1091"/>
      <c r="B55" s="1091"/>
      <c r="C55" s="1088" t="s">
        <v>1093</v>
      </c>
      <c r="D55" s="787"/>
      <c r="E55" s="1089" t="e">
        <f>IF(E48&lt;G48,G48/E48-1,E48/G48-1)</f>
        <v>#DIV/0!</v>
      </c>
      <c r="F55" s="1090" t="e">
        <f>IF(OR(E55&gt;=0.3,E55&lt;=-0.3),"超过30%","")</f>
        <v>#DIV/0!</v>
      </c>
      <c r="G55" s="1089" t="e">
        <f>IF(G48&lt;I48,I48/G48-1,G48/I48-1)</f>
        <v>#DIV/0!</v>
      </c>
      <c r="H55" s="1090" t="e">
        <f>IF(OR(G55&gt;=0.3,G55&lt;=-0.3),"超过30%","")</f>
        <v>#DIV/0!</v>
      </c>
      <c r="I55" s="1089" t="e">
        <f>IF(I48&lt;E48,E48/I48-1,I48/E48-1)</f>
        <v>#DIV/0!</v>
      </c>
      <c r="J55" s="1090" t="e">
        <f>IF(OR(I55&gt;=0.3,I55&lt;=-0.3),"超过30%","")</f>
        <v>#DIV/0!</v>
      </c>
      <c r="K55" s="1165"/>
      <c r="L55" s="1166"/>
      <c r="M55" s="1091"/>
      <c r="N55" s="1091"/>
      <c r="O55" s="1091"/>
      <c r="P55" s="1480"/>
      <c r="Q55" s="1091"/>
      <c r="R55" s="1091"/>
      <c r="S55" s="1091"/>
      <c r="T55" s="1091"/>
      <c r="U55" s="1091"/>
      <c r="V55" s="1091"/>
      <c r="W55" s="1091"/>
      <c r="X55" s="1091"/>
      <c r="Y55" s="1091"/>
      <c r="Z55" s="1091"/>
      <c r="AA55" s="1091"/>
      <c r="AB55" s="1091"/>
      <c r="AC55" s="1091"/>
    </row>
    <row r="56" spans="1:29" s="973" customFormat="1">
      <c r="A56" s="1091"/>
      <c r="B56" s="1092"/>
      <c r="C56" s="1413"/>
      <c r="D56" s="1091"/>
      <c r="E56" s="1091"/>
      <c r="F56" s="1091"/>
      <c r="G56" s="1091"/>
      <c r="H56" s="1091"/>
      <c r="I56" s="1091"/>
      <c r="J56" s="1091"/>
      <c r="K56" s="1165"/>
      <c r="L56" s="1166"/>
      <c r="M56" s="1091"/>
      <c r="N56" s="1091"/>
      <c r="O56" s="1091"/>
      <c r="P56" s="1480"/>
      <c r="Q56" s="1091"/>
      <c r="R56" s="1091"/>
      <c r="S56" s="1091"/>
      <c r="T56" s="1091"/>
      <c r="U56" s="1091"/>
      <c r="V56" s="1091"/>
      <c r="W56" s="1091"/>
      <c r="X56" s="1091"/>
      <c r="Y56" s="1091"/>
      <c r="Z56" s="1091"/>
      <c r="AA56" s="1091"/>
      <c r="AB56" s="1091"/>
      <c r="AC56" s="1091"/>
    </row>
    <row r="57" spans="1:29">
      <c r="A57" s="1086"/>
      <c r="B57" s="1092"/>
      <c r="C57" s="1413"/>
      <c r="D57" s="1086"/>
      <c r="E57" s="1086"/>
      <c r="F57" s="1086"/>
      <c r="G57" s="1086"/>
      <c r="H57" s="1086"/>
      <c r="I57" s="1086"/>
      <c r="J57" s="1086"/>
      <c r="K57" s="1163"/>
      <c r="L57" s="1164"/>
      <c r="M57" s="1086"/>
      <c r="N57" s="1086"/>
      <c r="O57" s="1086"/>
      <c r="P57" s="1479"/>
      <c r="Q57" s="1086"/>
      <c r="R57" s="1086"/>
      <c r="S57" s="1086"/>
      <c r="T57" s="1086"/>
      <c r="U57" s="1086"/>
      <c r="V57" s="1086"/>
      <c r="W57" s="1086"/>
      <c r="X57" s="1086"/>
      <c r="Y57" s="1086"/>
      <c r="Z57" s="1086"/>
      <c r="AA57" s="1086"/>
      <c r="AB57" s="1086"/>
      <c r="AC57" s="1086"/>
    </row>
    <row r="58" spans="1:29" ht="21">
      <c r="A58" s="1122" t="s">
        <v>1094</v>
      </c>
      <c r="B58" s="1123"/>
      <c r="C58" s="1124"/>
      <c r="D58" s="1124"/>
      <c r="E58" s="1124"/>
      <c r="F58" s="1125"/>
      <c r="G58" s="1125"/>
      <c r="H58" s="1124"/>
      <c r="I58" s="1124"/>
      <c r="J58" s="1124"/>
      <c r="K58" s="1173"/>
      <c r="L58" s="1359"/>
      <c r="M58" s="1175"/>
      <c r="N58" s="1176"/>
      <c r="O58" s="1176"/>
      <c r="P58" s="1481"/>
      <c r="Q58" s="1188"/>
      <c r="R58" s="1086"/>
      <c r="S58" s="1086"/>
      <c r="T58" s="1086"/>
      <c r="U58" s="1086"/>
      <c r="V58" s="1086"/>
      <c r="W58" s="1086"/>
      <c r="X58" s="1086"/>
      <c r="Y58" s="1086"/>
      <c r="Z58" s="1086"/>
      <c r="AA58" s="1086"/>
      <c r="AB58" s="1086"/>
      <c r="AC58" s="1086"/>
    </row>
    <row r="59" spans="1:29" s="975" customFormat="1" ht="15">
      <c r="A59" s="1414" t="s">
        <v>1035</v>
      </c>
      <c r="B59" s="1415"/>
      <c r="C59" s="1416" t="str">
        <f>YEAR(C7)&amp;"-"&amp;MONTH(C7)</f>
        <v>2021-5</v>
      </c>
      <c r="D59" s="1417">
        <f>EDATE(C59,-1)</f>
        <v>44287</v>
      </c>
      <c r="E59" s="1417">
        <f>EDATE(D59,-1)</f>
        <v>44256</v>
      </c>
      <c r="F59" s="1417">
        <f t="shared" ref="F59:O59" si="16">EDATE(E59,-1)</f>
        <v>44228</v>
      </c>
      <c r="G59" s="1417">
        <f t="shared" si="16"/>
        <v>44197</v>
      </c>
      <c r="H59" s="1417">
        <f t="shared" si="16"/>
        <v>44166</v>
      </c>
      <c r="I59" s="1417">
        <f t="shared" si="16"/>
        <v>44136</v>
      </c>
      <c r="J59" s="1417">
        <f t="shared" si="16"/>
        <v>44105</v>
      </c>
      <c r="K59" s="1417">
        <f t="shared" si="16"/>
        <v>44075</v>
      </c>
      <c r="L59" s="1417">
        <f t="shared" si="16"/>
        <v>44044</v>
      </c>
      <c r="M59" s="1417">
        <f t="shared" si="16"/>
        <v>44013</v>
      </c>
      <c r="N59" s="1417">
        <f t="shared" si="16"/>
        <v>43983</v>
      </c>
      <c r="O59" s="1417">
        <f t="shared" si="16"/>
        <v>43952</v>
      </c>
      <c r="P59" s="1482"/>
      <c r="Q59" s="1307"/>
      <c r="R59" s="1307"/>
      <c r="S59" s="1307"/>
      <c r="T59" s="1307"/>
      <c r="U59" s="1307"/>
      <c r="V59" s="1307"/>
      <c r="W59" s="1307"/>
      <c r="X59" s="1307"/>
      <c r="Y59" s="1307"/>
      <c r="Z59" s="1307"/>
      <c r="AA59" s="1307"/>
      <c r="AB59" s="1307"/>
      <c r="AC59" s="1307"/>
    </row>
    <row r="60" spans="1:29" s="970" customFormat="1" ht="15">
      <c r="A60" s="1418"/>
      <c r="B60" s="1208"/>
      <c r="C60" s="1419">
        <v>100</v>
      </c>
      <c r="D60" s="1212"/>
      <c r="E60" s="1212"/>
      <c r="F60" s="1212"/>
      <c r="G60" s="1212"/>
      <c r="H60" s="1212"/>
      <c r="I60" s="1212"/>
      <c r="J60" s="1212"/>
      <c r="K60" s="1212"/>
      <c r="L60" s="1212"/>
      <c r="M60" s="1426"/>
      <c r="N60" s="1212"/>
      <c r="O60" s="1426"/>
      <c r="P60" s="1483"/>
      <c r="Q60" s="1308"/>
      <c r="R60" s="1308"/>
      <c r="S60" s="1308"/>
      <c r="T60" s="1308"/>
      <c r="U60" s="1308"/>
      <c r="V60" s="1308"/>
      <c r="W60" s="1308"/>
      <c r="X60" s="1308"/>
      <c r="Y60" s="1308"/>
      <c r="Z60" s="1308"/>
      <c r="AA60" s="1308"/>
      <c r="AB60" s="1308"/>
      <c r="AC60" s="1308"/>
    </row>
    <row r="61" spans="1:29" s="970" customFormat="1" ht="15">
      <c r="A61" s="1203" t="s">
        <v>1095</v>
      </c>
      <c r="B61" s="1204"/>
      <c r="C61" s="1205"/>
      <c r="D61" s="1206"/>
      <c r="E61" s="1206"/>
      <c r="F61" s="1206"/>
      <c r="G61" s="1206"/>
      <c r="H61" s="1206"/>
      <c r="I61" s="1206"/>
      <c r="J61" s="1206"/>
      <c r="K61" s="1206"/>
      <c r="L61" s="1206"/>
      <c r="M61" s="1254"/>
      <c r="N61" s="1206"/>
      <c r="O61" s="1254"/>
      <c r="P61" s="1483"/>
      <c r="Q61" s="1188"/>
      <c r="R61" s="1308"/>
      <c r="S61" s="1308"/>
      <c r="T61" s="1308"/>
      <c r="U61" s="1308"/>
      <c r="V61" s="1308"/>
      <c r="W61" s="1308"/>
      <c r="X61" s="1308"/>
      <c r="Y61" s="1308"/>
      <c r="Z61" s="1308"/>
      <c r="AA61" s="1308"/>
      <c r="AB61" s="1308"/>
      <c r="AC61" s="1308"/>
    </row>
    <row r="62" spans="1:29" s="970" customFormat="1" ht="15">
      <c r="A62" s="1207" t="s">
        <v>1038</v>
      </c>
      <c r="B62" s="1208"/>
      <c r="C62" s="1209" t="s">
        <v>1039</v>
      </c>
      <c r="D62" s="1210"/>
      <c r="E62" s="1210"/>
      <c r="F62" s="1210"/>
      <c r="G62" s="1210"/>
      <c r="H62" s="1210"/>
      <c r="I62" s="1210"/>
      <c r="J62" s="1210"/>
      <c r="K62" s="1210"/>
      <c r="L62" s="1256"/>
      <c r="M62" s="1257"/>
      <c r="N62" s="1258"/>
      <c r="O62" s="1258"/>
      <c r="P62" s="1484"/>
      <c r="Q62" s="1188"/>
      <c r="R62" s="1308"/>
      <c r="S62" s="1308"/>
      <c r="T62" s="1308"/>
      <c r="U62" s="1308"/>
      <c r="V62" s="1308"/>
      <c r="W62" s="1308"/>
      <c r="X62" s="1308"/>
      <c r="Y62" s="1308"/>
      <c r="Z62" s="1308"/>
      <c r="AA62" s="1308"/>
      <c r="AB62" s="1308"/>
      <c r="AC62" s="1308"/>
    </row>
    <row r="63" spans="1:29" s="970" customFormat="1" ht="15">
      <c r="A63" s="1207"/>
      <c r="B63" s="1208"/>
      <c r="C63" s="1550">
        <v>100</v>
      </c>
      <c r="D63" s="1212"/>
      <c r="E63" s="1212"/>
      <c r="F63" s="1212"/>
      <c r="G63" s="1212"/>
      <c r="H63" s="1212"/>
      <c r="I63" s="1212"/>
      <c r="J63" s="1212"/>
      <c r="K63" s="1212"/>
      <c r="L63" s="1212"/>
      <c r="M63" s="1260"/>
      <c r="N63" s="1258"/>
      <c r="O63" s="1258"/>
      <c r="P63" s="1483"/>
      <c r="Q63" s="1188"/>
      <c r="R63" s="1308"/>
      <c r="S63" s="1308"/>
      <c r="T63" s="1308"/>
      <c r="U63" s="1308"/>
      <c r="V63" s="1308"/>
      <c r="W63" s="1308"/>
      <c r="X63" s="1308"/>
      <c r="Y63" s="1308"/>
      <c r="Z63" s="1308"/>
      <c r="AA63" s="1308"/>
      <c r="AB63" s="1308"/>
      <c r="AC63" s="1308"/>
    </row>
    <row r="64" spans="1:29">
      <c r="A64" s="1213" t="s">
        <v>1096</v>
      </c>
      <c r="B64" s="1214" t="s">
        <v>1043</v>
      </c>
      <c r="C64" s="1236">
        <f>C9</f>
        <v>0</v>
      </c>
      <c r="D64" s="1156"/>
      <c r="E64" s="1156"/>
      <c r="F64" s="1156"/>
      <c r="G64" s="1156"/>
      <c r="H64" s="1156"/>
      <c r="I64" s="1156"/>
      <c r="J64" s="1156"/>
      <c r="K64" s="1261"/>
      <c r="L64" s="1262"/>
      <c r="M64" s="1263"/>
      <c r="N64" s="1264"/>
      <c r="O64" s="1264"/>
      <c r="P64" s="1485"/>
      <c r="Q64" s="1188"/>
      <c r="R64" s="1086"/>
      <c r="S64" s="1086"/>
      <c r="T64" s="1086"/>
      <c r="U64" s="1086"/>
      <c r="V64" s="1086"/>
      <c r="W64" s="1086"/>
      <c r="X64" s="1086"/>
      <c r="Y64" s="1086"/>
      <c r="Z64" s="1086"/>
      <c r="AA64" s="1086"/>
      <c r="AB64" s="1086"/>
      <c r="AC64" s="1086"/>
    </row>
    <row r="65" spans="1:29" ht="15">
      <c r="A65" s="1215"/>
      <c r="B65" s="1216"/>
      <c r="C65" s="1217">
        <v>100</v>
      </c>
      <c r="D65" s="1217"/>
      <c r="E65" s="1217"/>
      <c r="F65" s="1217"/>
      <c r="G65" s="1217"/>
      <c r="H65" s="1217"/>
      <c r="I65" s="1217"/>
      <c r="J65" s="1217"/>
      <c r="K65" s="1217"/>
      <c r="L65" s="1217"/>
      <c r="M65" s="1266"/>
      <c r="N65" s="1267"/>
      <c r="O65" s="1267"/>
      <c r="P65" s="1485"/>
      <c r="Q65" s="1188"/>
      <c r="R65" s="1086"/>
      <c r="S65" s="1086"/>
      <c r="T65" s="1086"/>
      <c r="U65" s="1086"/>
      <c r="V65" s="1086"/>
      <c r="W65" s="1086"/>
      <c r="X65" s="1086"/>
      <c r="Y65" s="1086"/>
      <c r="Z65" s="1086"/>
      <c r="AA65" s="1086"/>
      <c r="AB65" s="1086"/>
      <c r="AC65" s="1086"/>
    </row>
    <row r="66" spans="1:29" ht="27">
      <c r="A66" s="1215"/>
      <c r="B66" s="1218" t="s">
        <v>1047</v>
      </c>
      <c r="C66" s="1219" t="s">
        <v>1097</v>
      </c>
      <c r="D66" s="1219" t="s">
        <v>1098</v>
      </c>
      <c r="E66" s="1219" t="s">
        <v>1099</v>
      </c>
      <c r="F66" s="1219" t="s">
        <v>1100</v>
      </c>
      <c r="G66" s="1219" t="s">
        <v>1101</v>
      </c>
      <c r="H66" s="1219" t="s">
        <v>1102</v>
      </c>
      <c r="I66" s="1219" t="s">
        <v>1103</v>
      </c>
      <c r="J66" s="1219"/>
      <c r="K66" s="1268"/>
      <c r="L66" s="1269"/>
      <c r="M66" s="1270"/>
      <c r="N66" s="1264"/>
      <c r="O66" s="1264"/>
      <c r="P66" s="1485"/>
      <c r="Q66" s="1188"/>
      <c r="R66" s="1086"/>
      <c r="S66" s="1086"/>
      <c r="T66" s="1086"/>
      <c r="U66" s="1086"/>
      <c r="V66" s="1086"/>
      <c r="W66" s="1086"/>
      <c r="X66" s="1086"/>
      <c r="Y66" s="1086"/>
      <c r="Z66" s="1086"/>
      <c r="AA66" s="1086"/>
      <c r="AB66" s="1086"/>
      <c r="AC66" s="1086"/>
    </row>
    <row r="67" spans="1:29" ht="15">
      <c r="A67" s="1215"/>
      <c r="B67" s="1220"/>
      <c r="C67" s="1221" t="s">
        <v>1482</v>
      </c>
      <c r="D67" s="1221" t="s">
        <v>1482</v>
      </c>
      <c r="E67" s="1221">
        <v>100</v>
      </c>
      <c r="F67" s="1221">
        <f>E67-$K10</f>
        <v>100</v>
      </c>
      <c r="G67" s="1221">
        <f>F67-$K10</f>
        <v>100</v>
      </c>
      <c r="H67" s="1221">
        <f>G67-$K10</f>
        <v>100</v>
      </c>
      <c r="I67" s="1221">
        <f>H67-$K10</f>
        <v>100</v>
      </c>
      <c r="J67" s="1221"/>
      <c r="K67" s="1221"/>
      <c r="L67" s="1221"/>
      <c r="M67" s="1271"/>
      <c r="N67" s="1267"/>
      <c r="O67" s="1267"/>
      <c r="P67" s="1485"/>
      <c r="Q67" s="1188"/>
      <c r="R67" s="1086"/>
      <c r="S67" s="1086"/>
      <c r="T67" s="1086"/>
      <c r="U67" s="1086"/>
      <c r="V67" s="1086"/>
      <c r="W67" s="1086"/>
      <c r="X67" s="1086"/>
      <c r="Y67" s="1086"/>
      <c r="Z67" s="1086"/>
      <c r="AA67" s="1086"/>
      <c r="AB67" s="1086"/>
      <c r="AC67" s="1086"/>
    </row>
    <row r="68" spans="1:29" ht="15">
      <c r="A68" s="1215"/>
      <c r="B68" s="1222" t="s">
        <v>1049</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32" t="str">
        <f>M69&amp;"（含）"&amp;"-"&amp;P69</f>
        <v>（含）-</v>
      </c>
      <c r="N68" s="1267"/>
      <c r="O68" s="1267"/>
      <c r="P68" s="1485"/>
      <c r="Q68" s="1188"/>
      <c r="R68" s="1086"/>
      <c r="S68" s="1086"/>
      <c r="T68" s="1086"/>
      <c r="U68" s="1086"/>
      <c r="V68" s="1086"/>
      <c r="W68" s="1086"/>
      <c r="X68" s="1086"/>
      <c r="Y68" s="1086"/>
      <c r="Z68" s="1086"/>
      <c r="AA68" s="1086"/>
      <c r="AB68" s="1086"/>
      <c r="AC68" s="1086"/>
    </row>
    <row r="69" spans="1:29" ht="15">
      <c r="A69" s="1215"/>
      <c r="B69" s="1224"/>
      <c r="C69" s="1017"/>
      <c r="D69" s="1017"/>
      <c r="E69" s="1017"/>
      <c r="F69" s="1017"/>
      <c r="G69" s="1017"/>
      <c r="H69" s="1017"/>
      <c r="I69" s="1017"/>
      <c r="J69" s="1017"/>
      <c r="K69" s="1272"/>
      <c r="L69" s="1273"/>
      <c r="M69" s="1274"/>
      <c r="N69" s="1264"/>
      <c r="O69" s="1264"/>
      <c r="P69" s="1485"/>
      <c r="Q69" s="1188"/>
      <c r="R69" s="1086"/>
      <c r="S69" s="1086"/>
      <c r="T69" s="1086"/>
      <c r="U69" s="1086"/>
      <c r="V69" s="1086"/>
      <c r="W69" s="1086"/>
      <c r="X69" s="1086"/>
      <c r="Y69" s="1086"/>
      <c r="Z69" s="1086"/>
      <c r="AA69" s="1086"/>
      <c r="AB69" s="1086"/>
      <c r="AC69" s="1086"/>
    </row>
    <row r="70" spans="1:29" ht="15">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85"/>
      <c r="Q70" s="1188"/>
      <c r="R70" s="1086"/>
      <c r="S70" s="1086"/>
      <c r="T70" s="1086"/>
      <c r="U70" s="1086"/>
      <c r="V70" s="1086"/>
      <c r="W70" s="1086"/>
      <c r="X70" s="1086"/>
      <c r="Y70" s="1086"/>
      <c r="Z70" s="1086"/>
      <c r="AA70" s="1086"/>
      <c r="AB70" s="1086"/>
      <c r="AC70" s="1086"/>
    </row>
    <row r="71" spans="1:29" s="972" customFormat="1" ht="15">
      <c r="A71" s="1225"/>
      <c r="B71" s="1218">
        <f>B12</f>
        <v>111</v>
      </c>
      <c r="C71" s="1226"/>
      <c r="D71" s="1226"/>
      <c r="E71" s="1226"/>
      <c r="F71" s="1226"/>
      <c r="G71" s="1226"/>
      <c r="H71" s="1227"/>
      <c r="I71" s="1227"/>
      <c r="J71" s="1227"/>
      <c r="K71" s="1227"/>
      <c r="L71" s="1275"/>
      <c r="M71" s="1276"/>
      <c r="N71" s="1277"/>
      <c r="O71" s="1277"/>
      <c r="P71" s="1486"/>
      <c r="Q71" s="1309"/>
      <c r="R71" s="1310"/>
      <c r="S71" s="1310"/>
      <c r="T71" s="1310"/>
      <c r="U71" s="1310"/>
      <c r="V71" s="1310"/>
      <c r="W71" s="1310"/>
      <c r="X71" s="1310"/>
      <c r="Y71" s="1310"/>
      <c r="Z71" s="1310"/>
      <c r="AA71" s="1310"/>
      <c r="AB71" s="1310"/>
      <c r="AC71" s="1310"/>
    </row>
    <row r="72" spans="1:29" s="972" customFormat="1" ht="15">
      <c r="A72" s="1225"/>
      <c r="B72" s="1220"/>
      <c r="C72" s="1228"/>
      <c r="D72" s="1217"/>
      <c r="E72" s="1217"/>
      <c r="F72" s="1217"/>
      <c r="G72" s="1217"/>
      <c r="H72" s="1217"/>
      <c r="I72" s="1217"/>
      <c r="J72" s="1217"/>
      <c r="K72" s="1217"/>
      <c r="L72" s="1217"/>
      <c r="M72" s="1266"/>
      <c r="N72" s="1267"/>
      <c r="O72" s="1267"/>
      <c r="P72" s="1486"/>
      <c r="Q72" s="1309"/>
      <c r="R72" s="1310"/>
      <c r="S72" s="1310"/>
      <c r="T72" s="1310"/>
      <c r="U72" s="1310"/>
      <c r="V72" s="1310"/>
      <c r="W72" s="1310"/>
      <c r="X72" s="1310"/>
      <c r="Y72" s="1310"/>
      <c r="Z72" s="1310"/>
      <c r="AA72" s="1310"/>
      <c r="AB72" s="1310"/>
      <c r="AC72" s="1310"/>
    </row>
    <row r="73" spans="1:29" s="972" customFormat="1" ht="15">
      <c r="A73" s="1225"/>
      <c r="B73" s="1218">
        <f>B13</f>
        <v>111</v>
      </c>
      <c r="C73" s="1226"/>
      <c r="D73" s="1226"/>
      <c r="E73" s="1226"/>
      <c r="F73" s="1226"/>
      <c r="G73" s="1226"/>
      <c r="H73" s="1227"/>
      <c r="I73" s="1227"/>
      <c r="J73" s="1227"/>
      <c r="K73" s="1227"/>
      <c r="L73" s="1275"/>
      <c r="M73" s="1276"/>
      <c r="N73" s="1277"/>
      <c r="O73" s="1277"/>
      <c r="P73" s="1487"/>
      <c r="Q73" s="1311"/>
      <c r="R73" s="1310"/>
      <c r="S73" s="1310"/>
      <c r="T73" s="1310"/>
      <c r="U73" s="1310"/>
      <c r="V73" s="1310"/>
      <c r="W73" s="1310"/>
      <c r="X73" s="1310"/>
      <c r="Y73" s="1310"/>
      <c r="Z73" s="1310"/>
      <c r="AA73" s="1310"/>
      <c r="AB73" s="1310"/>
      <c r="AC73" s="1310"/>
    </row>
    <row r="74" spans="1:29" s="972" customFormat="1" ht="15">
      <c r="A74" s="1225"/>
      <c r="B74" s="1220"/>
      <c r="C74" s="1228"/>
      <c r="D74" s="1228"/>
      <c r="E74" s="1228"/>
      <c r="F74" s="1228"/>
      <c r="G74" s="1228"/>
      <c r="H74" s="1229"/>
      <c r="I74" s="1229"/>
      <c r="J74" s="1229"/>
      <c r="K74" s="1229"/>
      <c r="L74" s="1229"/>
      <c r="M74" s="1279"/>
      <c r="N74" s="1277"/>
      <c r="O74" s="1277"/>
      <c r="P74" s="1486"/>
      <c r="Q74" s="1309"/>
      <c r="R74" s="1310"/>
      <c r="S74" s="1310"/>
      <c r="T74" s="1310"/>
      <c r="U74" s="1310"/>
      <c r="V74" s="1310"/>
      <c r="W74" s="1310"/>
      <c r="X74" s="1310"/>
      <c r="Y74" s="1310"/>
      <c r="Z74" s="1310"/>
      <c r="AA74" s="1310"/>
      <c r="AB74" s="1310"/>
      <c r="AC74" s="1310"/>
    </row>
    <row r="75" spans="1:29" s="972" customFormat="1" ht="15">
      <c r="A75" s="1225"/>
      <c r="B75" s="1222">
        <f>B14</f>
        <v>111</v>
      </c>
      <c r="C75" s="1210"/>
      <c r="D75" s="1210"/>
      <c r="E75" s="1210"/>
      <c r="F75" s="1210"/>
      <c r="G75" s="1210"/>
      <c r="H75" s="1230"/>
      <c r="I75" s="1230"/>
      <c r="J75" s="1230"/>
      <c r="K75" s="1230"/>
      <c r="L75" s="1280"/>
      <c r="M75" s="1281"/>
      <c r="N75" s="1277"/>
      <c r="O75" s="1277"/>
      <c r="P75" s="1557"/>
      <c r="Q75" s="1309"/>
      <c r="R75" s="1310"/>
      <c r="S75" s="1310"/>
      <c r="T75" s="1310"/>
      <c r="U75" s="1310"/>
      <c r="V75" s="1310"/>
      <c r="W75" s="1310"/>
      <c r="X75" s="1310"/>
      <c r="Y75" s="1310"/>
      <c r="Z75" s="1310"/>
      <c r="AA75" s="1310"/>
      <c r="AB75" s="1310"/>
      <c r="AC75" s="1310"/>
    </row>
    <row r="76" spans="1:29" s="972" customFormat="1" ht="15">
      <c r="A76" s="1231"/>
      <c r="B76" s="1232"/>
      <c r="C76" s="1233"/>
      <c r="D76" s="1233"/>
      <c r="E76" s="1233"/>
      <c r="F76" s="1233"/>
      <c r="G76" s="1233"/>
      <c r="H76" s="1234"/>
      <c r="I76" s="1234"/>
      <c r="J76" s="1234"/>
      <c r="K76" s="1234"/>
      <c r="L76" s="1234"/>
      <c r="M76" s="1283"/>
      <c r="N76" s="1277"/>
      <c r="O76" s="1277"/>
      <c r="P76" s="1486"/>
      <c r="Q76" s="1309"/>
      <c r="R76" s="1310"/>
      <c r="S76" s="1310"/>
      <c r="T76" s="1310"/>
      <c r="U76" s="1310"/>
      <c r="V76" s="1310"/>
      <c r="W76" s="1310"/>
      <c r="X76" s="1310"/>
      <c r="Y76" s="1310"/>
      <c r="Z76" s="1310"/>
      <c r="AA76" s="1310"/>
      <c r="AB76" s="1310"/>
      <c r="AC76" s="1310"/>
    </row>
    <row r="77" spans="1:29">
      <c r="A77" s="1213" t="s">
        <v>1051</v>
      </c>
      <c r="B77" s="1214" t="s">
        <v>1485</v>
      </c>
      <c r="C77" s="1235" t="s">
        <v>1104</v>
      </c>
      <c r="D77" s="1235" t="s">
        <v>1105</v>
      </c>
      <c r="E77" s="1235" t="s">
        <v>1106</v>
      </c>
      <c r="F77" s="1235" t="s">
        <v>1107</v>
      </c>
      <c r="G77" s="1235" t="s">
        <v>1108</v>
      </c>
      <c r="H77" s="1236"/>
      <c r="I77" s="1236"/>
      <c r="J77" s="1236"/>
      <c r="K77" s="1284"/>
      <c r="L77" s="1285"/>
      <c r="M77" s="1286"/>
      <c r="N77" s="1264"/>
      <c r="O77" s="1264"/>
      <c r="P77" s="1488"/>
      <c r="Q77" s="1188"/>
      <c r="R77" s="1086"/>
      <c r="S77" s="1086"/>
      <c r="T77" s="1086"/>
      <c r="U77" s="1086"/>
      <c r="V77" s="1086"/>
      <c r="W77" s="1086"/>
      <c r="X77" s="1086"/>
      <c r="Y77" s="1086"/>
      <c r="Z77" s="1086"/>
      <c r="AA77" s="1086"/>
      <c r="AB77" s="1086"/>
      <c r="AC77" s="1086"/>
    </row>
    <row r="78" spans="1:29" ht="15">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85"/>
      <c r="Q78" s="1188"/>
      <c r="R78" s="1086"/>
      <c r="S78" s="1086"/>
      <c r="T78" s="1086"/>
      <c r="U78" s="1086"/>
      <c r="V78" s="1086"/>
      <c r="W78" s="1086"/>
      <c r="X78" s="1086"/>
      <c r="Y78" s="1086"/>
      <c r="Z78" s="1086"/>
      <c r="AA78" s="1086"/>
      <c r="AB78" s="1086"/>
      <c r="AC78" s="1086"/>
    </row>
    <row r="79" spans="1:29" ht="15">
      <c r="A79" s="1215"/>
      <c r="B79" s="1218" t="s">
        <v>1056</v>
      </c>
      <c r="C79" s="1237" t="s">
        <v>1104</v>
      </c>
      <c r="D79" s="1237" t="s">
        <v>1105</v>
      </c>
      <c r="E79" s="1237" t="s">
        <v>1106</v>
      </c>
      <c r="F79" s="1237" t="s">
        <v>1107</v>
      </c>
      <c r="G79" s="1237" t="s">
        <v>1108</v>
      </c>
      <c r="H79" s="1219"/>
      <c r="I79" s="1219"/>
      <c r="J79" s="1219"/>
      <c r="K79" s="1268"/>
      <c r="L79" s="1269"/>
      <c r="M79" s="1270"/>
      <c r="N79" s="1264"/>
      <c r="O79" s="1264"/>
      <c r="P79" s="1485"/>
      <c r="Q79" s="1188"/>
      <c r="R79" s="1086"/>
      <c r="S79" s="1086"/>
      <c r="T79" s="1086"/>
      <c r="U79" s="1086"/>
      <c r="V79" s="1086"/>
      <c r="W79" s="1086"/>
      <c r="X79" s="1086"/>
      <c r="Y79" s="1086"/>
      <c r="Z79" s="1086"/>
      <c r="AA79" s="1086"/>
      <c r="AB79" s="1086"/>
      <c r="AC79" s="1086"/>
    </row>
    <row r="80" spans="1:29" ht="15">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85"/>
      <c r="Q80" s="1188"/>
      <c r="R80" s="1086"/>
      <c r="S80" s="1086"/>
      <c r="T80" s="1086"/>
      <c r="U80" s="1086"/>
      <c r="V80" s="1086"/>
      <c r="W80" s="1086"/>
      <c r="X80" s="1086"/>
      <c r="Y80" s="1086"/>
      <c r="Z80" s="1086"/>
      <c r="AA80" s="1086"/>
      <c r="AB80" s="1086"/>
      <c r="AC80" s="1086"/>
    </row>
    <row r="81" spans="1:29" ht="15">
      <c r="A81" s="1215"/>
      <c r="B81" s="1218" t="s">
        <v>1057</v>
      </c>
      <c r="C81" s="1237" t="s">
        <v>1104</v>
      </c>
      <c r="D81" s="1237" t="s">
        <v>1105</v>
      </c>
      <c r="E81" s="1237" t="s">
        <v>1106</v>
      </c>
      <c r="F81" s="1237" t="s">
        <v>1107</v>
      </c>
      <c r="G81" s="1237" t="s">
        <v>1108</v>
      </c>
      <c r="H81" s="1219"/>
      <c r="I81" s="1219"/>
      <c r="J81" s="1219"/>
      <c r="K81" s="1268"/>
      <c r="L81" s="1269"/>
      <c r="M81" s="1270"/>
      <c r="N81" s="1264"/>
      <c r="O81" s="1264"/>
      <c r="P81" s="1485"/>
      <c r="Q81" s="1188"/>
      <c r="R81" s="1086"/>
      <c r="S81" s="1086"/>
      <c r="T81" s="1086"/>
      <c r="U81" s="1086"/>
      <c r="V81" s="1086"/>
      <c r="W81" s="1086"/>
      <c r="X81" s="1086"/>
      <c r="Y81" s="1086"/>
      <c r="Z81" s="1086"/>
      <c r="AA81" s="1086"/>
      <c r="AB81" s="1086"/>
      <c r="AC81" s="1086"/>
    </row>
    <row r="82" spans="1:29" ht="15">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85"/>
      <c r="Q82" s="1188"/>
      <c r="R82" s="1086"/>
      <c r="S82" s="1086"/>
      <c r="T82" s="1086"/>
      <c r="U82" s="1086"/>
      <c r="V82" s="1086"/>
      <c r="W82" s="1086"/>
      <c r="X82" s="1086"/>
      <c r="Y82" s="1086"/>
      <c r="Z82" s="1086"/>
      <c r="AA82" s="1086"/>
      <c r="AB82" s="1086"/>
      <c r="AC82" s="1086"/>
    </row>
    <row r="83" spans="1:29" ht="15">
      <c r="A83" s="1215"/>
      <c r="B83" s="1222" t="s">
        <v>1058</v>
      </c>
      <c r="C83" s="1242" t="s">
        <v>1109</v>
      </c>
      <c r="D83" s="1242" t="s">
        <v>1110</v>
      </c>
      <c r="E83" s="1242" t="s">
        <v>1111</v>
      </c>
      <c r="F83" s="1242" t="s">
        <v>1112</v>
      </c>
      <c r="G83" s="1242" t="s">
        <v>1113</v>
      </c>
      <c r="H83" s="1219"/>
      <c r="I83" s="1219"/>
      <c r="J83" s="1219"/>
      <c r="K83" s="1219"/>
      <c r="L83" s="1219"/>
      <c r="M83" s="1431"/>
      <c r="N83" s="1267"/>
      <c r="O83" s="1267"/>
      <c r="P83" s="1485"/>
      <c r="Q83" s="1188"/>
      <c r="R83" s="1086"/>
      <c r="S83" s="1086"/>
      <c r="T83" s="1086"/>
      <c r="U83" s="1086"/>
      <c r="V83" s="1086"/>
      <c r="W83" s="1086"/>
      <c r="X83" s="1086"/>
      <c r="Y83" s="1086"/>
      <c r="Z83" s="1086"/>
      <c r="AA83" s="1086"/>
      <c r="AB83" s="1086"/>
      <c r="AC83" s="1086"/>
    </row>
    <row r="84" spans="1:29" ht="15">
      <c r="A84" s="1215"/>
      <c r="B84" s="1222"/>
      <c r="C84" s="1221">
        <v>100</v>
      </c>
      <c r="D84" s="1221">
        <f>C84-$K21</f>
        <v>100</v>
      </c>
      <c r="E84" s="1221">
        <f>D84-$K21</f>
        <v>100</v>
      </c>
      <c r="F84" s="1221">
        <f>E84-$K21</f>
        <v>100</v>
      </c>
      <c r="G84" s="1221">
        <f>F84-$K21</f>
        <v>100</v>
      </c>
      <c r="H84" s="1242"/>
      <c r="I84" s="1242"/>
      <c r="J84" s="1242"/>
      <c r="K84" s="1242"/>
      <c r="L84" s="1242"/>
      <c r="M84" s="1034"/>
      <c r="N84" s="1267"/>
      <c r="O84" s="1267"/>
      <c r="P84" s="1485"/>
      <c r="Q84" s="1188"/>
      <c r="R84" s="1086"/>
      <c r="S84" s="1086"/>
      <c r="T84" s="1086"/>
      <c r="U84" s="1086"/>
      <c r="V84" s="1086"/>
      <c r="W84" s="1086"/>
      <c r="X84" s="1086"/>
      <c r="Y84" s="1086"/>
      <c r="Z84" s="1086"/>
      <c r="AA84" s="1086"/>
      <c r="AB84" s="1086"/>
      <c r="AC84" s="1086"/>
    </row>
    <row r="85" spans="1:29" ht="15">
      <c r="A85" s="1215"/>
      <c r="B85" s="1218" t="s">
        <v>1486</v>
      </c>
      <c r="C85" s="1237" t="s">
        <v>1104</v>
      </c>
      <c r="D85" s="1237" t="s">
        <v>1105</v>
      </c>
      <c r="E85" s="1237" t="s">
        <v>1106</v>
      </c>
      <c r="F85" s="1237" t="s">
        <v>1107</v>
      </c>
      <c r="G85" s="1237" t="s">
        <v>1108</v>
      </c>
      <c r="H85" s="1219"/>
      <c r="I85" s="1219"/>
      <c r="J85" s="1219"/>
      <c r="K85" s="1268"/>
      <c r="L85" s="1269"/>
      <c r="M85" s="1270"/>
      <c r="N85" s="1264"/>
      <c r="O85" s="1264"/>
      <c r="P85" s="1485"/>
      <c r="Q85" s="1188"/>
      <c r="R85" s="1086"/>
      <c r="S85" s="1086"/>
      <c r="T85" s="1086"/>
      <c r="U85" s="1086"/>
      <c r="V85" s="1086"/>
      <c r="W85" s="1086"/>
      <c r="X85" s="1086"/>
      <c r="Y85" s="1086"/>
      <c r="Z85" s="1086"/>
      <c r="AA85" s="1086"/>
      <c r="AB85" s="1086"/>
      <c r="AC85" s="1086"/>
    </row>
    <row r="86" spans="1:29" ht="15">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85"/>
      <c r="Q86" s="1188"/>
      <c r="R86" s="1086"/>
      <c r="S86" s="1086"/>
      <c r="T86" s="1086"/>
      <c r="U86" s="1086"/>
      <c r="V86" s="1086"/>
      <c r="W86" s="1086"/>
      <c r="X86" s="1086"/>
      <c r="Y86" s="1086"/>
      <c r="Z86" s="1086"/>
      <c r="AA86" s="1086"/>
      <c r="AB86" s="1086"/>
      <c r="AC86" s="1086"/>
    </row>
    <row r="87" spans="1:29" s="970" customFormat="1" ht="27">
      <c r="A87" s="1238"/>
      <c r="B87" s="1218" t="s">
        <v>1487</v>
      </c>
      <c r="C87" s="1226"/>
      <c r="D87" s="1226"/>
      <c r="E87" s="1226"/>
      <c r="F87" s="1226"/>
      <c r="G87" s="1226"/>
      <c r="H87" s="1226"/>
      <c r="I87" s="1226"/>
      <c r="J87" s="1226"/>
      <c r="K87" s="1226"/>
      <c r="L87" s="1432"/>
      <c r="M87" s="1433"/>
      <c r="N87" s="1258"/>
      <c r="O87" s="1258"/>
      <c r="P87" s="1485"/>
      <c r="Q87" s="1188"/>
      <c r="R87" s="1308"/>
      <c r="S87" s="1308"/>
      <c r="T87" s="1308"/>
      <c r="U87" s="1308"/>
      <c r="V87" s="1308"/>
      <c r="W87" s="1308"/>
      <c r="X87" s="1308"/>
      <c r="Y87" s="1308"/>
      <c r="Z87" s="1308"/>
      <c r="AA87" s="1308"/>
      <c r="AB87" s="1308"/>
      <c r="AC87" s="1308"/>
    </row>
    <row r="88" spans="1:29" s="970" customFormat="1" ht="15">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85"/>
      <c r="Q88" s="1188"/>
      <c r="R88" s="1308"/>
      <c r="S88" s="1308"/>
      <c r="T88" s="1308"/>
      <c r="U88" s="1308"/>
      <c r="V88" s="1308"/>
      <c r="W88" s="1308"/>
      <c r="X88" s="1308"/>
      <c r="Y88" s="1308"/>
      <c r="Z88" s="1308"/>
      <c r="AA88" s="1308"/>
      <c r="AB88" s="1308"/>
      <c r="AC88" s="1308"/>
    </row>
    <row r="89" spans="1:29" s="970" customFormat="1" ht="15">
      <c r="A89" s="1238"/>
      <c r="B89" s="1218" t="str">
        <f>B27</f>
        <v>楼层</v>
      </c>
      <c r="C89" s="1226"/>
      <c r="D89" s="1226"/>
      <c r="E89" s="1226"/>
      <c r="F89" s="1556"/>
      <c r="G89" s="1226"/>
      <c r="H89" s="1226"/>
      <c r="I89" s="1226"/>
      <c r="J89" s="1226"/>
      <c r="K89" s="1226"/>
      <c r="L89" s="1226"/>
      <c r="M89" s="1433"/>
      <c r="N89" s="1258"/>
      <c r="O89" s="1258"/>
      <c r="P89" s="1485"/>
      <c r="Q89" s="1188"/>
      <c r="R89" s="1308"/>
      <c r="S89" s="1308"/>
      <c r="T89" s="1308"/>
      <c r="U89" s="1308"/>
      <c r="V89" s="1308"/>
      <c r="W89" s="1308"/>
      <c r="X89" s="1308"/>
      <c r="Y89" s="1308"/>
      <c r="Z89" s="1308"/>
      <c r="AA89" s="1308"/>
      <c r="AB89" s="1308"/>
      <c r="AC89" s="1308"/>
    </row>
    <row r="90" spans="1:29" s="970" customFormat="1" ht="15">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85"/>
      <c r="Q90" s="1188"/>
      <c r="R90" s="1308"/>
      <c r="S90" s="1308"/>
      <c r="T90" s="1308"/>
      <c r="U90" s="1308"/>
      <c r="V90" s="1308"/>
      <c r="W90" s="1308"/>
      <c r="X90" s="1308"/>
      <c r="Y90" s="1308"/>
      <c r="Z90" s="1308"/>
      <c r="AA90" s="1308"/>
      <c r="AB90" s="1308"/>
      <c r="AC90" s="1308"/>
    </row>
    <row r="91" spans="1:29" s="972" customFormat="1" ht="15">
      <c r="A91" s="1225"/>
      <c r="B91" s="1218" t="str">
        <f>B28</f>
        <v>朝向</v>
      </c>
      <c r="C91" s="1226"/>
      <c r="D91" s="1226"/>
      <c r="E91" s="1226"/>
      <c r="F91" s="1226"/>
      <c r="G91" s="1226"/>
      <c r="H91" s="1227"/>
      <c r="I91" s="1227"/>
      <c r="J91" s="1227"/>
      <c r="K91" s="1227"/>
      <c r="L91" s="1275"/>
      <c r="M91" s="1276"/>
      <c r="N91" s="1277"/>
      <c r="O91" s="1277"/>
      <c r="P91" s="1486"/>
      <c r="Q91" s="1309"/>
      <c r="R91" s="1310"/>
      <c r="S91" s="1310"/>
      <c r="T91" s="1310"/>
      <c r="U91" s="1310"/>
      <c r="V91" s="1310"/>
      <c r="W91" s="1310"/>
      <c r="X91" s="1310"/>
      <c r="Y91" s="1310"/>
      <c r="Z91" s="1310"/>
      <c r="AA91" s="1310"/>
      <c r="AB91" s="1310"/>
      <c r="AC91" s="1310"/>
    </row>
    <row r="92" spans="1:29" s="972" customFormat="1" ht="15">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86"/>
      <c r="Q92" s="1309"/>
      <c r="R92" s="1310"/>
      <c r="S92" s="1310"/>
      <c r="T92" s="1310"/>
      <c r="U92" s="1310"/>
      <c r="V92" s="1310"/>
      <c r="W92" s="1310"/>
      <c r="X92" s="1310"/>
      <c r="Y92" s="1310"/>
      <c r="Z92" s="1310"/>
      <c r="AA92" s="1310"/>
      <c r="AB92" s="1310"/>
      <c r="AC92" s="1310"/>
    </row>
    <row r="93" spans="1:29" ht="15">
      <c r="A93" s="1215"/>
      <c r="B93" s="1218">
        <f>B29</f>
        <v>111</v>
      </c>
      <c r="C93" s="1226"/>
      <c r="D93" s="1226"/>
      <c r="E93" s="1226"/>
      <c r="F93" s="1226"/>
      <c r="G93" s="1226"/>
      <c r="H93" s="1226"/>
      <c r="I93" s="1226"/>
      <c r="J93" s="1226"/>
      <c r="K93" s="1226"/>
      <c r="L93" s="1432"/>
      <c r="M93" s="1433"/>
      <c r="N93" s="1264"/>
      <c r="O93" s="1264"/>
      <c r="P93" s="1485"/>
      <c r="Q93" s="1188"/>
      <c r="R93" s="1086"/>
      <c r="S93" s="1086"/>
      <c r="T93" s="1086"/>
      <c r="U93" s="1086"/>
      <c r="V93" s="1086"/>
      <c r="W93" s="1086"/>
      <c r="X93" s="1086"/>
      <c r="Y93" s="1086"/>
      <c r="Z93" s="1086"/>
      <c r="AA93" s="1086"/>
      <c r="AB93" s="1086"/>
      <c r="AC93" s="1086"/>
    </row>
    <row r="94" spans="1:29" ht="15">
      <c r="A94" s="1215"/>
      <c r="B94" s="1220"/>
      <c r="C94" s="1228"/>
      <c r="D94" s="1217"/>
      <c r="E94" s="1217"/>
      <c r="F94" s="1217"/>
      <c r="G94" s="1217"/>
      <c r="H94" s="1217"/>
      <c r="I94" s="1217"/>
      <c r="J94" s="1217"/>
      <c r="K94" s="1217"/>
      <c r="L94" s="1217"/>
      <c r="M94" s="1266"/>
      <c r="N94" s="1267"/>
      <c r="O94" s="1267"/>
      <c r="P94" s="1485"/>
      <c r="Q94" s="1188"/>
      <c r="R94" s="1086"/>
      <c r="S94" s="1086"/>
      <c r="T94" s="1086"/>
      <c r="U94" s="1086"/>
      <c r="V94" s="1086"/>
      <c r="W94" s="1086"/>
      <c r="X94" s="1086"/>
      <c r="Y94" s="1086"/>
      <c r="Z94" s="1086"/>
      <c r="AA94" s="1086"/>
      <c r="AB94" s="1086"/>
      <c r="AC94" s="1086"/>
    </row>
    <row r="95" spans="1:29" ht="15">
      <c r="A95" s="1215"/>
      <c r="B95" s="1218">
        <f>B30</f>
        <v>111</v>
      </c>
      <c r="C95" s="1226"/>
      <c r="D95" s="1226"/>
      <c r="E95" s="1226"/>
      <c r="F95" s="1226"/>
      <c r="G95" s="1243"/>
      <c r="H95" s="1243"/>
      <c r="I95" s="1243"/>
      <c r="J95" s="1243"/>
      <c r="K95" s="1294"/>
      <c r="L95" s="1295"/>
      <c r="M95" s="1296"/>
      <c r="N95" s="1264"/>
      <c r="O95" s="1264"/>
      <c r="P95" s="1485"/>
      <c r="Q95" s="1188"/>
      <c r="R95" s="1086"/>
      <c r="S95" s="1086"/>
      <c r="T95" s="1086"/>
      <c r="U95" s="1086"/>
      <c r="V95" s="1086"/>
      <c r="W95" s="1086"/>
      <c r="X95" s="1086"/>
      <c r="Y95" s="1086"/>
      <c r="Z95" s="1086"/>
      <c r="AA95" s="1086"/>
      <c r="AB95" s="1086"/>
      <c r="AC95" s="1086"/>
    </row>
    <row r="96" spans="1:29" ht="15">
      <c r="A96" s="1215"/>
      <c r="B96" s="1220"/>
      <c r="C96" s="1228"/>
      <c r="D96" s="1228"/>
      <c r="E96" s="1228"/>
      <c r="F96" s="1228"/>
      <c r="G96" s="1217"/>
      <c r="H96" s="1217"/>
      <c r="I96" s="1217"/>
      <c r="J96" s="1217"/>
      <c r="K96" s="1217"/>
      <c r="L96" s="1217"/>
      <c r="M96" s="1266"/>
      <c r="N96" s="1267"/>
      <c r="O96" s="1267"/>
      <c r="P96" s="1485"/>
      <c r="Q96" s="1188"/>
      <c r="R96" s="1086"/>
      <c r="S96" s="1086"/>
      <c r="T96" s="1086"/>
      <c r="U96" s="1086"/>
      <c r="V96" s="1086"/>
      <c r="W96" s="1086"/>
      <c r="X96" s="1086"/>
      <c r="Y96" s="1086"/>
      <c r="Z96" s="1086"/>
      <c r="AA96" s="1086"/>
      <c r="AB96" s="1086"/>
      <c r="AC96" s="1086"/>
    </row>
    <row r="97" spans="1:29" ht="15">
      <c r="A97" s="1215"/>
      <c r="B97" s="1218">
        <f>B31</f>
        <v>111</v>
      </c>
      <c r="C97" s="1226"/>
      <c r="D97" s="1226"/>
      <c r="E97" s="1226"/>
      <c r="F97" s="1226"/>
      <c r="G97" s="1243"/>
      <c r="H97" s="1243"/>
      <c r="I97" s="1243"/>
      <c r="J97" s="1243"/>
      <c r="K97" s="1294"/>
      <c r="L97" s="1295"/>
      <c r="M97" s="1296"/>
      <c r="N97" s="1264"/>
      <c r="O97" s="1264"/>
      <c r="P97" s="1485"/>
      <c r="Q97" s="1188"/>
      <c r="R97" s="1086"/>
      <c r="S97" s="1086"/>
      <c r="T97" s="1086"/>
      <c r="U97" s="1086"/>
      <c r="V97" s="1086"/>
      <c r="W97" s="1086"/>
      <c r="X97" s="1086"/>
      <c r="Y97" s="1086"/>
      <c r="Z97" s="1086"/>
      <c r="AA97" s="1086"/>
      <c r="AB97" s="1086"/>
      <c r="AC97" s="1086"/>
    </row>
    <row r="98" spans="1:29" ht="15">
      <c r="A98" s="1215"/>
      <c r="B98" s="1220"/>
      <c r="C98" s="1228"/>
      <c r="D98" s="1217"/>
      <c r="E98" s="1217"/>
      <c r="F98" s="1217"/>
      <c r="G98" s="1217"/>
      <c r="H98" s="1217"/>
      <c r="I98" s="1217"/>
      <c r="J98" s="1217"/>
      <c r="K98" s="1217"/>
      <c r="L98" s="1217"/>
      <c r="M98" s="1266"/>
      <c r="N98" s="1267"/>
      <c r="O98" s="1267"/>
      <c r="P98" s="1485"/>
      <c r="Q98" s="1188"/>
      <c r="R98" s="1086"/>
      <c r="S98" s="1086"/>
      <c r="T98" s="1086"/>
      <c r="U98" s="1086"/>
      <c r="V98" s="1086"/>
      <c r="W98" s="1086"/>
      <c r="X98" s="1086"/>
      <c r="Y98" s="1086"/>
      <c r="Z98" s="1086"/>
      <c r="AA98" s="1086"/>
      <c r="AB98" s="1086"/>
      <c r="AC98" s="1086"/>
    </row>
    <row r="99" spans="1:29" ht="15">
      <c r="A99" s="1215"/>
      <c r="B99" s="1222">
        <f>B32</f>
        <v>111</v>
      </c>
      <c r="C99" s="1210"/>
      <c r="D99" s="1210"/>
      <c r="E99" s="1210"/>
      <c r="F99" s="1210"/>
      <c r="G99" s="1244"/>
      <c r="H99" s="1244"/>
      <c r="I99" s="1244"/>
      <c r="J99" s="1244"/>
      <c r="K99" s="1297"/>
      <c r="L99" s="1298"/>
      <c r="M99" s="1299"/>
      <c r="N99" s="1264"/>
      <c r="O99" s="1264"/>
      <c r="P99" s="1485"/>
      <c r="Q99" s="1188"/>
      <c r="R99" s="1086"/>
      <c r="S99" s="1086"/>
      <c r="T99" s="1086"/>
      <c r="U99" s="1086"/>
      <c r="V99" s="1086"/>
      <c r="W99" s="1086"/>
      <c r="X99" s="1086"/>
      <c r="Y99" s="1086"/>
      <c r="Z99" s="1086"/>
      <c r="AA99" s="1086"/>
      <c r="AB99" s="1086"/>
      <c r="AC99" s="1086"/>
    </row>
    <row r="100" spans="1:29" ht="15">
      <c r="A100" s="1533"/>
      <c r="B100" s="1232"/>
      <c r="C100" s="1233"/>
      <c r="D100" s="1233"/>
      <c r="E100" s="1233"/>
      <c r="F100" s="1233"/>
      <c r="G100" s="1245"/>
      <c r="H100" s="1245"/>
      <c r="I100" s="1245"/>
      <c r="J100" s="1245"/>
      <c r="K100" s="1245"/>
      <c r="L100" s="1245"/>
      <c r="M100" s="1300"/>
      <c r="N100" s="1267"/>
      <c r="O100" s="1267"/>
      <c r="P100" s="1485"/>
      <c r="Q100" s="1188"/>
      <c r="R100" s="1086"/>
      <c r="S100" s="1086"/>
      <c r="T100" s="1086"/>
      <c r="U100" s="1086"/>
      <c r="V100" s="1086"/>
      <c r="W100" s="1086"/>
      <c r="X100" s="1086"/>
      <c r="Y100" s="1086"/>
      <c r="Z100" s="1086"/>
      <c r="AA100" s="1086"/>
      <c r="AB100" s="1086"/>
      <c r="AC100" s="1086"/>
    </row>
    <row r="101" spans="1:29">
      <c r="A101" s="1213" t="s">
        <v>1065</v>
      </c>
      <c r="B101" s="1214" t="s">
        <v>1066</v>
      </c>
      <c r="C101" s="1156"/>
      <c r="D101" s="1156"/>
      <c r="E101" s="1156"/>
      <c r="F101" s="1156"/>
      <c r="G101" s="1156"/>
      <c r="H101" s="1156"/>
      <c r="I101" s="1156"/>
      <c r="J101" s="1156"/>
      <c r="K101" s="1261"/>
      <c r="L101" s="1262"/>
      <c r="M101" s="1263"/>
      <c r="N101" s="1264"/>
      <c r="O101" s="1264"/>
      <c r="P101" s="1485"/>
      <c r="Q101" s="1188"/>
      <c r="R101" s="1086"/>
      <c r="S101" s="1086"/>
      <c r="T101" s="1086"/>
      <c r="U101" s="1086"/>
      <c r="V101" s="1086"/>
      <c r="W101" s="1086"/>
      <c r="X101" s="1086"/>
      <c r="Y101" s="1086"/>
      <c r="Z101" s="1086"/>
      <c r="AA101" s="1086"/>
      <c r="AB101" s="1086"/>
      <c r="AC101" s="1086"/>
    </row>
    <row r="102" spans="1:29" ht="15">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85"/>
      <c r="Q102" s="1188"/>
      <c r="R102" s="1086"/>
      <c r="S102" s="1086"/>
      <c r="T102" s="1086"/>
      <c r="U102" s="1086"/>
      <c r="V102" s="1086"/>
      <c r="W102" s="1086"/>
      <c r="X102" s="1086"/>
      <c r="Y102" s="1086"/>
      <c r="Z102" s="1086"/>
      <c r="AA102" s="1086"/>
      <c r="AB102" s="1086"/>
      <c r="AC102" s="1086"/>
    </row>
    <row r="103" spans="1:29" ht="15">
      <c r="A103" s="1215"/>
      <c r="B103" s="1218" t="s">
        <v>1069</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85"/>
      <c r="Q103" s="1188"/>
      <c r="R103" s="1086"/>
      <c r="S103" s="1086"/>
      <c r="T103" s="1086"/>
      <c r="U103" s="1086"/>
      <c r="V103" s="1086"/>
      <c r="W103" s="1086"/>
      <c r="X103" s="1086"/>
      <c r="Y103" s="1086"/>
      <c r="Z103" s="1086"/>
      <c r="AA103" s="1086"/>
      <c r="AB103" s="1086"/>
      <c r="AC103" s="1086"/>
    </row>
    <row r="104" spans="1:29" s="972" customFormat="1">
      <c r="A104" s="1246"/>
      <c r="B104" s="1247"/>
      <c r="C104" s="1202"/>
      <c r="D104" s="1202"/>
      <c r="E104" s="1202"/>
      <c r="F104" s="1202"/>
      <c r="G104" s="1202"/>
      <c r="H104" s="1202"/>
      <c r="I104" s="1202"/>
      <c r="J104" s="1301"/>
      <c r="K104" s="1301"/>
      <c r="L104" s="1302"/>
      <c r="M104" s="1303"/>
      <c r="N104" s="1277"/>
      <c r="O104" s="1277"/>
      <c r="P104" s="1486"/>
      <c r="Q104" s="1309"/>
      <c r="R104" s="1310"/>
      <c r="S104" s="1310"/>
      <c r="T104" s="1310"/>
      <c r="U104" s="1310"/>
      <c r="V104" s="1310"/>
      <c r="W104" s="1310"/>
      <c r="X104" s="1310"/>
      <c r="Y104" s="1310"/>
      <c r="Z104" s="1310"/>
      <c r="AA104" s="1310"/>
      <c r="AB104" s="1310"/>
      <c r="AC104" s="1310"/>
    </row>
    <row r="105" spans="1:29" s="972" customFormat="1" ht="15">
      <c r="A105" s="1225"/>
      <c r="B105" s="1220"/>
      <c r="C105" s="1228"/>
      <c r="D105" s="1217"/>
      <c r="E105" s="1217"/>
      <c r="F105" s="1217"/>
      <c r="G105" s="1217"/>
      <c r="H105" s="1217"/>
      <c r="I105" s="1217"/>
      <c r="J105" s="1217"/>
      <c r="K105" s="1217"/>
      <c r="L105" s="1217"/>
      <c r="M105" s="1266"/>
      <c r="N105" s="1267"/>
      <c r="O105" s="1267"/>
      <c r="P105" s="1486"/>
      <c r="Q105" s="1309"/>
      <c r="R105" s="1310"/>
      <c r="S105" s="1310"/>
      <c r="T105" s="1310"/>
      <c r="U105" s="1310"/>
      <c r="V105" s="1310"/>
      <c r="W105" s="1310"/>
      <c r="X105" s="1310"/>
      <c r="Y105" s="1310"/>
      <c r="Z105" s="1310"/>
      <c r="AA105" s="1310"/>
      <c r="AB105" s="1310"/>
      <c r="AC105" s="1310"/>
    </row>
    <row r="106" spans="1:29">
      <c r="A106" s="1249"/>
      <c r="B106" s="1218" t="s">
        <v>1070</v>
      </c>
      <c r="C106" s="1226"/>
      <c r="D106" s="1226"/>
      <c r="E106" s="1243"/>
      <c r="F106" s="1243"/>
      <c r="G106" s="1243"/>
      <c r="H106" s="1243"/>
      <c r="I106" s="1243"/>
      <c r="J106" s="1243"/>
      <c r="K106" s="1294"/>
      <c r="L106" s="1295"/>
      <c r="M106" s="1296"/>
      <c r="N106" s="1264"/>
      <c r="O106" s="1264"/>
      <c r="P106" s="1485"/>
      <c r="Q106" s="1188"/>
      <c r="R106" s="1086"/>
      <c r="S106" s="1086"/>
      <c r="T106" s="1086"/>
      <c r="U106" s="1086"/>
      <c r="V106" s="1086"/>
      <c r="W106" s="1086"/>
      <c r="X106" s="1086"/>
      <c r="Y106" s="1086"/>
      <c r="Z106" s="1086"/>
      <c r="AA106" s="1086"/>
      <c r="AB106" s="1086"/>
      <c r="AC106" s="1086"/>
    </row>
    <row r="107" spans="1:29" ht="15">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85"/>
      <c r="Q107" s="1188"/>
      <c r="R107" s="1086"/>
      <c r="S107" s="1086"/>
      <c r="T107" s="1086"/>
      <c r="U107" s="1086"/>
      <c r="V107" s="1086"/>
      <c r="W107" s="1086"/>
      <c r="X107" s="1086"/>
      <c r="Y107" s="1086"/>
      <c r="Z107" s="1086"/>
      <c r="AA107" s="1086"/>
      <c r="AB107" s="1086"/>
      <c r="AC107" s="1086"/>
    </row>
    <row r="108" spans="1:29">
      <c r="A108" s="1249"/>
      <c r="B108" s="1218" t="s">
        <v>1073</v>
      </c>
      <c r="C108" s="1226"/>
      <c r="D108" s="1226"/>
      <c r="E108" s="1226"/>
      <c r="F108" s="1243"/>
      <c r="G108" s="1243"/>
      <c r="H108" s="1243"/>
      <c r="I108" s="1243"/>
      <c r="J108" s="1243"/>
      <c r="K108" s="1294"/>
      <c r="L108" s="1295"/>
      <c r="M108" s="1296"/>
      <c r="N108" s="1264"/>
      <c r="O108" s="1264"/>
      <c r="P108" s="1485"/>
      <c r="Q108" s="1188"/>
      <c r="R108" s="1086"/>
      <c r="S108" s="1086"/>
      <c r="T108" s="1086"/>
      <c r="U108" s="1086"/>
      <c r="V108" s="1086"/>
      <c r="W108" s="1086"/>
      <c r="X108" s="1086"/>
      <c r="Y108" s="1086"/>
      <c r="Z108" s="1086"/>
      <c r="AA108" s="1086"/>
      <c r="AB108" s="1086"/>
      <c r="AC108" s="1086"/>
    </row>
    <row r="109" spans="1:29" ht="15">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85"/>
      <c r="Q109" s="1188"/>
      <c r="R109" s="1086"/>
      <c r="S109" s="1086"/>
      <c r="T109" s="1086"/>
      <c r="U109" s="1086"/>
      <c r="V109" s="1086"/>
      <c r="W109" s="1086"/>
      <c r="X109" s="1086"/>
      <c r="Y109" s="1086"/>
      <c r="Z109" s="1086"/>
      <c r="AA109" s="1086"/>
      <c r="AB109" s="1086"/>
      <c r="AC109" s="1086"/>
    </row>
    <row r="110" spans="1:29">
      <c r="A110" s="1249"/>
      <c r="B110" s="1218" t="s">
        <v>568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85"/>
      <c r="Q110" s="1188"/>
      <c r="R110" s="1086"/>
      <c r="S110" s="1086"/>
      <c r="T110" s="1086"/>
      <c r="U110" s="1086"/>
      <c r="V110" s="1086"/>
      <c r="W110" s="1086"/>
      <c r="X110" s="1086"/>
      <c r="Y110" s="1086"/>
      <c r="Z110" s="1086"/>
      <c r="AA110" s="1086"/>
      <c r="AB110" s="1086"/>
      <c r="AC110" s="1086"/>
    </row>
    <row r="111" spans="1:29">
      <c r="A111" s="1249"/>
      <c r="B111" s="1222"/>
      <c r="C111" s="905">
        <v>0.5</v>
      </c>
      <c r="D111" s="905">
        <v>0.6</v>
      </c>
      <c r="E111" s="905">
        <v>0.7</v>
      </c>
      <c r="F111" s="905">
        <v>0.8</v>
      </c>
      <c r="G111" s="905">
        <v>0.9</v>
      </c>
      <c r="H111" s="905">
        <v>1.0001</v>
      </c>
      <c r="I111" s="1493"/>
      <c r="J111" s="1493"/>
      <c r="K111" s="1494"/>
      <c r="L111" s="1495"/>
      <c r="M111" s="1496"/>
      <c r="N111" s="1264"/>
      <c r="O111" s="1264"/>
      <c r="P111" s="1485"/>
      <c r="Q111" s="1188"/>
      <c r="R111" s="1086"/>
      <c r="S111" s="1086"/>
      <c r="T111" s="1086"/>
      <c r="U111" s="1086"/>
      <c r="V111" s="1086"/>
      <c r="W111" s="1086"/>
      <c r="X111" s="1086"/>
      <c r="Y111" s="1086"/>
      <c r="Z111" s="1086"/>
      <c r="AA111" s="1086"/>
      <c r="AB111" s="1086"/>
      <c r="AC111" s="1086"/>
    </row>
    <row r="112" spans="1:29" ht="15">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85"/>
      <c r="Q112" s="1188"/>
      <c r="R112" s="1086"/>
      <c r="S112" s="1086"/>
      <c r="T112" s="1086"/>
      <c r="U112" s="1086"/>
      <c r="V112" s="1086"/>
      <c r="W112" s="1086"/>
      <c r="X112" s="1086"/>
      <c r="Y112" s="1086"/>
      <c r="Z112" s="1086"/>
      <c r="AA112" s="1086"/>
      <c r="AB112" s="1086"/>
      <c r="AC112" s="1086"/>
    </row>
    <row r="113" spans="1:29" s="972" customFormat="1">
      <c r="A113" s="1246"/>
      <c r="B113" s="1218" t="s">
        <v>1488</v>
      </c>
      <c r="C113" s="1226"/>
      <c r="D113" s="1226"/>
      <c r="E113" s="1226"/>
      <c r="F113" s="1226"/>
      <c r="G113" s="1226"/>
      <c r="H113" s="1243"/>
      <c r="I113" s="1243"/>
      <c r="J113" s="1243"/>
      <c r="K113" s="1294"/>
      <c r="L113" s="1295"/>
      <c r="M113" s="1296"/>
      <c r="N113" s="1277"/>
      <c r="O113" s="1277"/>
      <c r="P113" s="1486"/>
      <c r="Q113" s="1309"/>
      <c r="R113" s="1310"/>
      <c r="S113" s="1310"/>
      <c r="T113" s="1310"/>
      <c r="U113" s="1310"/>
      <c r="V113" s="1310"/>
      <c r="W113" s="1310"/>
      <c r="X113" s="1310"/>
      <c r="Y113" s="1310"/>
      <c r="Z113" s="1310"/>
      <c r="AA113" s="1310"/>
      <c r="AB113" s="1310"/>
      <c r="AC113" s="1310"/>
    </row>
    <row r="114" spans="1:29" s="972" customFormat="1" ht="15">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86"/>
      <c r="Q114" s="1309"/>
      <c r="R114" s="1310"/>
      <c r="S114" s="1310"/>
      <c r="T114" s="1310"/>
      <c r="U114" s="1310"/>
      <c r="V114" s="1310"/>
      <c r="W114" s="1310"/>
      <c r="X114" s="1310"/>
      <c r="Y114" s="1310"/>
      <c r="Z114" s="1310"/>
      <c r="AA114" s="1310"/>
      <c r="AB114" s="1310"/>
      <c r="AC114" s="1310"/>
    </row>
    <row r="115" spans="1:29">
      <c r="A115" s="1249"/>
      <c r="B115" s="1218" t="s">
        <v>1075</v>
      </c>
      <c r="C115" s="1226"/>
      <c r="D115" s="1226"/>
      <c r="E115" s="1243"/>
      <c r="F115" s="1243"/>
      <c r="G115" s="1243"/>
      <c r="H115" s="1243"/>
      <c r="I115" s="1243"/>
      <c r="J115" s="1243"/>
      <c r="K115" s="1294"/>
      <c r="L115" s="1295"/>
      <c r="M115" s="1296"/>
      <c r="N115" s="1264"/>
      <c r="O115" s="1264"/>
      <c r="P115" s="1485"/>
      <c r="Q115" s="1188"/>
      <c r="R115" s="1086"/>
      <c r="S115" s="1086"/>
      <c r="T115" s="1086"/>
      <c r="U115" s="1086"/>
      <c r="V115" s="1086"/>
      <c r="W115" s="1086"/>
      <c r="X115" s="1086"/>
      <c r="Y115" s="1086"/>
      <c r="Z115" s="1086"/>
      <c r="AA115" s="1086"/>
      <c r="AB115" s="1086"/>
      <c r="AC115" s="1086"/>
    </row>
    <row r="116" spans="1:29" ht="15">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85"/>
      <c r="Q116" s="1188"/>
      <c r="R116" s="1086"/>
      <c r="S116" s="1086"/>
      <c r="T116" s="1086"/>
      <c r="U116" s="1086"/>
      <c r="V116" s="1086"/>
      <c r="W116" s="1086"/>
      <c r="X116" s="1086"/>
      <c r="Y116" s="1086"/>
      <c r="Z116" s="1086"/>
      <c r="AA116" s="1086"/>
      <c r="AB116" s="1086"/>
      <c r="AC116" s="1086"/>
    </row>
    <row r="117" spans="1:29">
      <c r="A117" s="1249"/>
      <c r="B117" s="1218" t="s">
        <v>1077</v>
      </c>
      <c r="C117" s="1226"/>
      <c r="D117" s="1226"/>
      <c r="E117" s="1226"/>
      <c r="F117" s="1226"/>
      <c r="G117" s="1226"/>
      <c r="H117" s="1243"/>
      <c r="I117" s="1243"/>
      <c r="J117" s="1243"/>
      <c r="K117" s="1294"/>
      <c r="L117" s="1295"/>
      <c r="M117" s="1296"/>
      <c r="N117" s="1264"/>
      <c r="O117" s="1264"/>
      <c r="P117" s="1485"/>
      <c r="Q117" s="1188"/>
      <c r="R117" s="1086"/>
      <c r="S117" s="1086"/>
      <c r="T117" s="1086"/>
      <c r="U117" s="1086"/>
      <c r="V117" s="1086"/>
      <c r="W117" s="1086"/>
      <c r="X117" s="1086"/>
      <c r="Y117" s="1086"/>
      <c r="Z117" s="1086"/>
      <c r="AA117" s="1086"/>
      <c r="AB117" s="1086"/>
      <c r="AC117" s="1086"/>
    </row>
    <row r="118" spans="1:29" ht="15">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85"/>
      <c r="Q118" s="1188"/>
      <c r="R118" s="1086"/>
      <c r="S118" s="1086"/>
      <c r="T118" s="1086"/>
      <c r="U118" s="1086"/>
      <c r="V118" s="1086"/>
      <c r="W118" s="1086"/>
      <c r="X118" s="1086"/>
      <c r="Y118" s="1086"/>
      <c r="Z118" s="1086"/>
      <c r="AA118" s="1086"/>
      <c r="AB118" s="1086"/>
      <c r="AC118" s="1086"/>
    </row>
    <row r="119" spans="1:29">
      <c r="A119" s="1249"/>
      <c r="B119" s="1429" t="s">
        <v>1490</v>
      </c>
      <c r="C119" s="1243"/>
      <c r="D119" s="1243"/>
      <c r="E119" s="1243"/>
      <c r="F119" s="1243"/>
      <c r="G119" s="1243"/>
      <c r="H119" s="1243"/>
      <c r="I119" s="1243"/>
      <c r="J119" s="1243"/>
      <c r="K119" s="1243"/>
      <c r="L119" s="1558"/>
      <c r="M119" s="1559"/>
      <c r="N119" s="1267"/>
      <c r="O119" s="1267"/>
      <c r="P119" s="1497"/>
      <c r="Q119" s="1440"/>
      <c r="R119" s="1086"/>
      <c r="S119" s="1086"/>
      <c r="T119" s="1086"/>
      <c r="U119" s="1086"/>
      <c r="V119" s="1086"/>
      <c r="W119" s="1086"/>
      <c r="X119" s="1086"/>
      <c r="Y119" s="1086"/>
      <c r="Z119" s="1086"/>
      <c r="AA119" s="1086"/>
      <c r="AB119" s="1086"/>
      <c r="AC119" s="1086"/>
    </row>
    <row r="120" spans="1:29" ht="15">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85"/>
      <c r="Q120" s="1188"/>
      <c r="R120" s="1086"/>
      <c r="S120" s="1086"/>
      <c r="T120" s="1086"/>
      <c r="U120" s="1086"/>
      <c r="V120" s="1086"/>
      <c r="W120" s="1086"/>
      <c r="X120" s="1086"/>
      <c r="Y120" s="1086"/>
      <c r="Z120" s="1086"/>
      <c r="AA120" s="1086"/>
      <c r="AB120" s="1086"/>
      <c r="AC120" s="1086"/>
    </row>
    <row r="121" spans="1:29" s="972" customFormat="1">
      <c r="A121" s="1246"/>
      <c r="B121" s="1218" t="s">
        <v>1480</v>
      </c>
      <c r="C121" s="1226"/>
      <c r="D121" s="1226"/>
      <c r="E121" s="1226"/>
      <c r="F121" s="1243"/>
      <c r="G121" s="1227"/>
      <c r="H121" s="1227"/>
      <c r="I121" s="1227"/>
      <c r="J121" s="1227"/>
      <c r="K121" s="1227"/>
      <c r="L121" s="1275"/>
      <c r="M121" s="1276"/>
      <c r="N121" s="1277"/>
      <c r="O121" s="1277"/>
      <c r="P121" s="1486"/>
      <c r="Q121" s="1309"/>
      <c r="R121" s="1310"/>
      <c r="S121" s="1310"/>
      <c r="T121" s="1310"/>
      <c r="U121" s="1310"/>
      <c r="V121" s="1310"/>
      <c r="W121" s="1310"/>
      <c r="X121" s="1310"/>
      <c r="Y121" s="1310"/>
      <c r="Z121" s="1310"/>
      <c r="AA121" s="1310"/>
      <c r="AB121" s="1310"/>
      <c r="AC121" s="1310"/>
    </row>
    <row r="122" spans="1:29" s="972" customFormat="1" ht="15">
      <c r="A122" s="1225"/>
      <c r="B122" s="1216"/>
      <c r="C122" s="1228"/>
      <c r="D122" s="1228"/>
      <c r="E122" s="1228"/>
      <c r="F122" s="1228"/>
      <c r="G122" s="1228"/>
      <c r="H122" s="1228"/>
      <c r="I122" s="1228"/>
      <c r="J122" s="1228"/>
      <c r="K122" s="1228"/>
      <c r="L122" s="1228"/>
      <c r="M122" s="1228"/>
      <c r="N122" s="1277"/>
      <c r="O122" s="1277"/>
      <c r="P122" s="1486"/>
      <c r="Q122" s="1309"/>
      <c r="R122" s="1310"/>
      <c r="S122" s="1310"/>
      <c r="T122" s="1310"/>
      <c r="U122" s="1310"/>
      <c r="V122" s="1310"/>
      <c r="W122" s="1310"/>
      <c r="X122" s="1310"/>
      <c r="Y122" s="1310"/>
      <c r="Z122" s="1310"/>
      <c r="AA122" s="1310"/>
      <c r="AB122" s="1310"/>
      <c r="AC122" s="1310"/>
    </row>
    <row r="123" spans="1:29">
      <c r="A123" s="1249"/>
      <c r="B123" s="1218" t="s">
        <v>1083</v>
      </c>
      <c r="C123" s="1226"/>
      <c r="D123" s="1226"/>
      <c r="E123" s="1226"/>
      <c r="F123" s="1243"/>
      <c r="G123" s="1243"/>
      <c r="H123" s="1243"/>
      <c r="I123" s="1243"/>
      <c r="J123" s="1243"/>
      <c r="K123" s="1294"/>
      <c r="L123" s="1295"/>
      <c r="M123" s="1296"/>
      <c r="N123" s="1264"/>
      <c r="O123" s="1264"/>
      <c r="P123" s="1485"/>
      <c r="Q123" s="1188"/>
      <c r="R123" s="1086"/>
      <c r="S123" s="1086"/>
      <c r="T123" s="1086"/>
      <c r="U123" s="1086"/>
      <c r="V123" s="1086"/>
      <c r="W123" s="1086"/>
      <c r="X123" s="1086"/>
      <c r="Y123" s="1086"/>
      <c r="Z123" s="1086"/>
      <c r="AA123" s="1086"/>
      <c r="AB123" s="1086"/>
      <c r="AC123" s="1086"/>
    </row>
    <row r="124" spans="1:29" ht="15">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85"/>
      <c r="Q124" s="1188"/>
      <c r="R124" s="1086"/>
      <c r="S124" s="1086"/>
      <c r="T124" s="1086"/>
      <c r="U124" s="1086"/>
      <c r="V124" s="1086"/>
      <c r="W124" s="1086"/>
      <c r="X124" s="1086"/>
      <c r="Y124" s="1086"/>
      <c r="Z124" s="1086"/>
      <c r="AA124" s="1086"/>
      <c r="AB124" s="1086"/>
      <c r="AC124" s="1086"/>
    </row>
    <row r="125" spans="1:29">
      <c r="A125" s="1249"/>
      <c r="B125" s="1218" t="s">
        <v>1086</v>
      </c>
      <c r="C125" s="1237" t="s">
        <v>1104</v>
      </c>
      <c r="D125" s="1237" t="s">
        <v>1105</v>
      </c>
      <c r="E125" s="1237" t="s">
        <v>1106</v>
      </c>
      <c r="F125" s="1237" t="s">
        <v>1107</v>
      </c>
      <c r="G125" s="1237" t="s">
        <v>1108</v>
      </c>
      <c r="H125" s="1219"/>
      <c r="I125" s="1219"/>
      <c r="J125" s="1219"/>
      <c r="K125" s="1268"/>
      <c r="L125" s="1269"/>
      <c r="M125" s="1270"/>
      <c r="N125" s="1264"/>
      <c r="O125" s="1264"/>
      <c r="P125" s="1486"/>
      <c r="Q125" s="1188"/>
      <c r="R125" s="1086"/>
      <c r="S125" s="1086"/>
      <c r="T125" s="1086"/>
      <c r="U125" s="1086"/>
      <c r="V125" s="1086"/>
      <c r="W125" s="1086"/>
      <c r="X125" s="1086"/>
      <c r="Y125" s="1086"/>
      <c r="Z125" s="1086"/>
      <c r="AA125" s="1086"/>
      <c r="AB125" s="1086"/>
      <c r="AC125" s="1086"/>
    </row>
    <row r="126" spans="1:29" ht="15">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85"/>
      <c r="Q126" s="1188"/>
      <c r="R126" s="1086"/>
      <c r="S126" s="1086"/>
      <c r="T126" s="1086"/>
      <c r="U126" s="1086"/>
      <c r="V126" s="1086"/>
      <c r="W126" s="1086"/>
      <c r="X126" s="1086"/>
      <c r="Y126" s="1086"/>
      <c r="Z126" s="1086"/>
      <c r="AA126" s="1086"/>
      <c r="AB126" s="1086"/>
      <c r="AC126" s="1086"/>
    </row>
    <row r="127" spans="1:29" s="972" customFormat="1">
      <c r="A127" s="1246"/>
      <c r="B127" s="1218">
        <f>B45</f>
        <v>111</v>
      </c>
      <c r="C127" s="1226"/>
      <c r="D127" s="1226"/>
      <c r="E127" s="1226"/>
      <c r="F127" s="1226"/>
      <c r="G127" s="1226"/>
      <c r="H127" s="1227"/>
      <c r="I127" s="1227"/>
      <c r="J127" s="1227"/>
      <c r="K127" s="1227"/>
      <c r="L127" s="1275"/>
      <c r="M127" s="1276"/>
      <c r="N127" s="1277"/>
      <c r="O127" s="1277"/>
      <c r="P127" s="1486"/>
      <c r="Q127" s="1309"/>
      <c r="R127" s="1310"/>
      <c r="S127" s="1310"/>
      <c r="T127" s="1310"/>
      <c r="U127" s="1310"/>
      <c r="V127" s="1310"/>
      <c r="W127" s="1310"/>
      <c r="X127" s="1310"/>
      <c r="Y127" s="1310"/>
      <c r="Z127" s="1310"/>
      <c r="AA127" s="1310"/>
      <c r="AB127" s="1310"/>
      <c r="AC127" s="1310"/>
    </row>
    <row r="128" spans="1:29" s="972" customFormat="1" ht="15">
      <c r="A128" s="1225"/>
      <c r="B128" s="1220"/>
      <c r="C128" s="1228"/>
      <c r="D128" s="1217"/>
      <c r="E128" s="1217"/>
      <c r="F128" s="1217"/>
      <c r="G128" s="1228"/>
      <c r="H128" s="1229"/>
      <c r="I128" s="1229"/>
      <c r="J128" s="1229"/>
      <c r="K128" s="1229"/>
      <c r="L128" s="1229"/>
      <c r="M128" s="1279"/>
      <c r="N128" s="1277"/>
      <c r="O128" s="1277"/>
      <c r="P128" s="1486"/>
      <c r="Q128" s="1309"/>
      <c r="R128" s="1310"/>
      <c r="S128" s="1310"/>
      <c r="T128" s="1310"/>
      <c r="U128" s="1310"/>
      <c r="V128" s="1310"/>
      <c r="W128" s="1310"/>
      <c r="X128" s="1310"/>
      <c r="Y128" s="1310"/>
      <c r="Z128" s="1310"/>
      <c r="AA128" s="1310"/>
      <c r="AB128" s="1310"/>
      <c r="AC128" s="1310"/>
    </row>
    <row r="129" spans="1:29">
      <c r="A129" s="1249"/>
      <c r="B129" s="1218">
        <f>B46</f>
        <v>111</v>
      </c>
      <c r="C129" s="1226"/>
      <c r="D129" s="1226"/>
      <c r="E129" s="1226"/>
      <c r="F129" s="1226"/>
      <c r="G129" s="1243"/>
      <c r="H129" s="1243"/>
      <c r="I129" s="1243"/>
      <c r="J129" s="1243"/>
      <c r="K129" s="1294"/>
      <c r="L129" s="1295"/>
      <c r="M129" s="1296"/>
      <c r="N129" s="1264"/>
      <c r="O129" s="1264"/>
      <c r="P129" s="1485"/>
      <c r="Q129" s="1188"/>
      <c r="R129" s="1086"/>
      <c r="S129" s="1086"/>
      <c r="T129" s="1086"/>
      <c r="U129" s="1086"/>
      <c r="V129" s="1086"/>
      <c r="W129" s="1086"/>
      <c r="X129" s="1086"/>
      <c r="Y129" s="1086"/>
      <c r="Z129" s="1086"/>
      <c r="AA129" s="1086"/>
      <c r="AB129" s="1086"/>
      <c r="AC129" s="1086"/>
    </row>
    <row r="130" spans="1:29" ht="15">
      <c r="A130" s="1215"/>
      <c r="B130" s="1220"/>
      <c r="C130" s="1228"/>
      <c r="D130" s="1228"/>
      <c r="E130" s="1228"/>
      <c r="F130" s="1228"/>
      <c r="G130" s="1217"/>
      <c r="H130" s="1217"/>
      <c r="I130" s="1217"/>
      <c r="J130" s="1217"/>
      <c r="K130" s="1217"/>
      <c r="L130" s="1217"/>
      <c r="M130" s="1266"/>
      <c r="N130" s="1267"/>
      <c r="O130" s="1267"/>
      <c r="P130" s="1485"/>
      <c r="Q130" s="1188"/>
      <c r="R130" s="1086"/>
      <c r="S130" s="1086"/>
      <c r="T130" s="1086"/>
      <c r="U130" s="1086"/>
      <c r="V130" s="1086"/>
      <c r="W130" s="1086"/>
      <c r="X130" s="1086"/>
      <c r="Y130" s="1086"/>
      <c r="Z130" s="1086"/>
      <c r="AA130" s="1086"/>
      <c r="AB130" s="1086"/>
      <c r="AC130" s="1086"/>
    </row>
    <row r="131" spans="1:29">
      <c r="A131" s="1249"/>
      <c r="B131" s="1222">
        <f>B47</f>
        <v>111</v>
      </c>
      <c r="C131" s="1210"/>
      <c r="D131" s="1210"/>
      <c r="E131" s="1210"/>
      <c r="F131" s="1210"/>
      <c r="G131" s="1244"/>
      <c r="H131" s="1244"/>
      <c r="I131" s="1244"/>
      <c r="J131" s="1244"/>
      <c r="K131" s="1210"/>
      <c r="L131" s="1256"/>
      <c r="M131" s="1299"/>
      <c r="N131" s="1264"/>
      <c r="O131" s="1264"/>
      <c r="P131" s="1485"/>
      <c r="Q131" s="1188"/>
      <c r="R131" s="1086"/>
      <c r="S131" s="1086"/>
      <c r="T131" s="1086"/>
      <c r="U131" s="1086"/>
      <c r="V131" s="1086"/>
      <c r="W131" s="1086"/>
      <c r="X131" s="1086"/>
      <c r="Y131" s="1086"/>
      <c r="Z131" s="1086"/>
      <c r="AA131" s="1086"/>
      <c r="AB131" s="1086"/>
      <c r="AC131" s="1086"/>
    </row>
    <row r="132" spans="1:29" ht="15">
      <c r="A132" s="1533"/>
      <c r="B132" s="1232"/>
      <c r="C132" s="1233"/>
      <c r="D132" s="1233"/>
      <c r="E132" s="1233"/>
      <c r="F132" s="1233"/>
      <c r="G132" s="1245"/>
      <c r="H132" s="1245"/>
      <c r="I132" s="1245"/>
      <c r="J132" s="1245"/>
      <c r="K132" s="1245"/>
      <c r="L132" s="1245"/>
      <c r="M132" s="1300"/>
      <c r="N132" s="1267"/>
      <c r="O132" s="1267"/>
      <c r="P132" s="1485"/>
      <c r="Q132" s="1188"/>
      <c r="R132" s="1086"/>
      <c r="S132" s="1086"/>
      <c r="T132" s="1086"/>
      <c r="U132" s="1086"/>
      <c r="V132" s="1086"/>
      <c r="W132" s="1086"/>
      <c r="X132" s="1086"/>
      <c r="Y132" s="1086"/>
      <c r="Z132" s="1086"/>
      <c r="AA132" s="1086"/>
      <c r="AB132" s="1086"/>
      <c r="AC132" s="10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E53">
    <cfRule type="expression" dxfId="132" priority="16" stopIfTrue="1">
      <formula>$F$53="超过30%"</formula>
    </cfRule>
  </conditionalFormatting>
  <conditionalFormatting sqref="G53">
    <cfRule type="expression" dxfId="131" priority="12" stopIfTrue="1">
      <formula>$H$53="超过30%"</formula>
    </cfRule>
  </conditionalFormatting>
  <conditionalFormatting sqref="I53">
    <cfRule type="expression" dxfId="130" priority="7" stopIfTrue="1">
      <formula>$J$53="超过30%"</formula>
    </cfRule>
  </conditionalFormatting>
  <conditionalFormatting sqref="J53">
    <cfRule type="containsText" dxfId="129" priority="10" stopIfTrue="1" operator="containsText" text="超过">
      <formula>NOT(ISERROR(SEARCH("超过",J53)))</formula>
    </cfRule>
  </conditionalFormatting>
  <conditionalFormatting sqref="E54">
    <cfRule type="expression" dxfId="128" priority="15" stopIfTrue="1">
      <formula>$F$54="超过20%"</formula>
    </cfRule>
  </conditionalFormatting>
  <conditionalFormatting sqref="G54">
    <cfRule type="expression" dxfId="127" priority="11" stopIfTrue="1">
      <formula>$H$54="超过20%"</formula>
    </cfRule>
  </conditionalFormatting>
  <conditionalFormatting sqref="I54">
    <cfRule type="expression" dxfId="126" priority="6" stopIfTrue="1">
      <formula>$J$53+$J$54="超过20%"</formula>
    </cfRule>
  </conditionalFormatting>
  <conditionalFormatting sqref="J54">
    <cfRule type="containsText" dxfId="125" priority="8" stopIfTrue="1" operator="containsText" text="超过">
      <formula>NOT(ISERROR(SEARCH("超过",J54)))</formula>
    </cfRule>
  </conditionalFormatting>
  <conditionalFormatting sqref="E55">
    <cfRule type="expression" dxfId="124" priority="14" stopIfTrue="1">
      <formula>$F$55="超过30%"</formula>
    </cfRule>
  </conditionalFormatting>
  <conditionalFormatting sqref="F55">
    <cfRule type="containsText" dxfId="123" priority="18" stopIfTrue="1" operator="containsText" text="超过">
      <formula>NOT(ISERROR(SEARCH("超过",F55)))</formula>
    </cfRule>
  </conditionalFormatting>
  <conditionalFormatting sqref="G55">
    <cfRule type="expression" dxfId="122" priority="13" stopIfTrue="1">
      <formula>$H$55="超过30%"</formula>
    </cfRule>
  </conditionalFormatting>
  <conditionalFormatting sqref="H55">
    <cfRule type="containsText" dxfId="121" priority="19" stopIfTrue="1" operator="containsText" text="超过">
      <formula>NOT(ISERROR(SEARCH("超过",H55)))</formula>
    </cfRule>
  </conditionalFormatting>
  <conditionalFormatting sqref="I55">
    <cfRule type="expression" dxfId="120" priority="5" stopIfTrue="1">
      <formula>$J$55="超过30%"</formula>
    </cfRule>
  </conditionalFormatting>
  <conditionalFormatting sqref="J55">
    <cfRule type="containsText" dxfId="119" priority="9" stopIfTrue="1" operator="containsText" text="超过">
      <formula>NOT(ISERROR(SEARCH("超过",J55)))</formula>
    </cfRule>
  </conditionalFormatting>
  <conditionalFormatting sqref="F7:F47 H7:H47 J7:J47">
    <cfRule type="cellIs" dxfId="118" priority="1" operator="notEqual">
      <formula>100</formula>
    </cfRule>
  </conditionalFormatting>
  <conditionalFormatting sqref="F53 H53">
    <cfRule type="containsText" dxfId="117" priority="20" stopIfTrue="1" operator="containsText" text="超过">
      <formula>NOT(ISERROR(SEARCH("超过",F53)))</formula>
    </cfRule>
  </conditionalFormatting>
  <conditionalFormatting sqref="F54 H54">
    <cfRule type="containsText" dxfId="116"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1019</v>
      </c>
      <c r="B1" s="1498" t="s">
        <v>1491</v>
      </c>
      <c r="C1" s="1365" t="s">
        <v>1021</v>
      </c>
      <c r="D1" s="1366"/>
      <c r="E1" s="1367"/>
      <c r="F1" s="1368"/>
      <c r="G1" s="1369" t="s">
        <v>1023</v>
      </c>
      <c r="H1" s="1367"/>
      <c r="I1" s="1367"/>
      <c r="J1" s="1367"/>
      <c r="K1" s="1420"/>
      <c r="L1" s="1421"/>
      <c r="M1" s="1422"/>
      <c r="N1" s="1422"/>
      <c r="O1" s="1422"/>
      <c r="P1" s="1365"/>
      <c r="Q1" s="1365"/>
      <c r="R1" s="1365"/>
      <c r="S1" s="1365"/>
      <c r="T1" s="1365"/>
      <c r="U1" s="1365"/>
      <c r="V1" s="1365"/>
      <c r="W1" s="1365"/>
      <c r="X1" s="1365"/>
      <c r="Y1" s="1365"/>
      <c r="Z1" s="1365"/>
      <c r="AA1" s="1365"/>
      <c r="AB1" s="1365"/>
      <c r="AC1" s="1428"/>
    </row>
    <row r="2" spans="1:29" s="969" customFormat="1" ht="28.5" customHeight="1">
      <c r="A2" s="1370" t="s">
        <v>923</v>
      </c>
      <c r="B2" s="1371" t="e">
        <f ca="1">IF(C2="——",ROUND(C43*D3/10000,0),ROUND(C43*D3/10000,0)-D2)</f>
        <v>#DIV/0!</v>
      </c>
      <c r="C2" s="1372"/>
      <c r="D2" s="1312" t="e">
        <f ca="1">SUMIF(INDIRECT("'"&amp;F2&amp;"'"&amp;"!A:A"),"承租人权益价值",INDIRECT("'"&amp;F2&amp;"'"&amp;"!c:c"))</f>
        <v>#REF!</v>
      </c>
      <c r="E2" s="1373" t="s">
        <v>924</v>
      </c>
      <c r="F2" s="1374"/>
      <c r="G2" s="985"/>
      <c r="H2" s="985"/>
      <c r="I2" s="985"/>
      <c r="J2" s="985"/>
      <c r="K2" s="985"/>
      <c r="L2" s="1502"/>
      <c r="M2" s="1503"/>
      <c r="N2" s="1503"/>
      <c r="O2" s="1503"/>
      <c r="P2" s="1129"/>
      <c r="Q2" s="1129"/>
      <c r="R2" s="1129"/>
      <c r="S2" s="1129"/>
      <c r="T2" s="1129"/>
      <c r="U2" s="1129"/>
      <c r="V2" s="1129"/>
      <c r="W2" s="1129"/>
      <c r="X2" s="1129"/>
      <c r="Y2" s="1129"/>
      <c r="Z2" s="1129"/>
      <c r="AA2" s="1129"/>
      <c r="AB2" s="1129"/>
      <c r="AC2" s="1191"/>
    </row>
    <row r="3" spans="1:29" s="969" customFormat="1" ht="28.5" customHeight="1">
      <c r="A3" s="241" t="s">
        <v>925</v>
      </c>
      <c r="B3" s="987" t="e">
        <f ca="1">IF(C2="——",C43,ROUND(B2*10000/D3,0))</f>
        <v>#DIV/0!</v>
      </c>
      <c r="C3" s="1375" t="s">
        <v>1024</v>
      </c>
      <c r="D3" s="1376">
        <f>IF(D1="",'数据-汇总表'!E3,SUMIF('数据-汇总表'!$C19:$C33,D1,'数据-汇总表'!$E19:$E33))</f>
        <v>1</v>
      </c>
      <c r="E3" s="985"/>
      <c r="F3" s="986"/>
      <c r="G3" s="985"/>
      <c r="H3" s="985"/>
      <c r="I3" s="985"/>
      <c r="J3" s="985"/>
      <c r="K3" s="1130"/>
      <c r="L3" s="1502"/>
      <c r="M3" s="1503"/>
      <c r="N3" s="1503"/>
      <c r="O3" s="1503"/>
      <c r="P3" s="1129"/>
      <c r="Q3" s="1129"/>
      <c r="R3" s="1129"/>
      <c r="S3" s="1129"/>
      <c r="T3" s="1129"/>
      <c r="U3" s="1129"/>
      <c r="V3" s="1129"/>
      <c r="W3" s="1129"/>
      <c r="X3" s="1129"/>
      <c r="Y3" s="1129"/>
      <c r="Z3" s="1129"/>
      <c r="AA3" s="1129"/>
      <c r="AB3" s="1190"/>
      <c r="AC3" s="1191"/>
    </row>
    <row r="4" spans="1:29" ht="15">
      <c r="A4" s="989" t="s">
        <v>1025</v>
      </c>
      <c r="B4" s="990"/>
      <c r="C4" s="3443" t="s">
        <v>1026</v>
      </c>
      <c r="D4" s="3444"/>
      <c r="E4" s="3445" t="s">
        <v>1027</v>
      </c>
      <c r="F4" s="3446"/>
      <c r="G4" s="3443" t="s">
        <v>1028</v>
      </c>
      <c r="H4" s="3444"/>
      <c r="I4" s="3443" t="s">
        <v>1029</v>
      </c>
      <c r="J4" s="3444"/>
      <c r="K4" s="1133" t="s">
        <v>1030</v>
      </c>
      <c r="L4" s="1504"/>
      <c r="M4" s="1505"/>
      <c r="N4" s="1505"/>
      <c r="O4" s="1505"/>
      <c r="P4" s="3477" t="s">
        <v>1031</v>
      </c>
      <c r="Q4" s="3478"/>
      <c r="R4" s="3483" t="s">
        <v>1027</v>
      </c>
      <c r="S4" s="3484"/>
      <c r="T4" s="3483" t="s">
        <v>1028</v>
      </c>
      <c r="U4" s="3484"/>
      <c r="V4" s="3459" t="s">
        <v>1029</v>
      </c>
      <c r="W4" s="3459"/>
      <c r="X4" s="1177"/>
      <c r="Y4" s="3483" t="s">
        <v>1031</v>
      </c>
      <c r="Z4" s="3484"/>
      <c r="AA4" s="3474" t="s">
        <v>1027</v>
      </c>
      <c r="AB4" s="3475" t="s">
        <v>1028</v>
      </c>
      <c r="AC4" s="3474" t="s">
        <v>1029</v>
      </c>
    </row>
    <row r="5" spans="1:29" ht="15">
      <c r="A5" s="991"/>
      <c r="B5" s="992"/>
      <c r="C5" s="3447" t="s">
        <v>1032</v>
      </c>
      <c r="D5" s="3448"/>
      <c r="E5" s="3449" t="s">
        <v>1469</v>
      </c>
      <c r="F5" s="3450"/>
      <c r="G5" s="3447" t="s">
        <v>1470</v>
      </c>
      <c r="H5" s="3448"/>
      <c r="I5" s="3447" t="s">
        <v>1471</v>
      </c>
      <c r="J5" s="3448"/>
      <c r="K5" s="1133"/>
      <c r="L5" s="1504"/>
      <c r="M5" s="1505"/>
      <c r="N5" s="1505"/>
      <c r="O5" s="1505"/>
      <c r="P5" s="3479"/>
      <c r="Q5" s="3480"/>
      <c r="R5" s="3485"/>
      <c r="S5" s="3486"/>
      <c r="T5" s="3485"/>
      <c r="U5" s="3486"/>
      <c r="V5" s="3459"/>
      <c r="W5" s="3459"/>
      <c r="X5" s="1177"/>
      <c r="Y5" s="3485"/>
      <c r="Z5" s="3486"/>
      <c r="AA5" s="3475"/>
      <c r="AB5" s="3475"/>
      <c r="AC5" s="3475"/>
    </row>
    <row r="6" spans="1:29" ht="15">
      <c r="A6" s="993"/>
      <c r="B6" s="994"/>
      <c r="C6" s="3451" t="s">
        <v>1033</v>
      </c>
      <c r="D6" s="3452"/>
      <c r="E6" s="3453" t="s">
        <v>1033</v>
      </c>
      <c r="F6" s="3454"/>
      <c r="G6" s="3451" t="s">
        <v>1033</v>
      </c>
      <c r="H6" s="3452"/>
      <c r="I6" s="3451" t="s">
        <v>1033</v>
      </c>
      <c r="J6" s="3452"/>
      <c r="K6" s="1133" t="s">
        <v>1034</v>
      </c>
      <c r="L6" s="1504"/>
      <c r="M6" s="1505"/>
      <c r="N6" s="1505"/>
      <c r="O6" s="1505"/>
      <c r="P6" s="3481"/>
      <c r="Q6" s="3482"/>
      <c r="R6" s="3485"/>
      <c r="S6" s="3486"/>
      <c r="T6" s="3487"/>
      <c r="U6" s="3488"/>
      <c r="V6" s="3459"/>
      <c r="W6" s="3459"/>
      <c r="X6" s="1177"/>
      <c r="Y6" s="3487"/>
      <c r="Z6" s="3488"/>
      <c r="AA6" s="3476"/>
      <c r="AB6" s="3476"/>
      <c r="AC6" s="3476"/>
    </row>
    <row r="7" spans="1:29" s="970" customFormat="1" ht="15">
      <c r="A7" s="995" t="s">
        <v>1035</v>
      </c>
      <c r="B7" s="996"/>
      <c r="C7" s="997">
        <f>'数据-取费表'!B2</f>
        <v>44347</v>
      </c>
      <c r="D7" s="998">
        <v>100</v>
      </c>
      <c r="E7" s="999"/>
      <c r="F7" s="1000">
        <f>SUMIF(52:52,YEAR(E7)&amp;"-"&amp;MONTH(E7),53:53)</f>
        <v>0</v>
      </c>
      <c r="G7" s="999"/>
      <c r="H7" s="998">
        <f>SUMIF(52:52,YEAR(G7)&amp;"-"&amp;MONTH(G7),53:53)</f>
        <v>0</v>
      </c>
      <c r="I7" s="999"/>
      <c r="J7" s="998">
        <f>SUMIF(52:52,YEAR(I7)&amp;"-"&amp;MONTH(I7),53:53)</f>
        <v>0</v>
      </c>
      <c r="K7" s="1136"/>
      <c r="L7" s="1506"/>
      <c r="M7" s="1507"/>
      <c r="N7" s="1507"/>
      <c r="O7" s="1507"/>
      <c r="P7" s="3455" t="s">
        <v>1036</v>
      </c>
      <c r="Q7" s="3456"/>
      <c r="R7" s="1178" t="s">
        <v>1037</v>
      </c>
      <c r="S7" s="1179">
        <f t="shared" ref="S7:S15" si="0">F7</f>
        <v>0</v>
      </c>
      <c r="T7" s="1178" t="s">
        <v>1037</v>
      </c>
      <c r="U7" s="1179">
        <f t="shared" ref="U7:U15" si="1">H7</f>
        <v>0</v>
      </c>
      <c r="V7" s="1178" t="s">
        <v>1037</v>
      </c>
      <c r="W7" s="1179">
        <f t="shared" ref="W7:W15" si="2">J7</f>
        <v>0</v>
      </c>
      <c r="X7" s="1180"/>
      <c r="Y7" s="3455" t="s">
        <v>1036</v>
      </c>
      <c r="Z7" s="3457"/>
      <c r="AA7" s="1192" t="e">
        <f>D7/F7</f>
        <v>#DIV/0!</v>
      </c>
      <c r="AB7" s="1192" t="e">
        <f>D7/H7</f>
        <v>#DIV/0!</v>
      </c>
      <c r="AC7" s="1192" t="e">
        <f>D7/J7</f>
        <v>#DIV/0!</v>
      </c>
    </row>
    <row r="8" spans="1:29" s="970" customFormat="1" ht="15">
      <c r="A8" s="995" t="s">
        <v>1038</v>
      </c>
      <c r="B8" s="996"/>
      <c r="C8" s="1002" t="s">
        <v>1039</v>
      </c>
      <c r="D8" s="998">
        <v>100</v>
      </c>
      <c r="E8" s="1002"/>
      <c r="F8" s="1000">
        <f>SUMIF(55:55,E8,56:56)-SUMIF(55:55,C8,56:56)+100</f>
        <v>0</v>
      </c>
      <c r="G8" s="1002"/>
      <c r="H8" s="998">
        <f>SUMIF(55:55,G8,56:56)-SUMIF(55:55,C8,56:56)+100</f>
        <v>0</v>
      </c>
      <c r="I8" s="1002"/>
      <c r="J8" s="998">
        <f>SUMIF(55:55,I8,56:56)-SUMIF(55:55,C8,56:56)+100</f>
        <v>0</v>
      </c>
      <c r="K8" s="1136"/>
      <c r="L8" s="1506"/>
      <c r="M8" s="1507"/>
      <c r="N8" s="1507"/>
      <c r="O8" s="1507"/>
      <c r="P8" s="3455" t="s">
        <v>1041</v>
      </c>
      <c r="Q8" s="3457"/>
      <c r="R8" s="1178" t="s">
        <v>1037</v>
      </c>
      <c r="S8" s="1179">
        <f t="shared" si="0"/>
        <v>0</v>
      </c>
      <c r="T8" s="1178" t="s">
        <v>1037</v>
      </c>
      <c r="U8" s="1179">
        <f t="shared" si="1"/>
        <v>0</v>
      </c>
      <c r="V8" s="1178" t="s">
        <v>1037</v>
      </c>
      <c r="W8" s="1179">
        <f t="shared" si="2"/>
        <v>0</v>
      </c>
      <c r="X8" s="1180"/>
      <c r="Y8" s="3455" t="s">
        <v>1041</v>
      </c>
      <c r="Z8" s="3457"/>
      <c r="AA8" s="1192" t="e">
        <f t="shared" ref="AA8:AA40" si="3">D8/F8</f>
        <v>#DIV/0!</v>
      </c>
      <c r="AB8" s="1192" t="e">
        <f t="shared" ref="AB8:AB40" si="4">D8/H8</f>
        <v>#DIV/0!</v>
      </c>
      <c r="AC8" s="1192" t="e">
        <f t="shared" ref="AC8:AC40" si="5">D8/J8</f>
        <v>#DIV/0!</v>
      </c>
    </row>
    <row r="9" spans="1:29" s="970" customFormat="1">
      <c r="A9" s="1003" t="s">
        <v>1042</v>
      </c>
      <c r="B9" s="1004" t="s">
        <v>1043</v>
      </c>
      <c r="C9" s="1377"/>
      <c r="D9" s="1006">
        <v>100</v>
      </c>
      <c r="E9" s="1378"/>
      <c r="F9" s="1006">
        <f>SUMIF(57:57,E9,58:58)-SUMIF(57:57,C9,58:58)+100</f>
        <v>100</v>
      </c>
      <c r="G9" s="1446"/>
      <c r="H9" s="1006">
        <f>SUMIF(57:57,G9,58:58)-SUMIF(57:57,C9,58:58)+100</f>
        <v>100</v>
      </c>
      <c r="I9" s="1446"/>
      <c r="J9" s="1006">
        <f>SUMIF(57:57,I9,58:58)-SUMIF(57:57,C9,58:58)+100</f>
        <v>100</v>
      </c>
      <c r="K9" s="1136"/>
      <c r="L9" s="1506"/>
      <c r="M9" s="1507"/>
      <c r="N9" s="1507"/>
      <c r="O9" s="1508"/>
      <c r="P9" s="3458" t="s">
        <v>1045</v>
      </c>
      <c r="Q9" s="1182" t="str">
        <f t="shared" ref="Q9:Q15" si="6">B9</f>
        <v>用途</v>
      </c>
      <c r="R9" s="1178" t="s">
        <v>1037</v>
      </c>
      <c r="S9" s="1179">
        <f t="shared" si="0"/>
        <v>100</v>
      </c>
      <c r="T9" s="1178" t="s">
        <v>1037</v>
      </c>
      <c r="U9" s="1179">
        <f t="shared" si="1"/>
        <v>100</v>
      </c>
      <c r="V9" s="1178" t="s">
        <v>1037</v>
      </c>
      <c r="W9" s="1179">
        <f t="shared" si="2"/>
        <v>100</v>
      </c>
      <c r="X9" s="1180"/>
      <c r="Y9" s="3411" t="s">
        <v>1046</v>
      </c>
      <c r="Z9" s="1193" t="str">
        <f t="shared" ref="Z9:Z15" si="7">Q9</f>
        <v>用途</v>
      </c>
      <c r="AA9" s="1192">
        <f t="shared" si="3"/>
        <v>1</v>
      </c>
      <c r="AB9" s="1192">
        <f t="shared" si="4"/>
        <v>1</v>
      </c>
      <c r="AC9" s="1192">
        <f t="shared" si="5"/>
        <v>1</v>
      </c>
    </row>
    <row r="10" spans="1:29" s="971" customFormat="1" ht="27">
      <c r="A10" s="1007"/>
      <c r="B10" s="1008" t="s">
        <v>1047</v>
      </c>
      <c r="C10" s="1380"/>
      <c r="D10" s="1010">
        <v>100</v>
      </c>
      <c r="E10" s="1380"/>
      <c r="F10" s="1010">
        <f>SUMIF(59:59,E10,60:60)-SUMIF(59:59,C10,60:60)+100</f>
        <v>100</v>
      </c>
      <c r="G10" s="1449"/>
      <c r="H10" s="1010">
        <f>SUMIF(59:59,G10,60:60)-SUMIF(59:59,C10,60:60)+100</f>
        <v>100</v>
      </c>
      <c r="I10" s="1380"/>
      <c r="J10" s="1010">
        <f>SUMIF(59:59,I10,60:60)-SUMIF(59:59,C10,60:60)+100</f>
        <v>100</v>
      </c>
      <c r="K10" s="1153"/>
      <c r="L10" s="1509"/>
      <c r="M10" s="1510"/>
      <c r="N10" s="1510"/>
      <c r="O10" s="1511"/>
      <c r="P10" s="3458"/>
      <c r="Q10" s="1182" t="str">
        <f t="shared" si="6"/>
        <v>土地使用年限（年）</v>
      </c>
      <c r="R10" s="1178" t="s">
        <v>1037</v>
      </c>
      <c r="S10" s="1179">
        <f t="shared" si="0"/>
        <v>100</v>
      </c>
      <c r="T10" s="1178" t="s">
        <v>1037</v>
      </c>
      <c r="U10" s="1179">
        <f t="shared" si="1"/>
        <v>100</v>
      </c>
      <c r="V10" s="1178" t="s">
        <v>1037</v>
      </c>
      <c r="W10" s="1179">
        <f t="shared" si="2"/>
        <v>100</v>
      </c>
      <c r="X10" s="1180"/>
      <c r="Y10" s="3411"/>
      <c r="Z10" s="1193" t="str">
        <f t="shared" si="7"/>
        <v>土地使用年限（年）</v>
      </c>
      <c r="AA10" s="1192">
        <f t="shared" si="3"/>
        <v>1</v>
      </c>
      <c r="AB10" s="1192">
        <f t="shared" si="4"/>
        <v>1</v>
      </c>
      <c r="AC10" s="1192">
        <f t="shared" si="5"/>
        <v>1</v>
      </c>
    </row>
    <row r="11" spans="1:29" ht="15">
      <c r="A11" s="1011"/>
      <c r="B11" s="1008" t="s">
        <v>1049</v>
      </c>
      <c r="C11" s="1012"/>
      <c r="D11" s="1010">
        <v>100</v>
      </c>
      <c r="E11" s="1012"/>
      <c r="F11" s="1010" t="e">
        <f>LOOKUP(E11,62:62,63:63)-LOOKUP(C11,62:62,63:63)+100</f>
        <v>#N/A</v>
      </c>
      <c r="G11" s="1013"/>
      <c r="H11" s="1010" t="e">
        <f>LOOKUP(G11,62:62,63:63)-LOOKUP(C11,62:62,63:63)+100</f>
        <v>#N/A</v>
      </c>
      <c r="I11" s="1012"/>
      <c r="J11" s="1010" t="e">
        <f>LOOKUP(I11,62:62,63:63)-LOOKUP(C11,62:62,63:63)+100</f>
        <v>#N/A</v>
      </c>
      <c r="K11" s="1153"/>
      <c r="L11" s="1512"/>
      <c r="M11" s="1505"/>
      <c r="N11" s="1505"/>
      <c r="O11" s="1513"/>
      <c r="P11" s="3458"/>
      <c r="Q11" s="1182" t="str">
        <f t="shared" si="6"/>
        <v>容积率</v>
      </c>
      <c r="R11" s="1178" t="s">
        <v>1037</v>
      </c>
      <c r="S11" s="1179" t="e">
        <f t="shared" si="0"/>
        <v>#N/A</v>
      </c>
      <c r="T11" s="1178" t="s">
        <v>1037</v>
      </c>
      <c r="U11" s="1179" t="e">
        <f t="shared" si="1"/>
        <v>#N/A</v>
      </c>
      <c r="V11" s="1178" t="s">
        <v>1037</v>
      </c>
      <c r="W11" s="1179" t="e">
        <f t="shared" si="2"/>
        <v>#N/A</v>
      </c>
      <c r="X11" s="1180"/>
      <c r="Y11" s="3411"/>
      <c r="Z11" s="1193" t="str">
        <f t="shared" si="7"/>
        <v>容积率</v>
      </c>
      <c r="AA11" s="1192" t="e">
        <f t="shared" si="3"/>
        <v>#N/A</v>
      </c>
      <c r="AB11" s="1192" t="e">
        <f t="shared" si="4"/>
        <v>#N/A</v>
      </c>
      <c r="AC11" s="1192" t="e">
        <f t="shared" si="5"/>
        <v>#N/A</v>
      </c>
    </row>
    <row r="12" spans="1:29" s="970" customFormat="1" ht="15">
      <c r="A12" s="1014"/>
      <c r="B12" s="1015">
        <v>111</v>
      </c>
      <c r="C12" s="1009"/>
      <c r="D12" s="1016">
        <v>100</v>
      </c>
      <c r="E12" s="1019"/>
      <c r="F12" s="1010">
        <f>SUMIF(64:64,E12,65:65)-SUMIF(64:64,C12,65:65)+100</f>
        <v>100</v>
      </c>
      <c r="G12" s="1499"/>
      <c r="H12" s="1010">
        <f>SUMIF(64:64,G12,65:65)-SUMIF(64:64,C12,65:65)+100</f>
        <v>100</v>
      </c>
      <c r="I12" s="1382"/>
      <c r="J12" s="1010">
        <f>SUMIF(64:64,I12,65:65)-SUMIF(64:64,C12,65:65)+100</f>
        <v>100</v>
      </c>
      <c r="K12" s="1152"/>
      <c r="L12" s="1506"/>
      <c r="M12" s="1507"/>
      <c r="N12" s="1507"/>
      <c r="O12" s="1508"/>
      <c r="P12" s="3458"/>
      <c r="Q12" s="1182">
        <f t="shared" si="6"/>
        <v>111</v>
      </c>
      <c r="R12" s="1178" t="s">
        <v>1037</v>
      </c>
      <c r="S12" s="1179">
        <f t="shared" si="0"/>
        <v>100</v>
      </c>
      <c r="T12" s="1178" t="s">
        <v>1037</v>
      </c>
      <c r="U12" s="1179">
        <f t="shared" si="1"/>
        <v>100</v>
      </c>
      <c r="V12" s="1178" t="s">
        <v>1037</v>
      </c>
      <c r="W12" s="1179">
        <f t="shared" si="2"/>
        <v>100</v>
      </c>
      <c r="X12" s="1180"/>
      <c r="Y12" s="3411"/>
      <c r="Z12" s="1193">
        <f t="shared" si="7"/>
        <v>111</v>
      </c>
      <c r="AA12" s="1192">
        <f t="shared" si="3"/>
        <v>1</v>
      </c>
      <c r="AB12" s="1192">
        <f t="shared" si="4"/>
        <v>1</v>
      </c>
      <c r="AC12" s="1192">
        <f t="shared" si="5"/>
        <v>1</v>
      </c>
    </row>
    <row r="13" spans="1:29" ht="15">
      <c r="A13" s="1011"/>
      <c r="B13" s="1015">
        <v>111</v>
      </c>
      <c r="C13" s="1019"/>
      <c r="D13" s="1020">
        <v>100</v>
      </c>
      <c r="E13" s="1019"/>
      <c r="F13" s="1010">
        <f>SUMIF(66:66,E13,67:67)-SUMIF(66:66,C13,67:67)+100</f>
        <v>100</v>
      </c>
      <c r="G13" s="1499"/>
      <c r="H13" s="1020">
        <f>SUMIF(66:66,G13,67:67)-SUMIF(66:66,C13,67:67)+100</f>
        <v>100</v>
      </c>
      <c r="I13" s="1382"/>
      <c r="J13" s="1020">
        <f>SUMIF(66:66,I13,67:67)-SUMIF(66:66,C13,67:67)+100</f>
        <v>100</v>
      </c>
      <c r="K13" s="1152"/>
      <c r="L13" s="1514"/>
      <c r="M13" s="1505"/>
      <c r="N13" s="1505"/>
      <c r="O13" s="1513"/>
      <c r="P13" s="3458"/>
      <c r="Q13" s="1182">
        <f t="shared" si="6"/>
        <v>111</v>
      </c>
      <c r="R13" s="1178" t="s">
        <v>1037</v>
      </c>
      <c r="S13" s="1179">
        <f t="shared" si="0"/>
        <v>100</v>
      </c>
      <c r="T13" s="1178" t="s">
        <v>1037</v>
      </c>
      <c r="U13" s="1179">
        <f t="shared" si="1"/>
        <v>100</v>
      </c>
      <c r="V13" s="1178" t="s">
        <v>1037</v>
      </c>
      <c r="W13" s="1179">
        <f t="shared" si="2"/>
        <v>100</v>
      </c>
      <c r="X13" s="1180"/>
      <c r="Y13" s="3411"/>
      <c r="Z13" s="1193">
        <f t="shared" si="7"/>
        <v>111</v>
      </c>
      <c r="AA13" s="1192">
        <f t="shared" si="3"/>
        <v>1</v>
      </c>
      <c r="AB13" s="1192">
        <f t="shared" si="4"/>
        <v>1</v>
      </c>
      <c r="AC13" s="1192">
        <f t="shared" si="5"/>
        <v>1</v>
      </c>
    </row>
    <row r="14" spans="1:29" ht="15">
      <c r="A14" s="1021"/>
      <c r="B14" s="1022">
        <v>111</v>
      </c>
      <c r="C14" s="1023"/>
      <c r="D14" s="1024">
        <v>100</v>
      </c>
      <c r="E14" s="1023"/>
      <c r="F14" s="1024">
        <f>SUMIF(68:68,E14,69:69)-SUMIF(68:68,C14,69:69)+100</f>
        <v>100</v>
      </c>
      <c r="G14" s="1499"/>
      <c r="H14" s="1024">
        <f>SUMIF(68:68,G14,69:69)-SUMIF(68:68,C14,69:69)+100</f>
        <v>100</v>
      </c>
      <c r="I14" s="1382"/>
      <c r="J14" s="1024">
        <f>SUMIF(68:68,I14,69:69)-SUMIF(68:68,C14,69:69)+100</f>
        <v>100</v>
      </c>
      <c r="K14" s="1152"/>
      <c r="L14" s="1514"/>
      <c r="M14" s="1505"/>
      <c r="N14" s="1505"/>
      <c r="O14" s="1513"/>
      <c r="P14" s="3458"/>
      <c r="Q14" s="1182">
        <f t="shared" si="6"/>
        <v>111</v>
      </c>
      <c r="R14" s="1178" t="s">
        <v>1037</v>
      </c>
      <c r="S14" s="1179">
        <f t="shared" si="0"/>
        <v>100</v>
      </c>
      <c r="T14" s="1178" t="s">
        <v>1037</v>
      </c>
      <c r="U14" s="1179">
        <f t="shared" si="1"/>
        <v>100</v>
      </c>
      <c r="V14" s="1178" t="s">
        <v>1037</v>
      </c>
      <c r="W14" s="1179">
        <f t="shared" si="2"/>
        <v>100</v>
      </c>
      <c r="X14" s="1180"/>
      <c r="Y14" s="3411"/>
      <c r="Z14" s="1193">
        <f t="shared" si="7"/>
        <v>111</v>
      </c>
      <c r="AA14" s="1192">
        <f t="shared" si="3"/>
        <v>1</v>
      </c>
      <c r="AB14" s="1192">
        <f t="shared" si="4"/>
        <v>1</v>
      </c>
      <c r="AC14" s="1192">
        <f t="shared" si="5"/>
        <v>1</v>
      </c>
    </row>
    <row r="15" spans="1:29" ht="57">
      <c r="A15" s="1025" t="s">
        <v>1051</v>
      </c>
      <c r="B15" s="1317" t="s">
        <v>1492</v>
      </c>
      <c r="C15" s="1027" t="str">
        <f>估价对象房地状况!G3</f>
        <v>估价对象位于XX开发区，园区建设成熟度XX，产业集聚程度XX</v>
      </c>
      <c r="D15" s="1028">
        <v>100</v>
      </c>
      <c r="E15" s="1029"/>
      <c r="F15" s="1384">
        <f>SUMIF(70:70,E16,71:71)-SUMIF(70:70,C16,71:71)+100</f>
        <v>100</v>
      </c>
      <c r="G15" s="1148"/>
      <c r="H15" s="1028">
        <f>SUMIF(70:70,G16,71:71)-SUMIF(70:70,C16,71:71)+100</f>
        <v>100</v>
      </c>
      <c r="I15" s="1029"/>
      <c r="J15" s="1028">
        <f>SUMIF(70:70,I16,71:71)-SUMIF(70:70,C16,71:71)+100</f>
        <v>100</v>
      </c>
      <c r="K15" s="1423"/>
      <c r="L15" s="1514"/>
      <c r="M15" s="1505"/>
      <c r="N15" s="1505"/>
      <c r="O15" s="1513"/>
      <c r="P15" s="3466" t="s">
        <v>1053</v>
      </c>
      <c r="Q15" s="746" t="str">
        <f t="shared" si="6"/>
        <v>产业集聚程度</v>
      </c>
      <c r="R15" s="1183" t="s">
        <v>1037</v>
      </c>
      <c r="S15" s="1184">
        <f t="shared" si="0"/>
        <v>100</v>
      </c>
      <c r="T15" s="1183" t="s">
        <v>1037</v>
      </c>
      <c r="U15" s="1184">
        <f t="shared" si="1"/>
        <v>100</v>
      </c>
      <c r="V15" s="1183" t="s">
        <v>1037</v>
      </c>
      <c r="W15" s="1184">
        <f t="shared" si="2"/>
        <v>100</v>
      </c>
      <c r="X15" s="1177"/>
      <c r="Y15" s="3466" t="s">
        <v>1053</v>
      </c>
      <c r="Z15" s="1167" t="str">
        <f t="shared" si="7"/>
        <v>产业集聚程度</v>
      </c>
      <c r="AA15" s="1194">
        <f t="shared" si="3"/>
        <v>1</v>
      </c>
      <c r="AB15" s="1194">
        <f t="shared" si="4"/>
        <v>1</v>
      </c>
      <c r="AC15" s="1194">
        <f t="shared" si="5"/>
        <v>1</v>
      </c>
    </row>
    <row r="16" spans="1:29" ht="15">
      <c r="A16" s="1011"/>
      <c r="B16" s="1320"/>
      <c r="C16" s="1031"/>
      <c r="D16" s="1032"/>
      <c r="E16" s="1031"/>
      <c r="F16" s="1385"/>
      <c r="G16" s="1031"/>
      <c r="H16" s="1034"/>
      <c r="I16" s="1031"/>
      <c r="J16" s="1032"/>
      <c r="K16" s="1424"/>
      <c r="L16" s="1514"/>
      <c r="M16" s="1505"/>
      <c r="N16" s="1505"/>
      <c r="O16" s="1513"/>
      <c r="P16" s="3467"/>
      <c r="Q16" s="746"/>
      <c r="R16" s="1183"/>
      <c r="S16" s="1184"/>
      <c r="T16" s="1183"/>
      <c r="U16" s="1184"/>
      <c r="V16" s="1183"/>
      <c r="W16" s="1184"/>
      <c r="X16" s="1177"/>
      <c r="Y16" s="3467"/>
      <c r="Z16" s="1167"/>
      <c r="AA16" s="1194">
        <v>1</v>
      </c>
      <c r="AB16" s="1194">
        <v>1</v>
      </c>
      <c r="AC16" s="1194">
        <v>1</v>
      </c>
    </row>
    <row r="17" spans="1:29" ht="85.5">
      <c r="A17" s="1011"/>
      <c r="B17" s="1321" t="s">
        <v>1056</v>
      </c>
      <c r="C17" s="1036" t="str">
        <f>估价对象房地状况!G4</f>
        <v>估价对象周边道路状况、公共交通通达情况、停车便捷程度，综合评价交通便捷度较好</v>
      </c>
      <c r="D17" s="1034">
        <v>100</v>
      </c>
      <c r="E17" s="1037"/>
      <c r="F17" s="1387">
        <f>SUMIF(72:72,E18,73:73)-SUMIF(72:72,C18,73:73)+100</f>
        <v>100</v>
      </c>
      <c r="G17" s="1149"/>
      <c r="H17" s="1038">
        <f>SUMIF(72:72,G18,73:73)-SUMIF(72:72,C18,73:73)+100</f>
        <v>100</v>
      </c>
      <c r="I17" s="1037"/>
      <c r="J17" s="1038">
        <f>SUMIF(72:72,I18,73:73)-SUMIF(72:72,C18,73:73)+100</f>
        <v>100</v>
      </c>
      <c r="K17" s="1423"/>
      <c r="L17" s="1514"/>
      <c r="M17" s="1505"/>
      <c r="N17" s="1505"/>
      <c r="O17" s="1513"/>
      <c r="P17" s="3467"/>
      <c r="Q17" s="746" t="str">
        <f>B17</f>
        <v>交通便捷度</v>
      </c>
      <c r="R17" s="1183" t="s">
        <v>1037</v>
      </c>
      <c r="S17" s="1184">
        <f>F17</f>
        <v>100</v>
      </c>
      <c r="T17" s="1183" t="s">
        <v>1037</v>
      </c>
      <c r="U17" s="1184">
        <f>H17</f>
        <v>100</v>
      </c>
      <c r="V17" s="1183" t="s">
        <v>1037</v>
      </c>
      <c r="W17" s="1184">
        <f>J17</f>
        <v>100</v>
      </c>
      <c r="X17" s="1177"/>
      <c r="Y17" s="3467"/>
      <c r="Z17" s="1167" t="str">
        <f>Q17</f>
        <v>交通便捷度</v>
      </c>
      <c r="AA17" s="1194">
        <f t="shared" si="3"/>
        <v>1</v>
      </c>
      <c r="AB17" s="1194">
        <f t="shared" si="4"/>
        <v>1</v>
      </c>
      <c r="AC17" s="1194">
        <f t="shared" si="5"/>
        <v>1</v>
      </c>
    </row>
    <row r="18" spans="1:29" ht="15">
      <c r="A18" s="1011"/>
      <c r="B18" s="1059"/>
      <c r="C18" s="1322"/>
      <c r="D18" s="1034"/>
      <c r="E18" s="1323"/>
      <c r="F18" s="1387"/>
      <c r="G18" s="1339"/>
      <c r="H18" s="1032"/>
      <c r="I18" s="1323"/>
      <c r="J18" s="1032"/>
      <c r="K18" s="1424"/>
      <c r="L18" s="1514"/>
      <c r="M18" s="1505"/>
      <c r="N18" s="1505"/>
      <c r="O18" s="1513"/>
      <c r="P18" s="3467"/>
      <c r="Q18" s="746"/>
      <c r="R18" s="1183"/>
      <c r="S18" s="1184"/>
      <c r="T18" s="1183"/>
      <c r="U18" s="1184"/>
      <c r="V18" s="1183"/>
      <c r="W18" s="1184"/>
      <c r="X18" s="1177"/>
      <c r="Y18" s="3467"/>
      <c r="Z18" s="1167"/>
      <c r="AA18" s="1194">
        <v>1</v>
      </c>
      <c r="AB18" s="1194">
        <v>1</v>
      </c>
      <c r="AC18" s="1194">
        <v>1</v>
      </c>
    </row>
    <row r="19" spans="1:29" ht="42.75">
      <c r="A19" s="1011"/>
      <c r="B19" s="1321" t="s">
        <v>1057</v>
      </c>
      <c r="C19" s="1036" t="str">
        <f>估价对象房地状况!G5</f>
        <v>估价对象所在区域公共配套设施齐备情况</v>
      </c>
      <c r="D19" s="1038">
        <v>100</v>
      </c>
      <c r="E19" s="1324"/>
      <c r="F19" s="1386">
        <f>SUMIF(74:74,E20,75:75)-SUMIF(74:74,C20,75:75)+100</f>
        <v>100</v>
      </c>
      <c r="G19" s="1340"/>
      <c r="H19" s="1034">
        <f>SUMIF(74:74,G20,75:75)-SUMIF(74:74,C20,75:75)+100</f>
        <v>100</v>
      </c>
      <c r="I19" s="1324"/>
      <c r="J19" s="1034">
        <f>SUMIF(74:74,I20,75:75)-SUMIF(74:74,C20,75:75)+100</f>
        <v>100</v>
      </c>
      <c r="K19" s="1423"/>
      <c r="L19" s="1514"/>
      <c r="M19" s="1505"/>
      <c r="N19" s="1505"/>
      <c r="O19" s="1513"/>
      <c r="P19" s="3467"/>
      <c r="Q19" s="746" t="str">
        <f>B19</f>
        <v>公共配套设施</v>
      </c>
      <c r="R19" s="1183" t="s">
        <v>1037</v>
      </c>
      <c r="S19" s="1184">
        <f>F19</f>
        <v>100</v>
      </c>
      <c r="T19" s="1183" t="s">
        <v>1037</v>
      </c>
      <c r="U19" s="1184">
        <f>H19</f>
        <v>100</v>
      </c>
      <c r="V19" s="1183" t="s">
        <v>1037</v>
      </c>
      <c r="W19" s="1184">
        <f>J19</f>
        <v>100</v>
      </c>
      <c r="X19" s="1177"/>
      <c r="Y19" s="3467"/>
      <c r="Z19" s="1167" t="str">
        <f>Q19</f>
        <v>公共配套设施</v>
      </c>
      <c r="AA19" s="1194">
        <f t="shared" si="3"/>
        <v>1</v>
      </c>
      <c r="AB19" s="1194">
        <f t="shared" si="4"/>
        <v>1</v>
      </c>
      <c r="AC19" s="1194">
        <f t="shared" si="5"/>
        <v>1</v>
      </c>
    </row>
    <row r="20" spans="1:29" ht="15">
      <c r="A20" s="1011"/>
      <c r="B20" s="1059"/>
      <c r="C20" s="1031"/>
      <c r="D20" s="1032"/>
      <c r="E20" s="1040"/>
      <c r="F20" s="1385"/>
      <c r="G20" s="1150"/>
      <c r="H20" s="1032"/>
      <c r="I20" s="1040"/>
      <c r="J20" s="1032"/>
      <c r="K20" s="1424"/>
      <c r="L20" s="1514"/>
      <c r="M20" s="1505"/>
      <c r="N20" s="1505"/>
      <c r="O20" s="1513"/>
      <c r="P20" s="3467"/>
      <c r="Q20" s="746"/>
      <c r="R20" s="1183"/>
      <c r="S20" s="1184"/>
      <c r="T20" s="1183"/>
      <c r="U20" s="1184"/>
      <c r="V20" s="1183"/>
      <c r="W20" s="1184"/>
      <c r="X20" s="1177"/>
      <c r="Y20" s="3467"/>
      <c r="Z20" s="1167"/>
      <c r="AA20" s="1194">
        <v>1</v>
      </c>
      <c r="AB20" s="1194">
        <v>1</v>
      </c>
      <c r="AC20" s="1194">
        <v>1</v>
      </c>
    </row>
    <row r="21" spans="1:29" ht="28.5">
      <c r="A21" s="1011"/>
      <c r="B21" s="1326" t="s">
        <v>1058</v>
      </c>
      <c r="C21" s="1036" t="str">
        <f>估价对象房地状况!G6</f>
        <v>估价对象所在区域基础设施水平</v>
      </c>
      <c r="D21" s="1034">
        <v>100</v>
      </c>
      <c r="E21" s="1324"/>
      <c r="F21" s="1386">
        <f>SUMIF(76:76,E22,77:77)-SUMIF(76:76,C22,77:77)+100</f>
        <v>100</v>
      </c>
      <c r="G21" s="1340"/>
      <c r="H21" s="1034">
        <f>SUMIF(76:76,G22,77:77)-SUMIF(76:76,C22,77:77)+100</f>
        <v>100</v>
      </c>
      <c r="I21" s="1324"/>
      <c r="J21" s="1034">
        <f>SUMIF(76:76,I22,77:77)-SUMIF(76:76,C22,77:77)+100</f>
        <v>100</v>
      </c>
      <c r="K21" s="1423"/>
      <c r="L21" s="1514"/>
      <c r="M21" s="1505"/>
      <c r="N21" s="1505"/>
      <c r="O21" s="1513"/>
      <c r="P21" s="3467"/>
      <c r="Q21" s="746" t="str">
        <f>B21</f>
        <v>基础设施水平</v>
      </c>
      <c r="R21" s="1183" t="s">
        <v>1037</v>
      </c>
      <c r="S21" s="1184">
        <f>F21</f>
        <v>100</v>
      </c>
      <c r="T21" s="1183" t="s">
        <v>1037</v>
      </c>
      <c r="U21" s="1184">
        <f>H21</f>
        <v>100</v>
      </c>
      <c r="V21" s="1183" t="s">
        <v>1037</v>
      </c>
      <c r="W21" s="1184">
        <f>J21</f>
        <v>100</v>
      </c>
      <c r="X21" s="1177"/>
      <c r="Y21" s="3467"/>
      <c r="Z21" s="1167" t="str">
        <f>Q21</f>
        <v>基础设施水平</v>
      </c>
      <c r="AA21" s="1194">
        <f t="shared" ref="AA21" si="8">D21/F21</f>
        <v>1</v>
      </c>
      <c r="AB21" s="1194">
        <f t="shared" ref="AB21" si="9">D21/H21</f>
        <v>1</v>
      </c>
      <c r="AC21" s="1194">
        <f t="shared" ref="AC21" si="10">D21/J21</f>
        <v>1</v>
      </c>
    </row>
    <row r="22" spans="1:29" ht="15">
      <c r="A22" s="1011"/>
      <c r="B22" s="1326"/>
      <c r="C22" s="1322"/>
      <c r="D22" s="1032"/>
      <c r="E22" s="1031"/>
      <c r="F22" s="1385"/>
      <c r="G22" s="1031"/>
      <c r="H22" s="1032"/>
      <c r="I22" s="1031"/>
      <c r="J22" s="1032"/>
      <c r="K22" s="1425"/>
      <c r="L22" s="1514"/>
      <c r="M22" s="1505"/>
      <c r="N22" s="1505"/>
      <c r="O22" s="1513"/>
      <c r="P22" s="3467"/>
      <c r="Q22" s="746"/>
      <c r="R22" s="1183"/>
      <c r="S22" s="1184"/>
      <c r="T22" s="1183"/>
      <c r="U22" s="1184"/>
      <c r="V22" s="1183"/>
      <c r="W22" s="1184"/>
      <c r="X22" s="1177"/>
      <c r="Y22" s="3467"/>
      <c r="Z22" s="1167"/>
      <c r="AA22" s="1194">
        <v>1</v>
      </c>
      <c r="AB22" s="1194">
        <v>1</v>
      </c>
      <c r="AC22" s="1194">
        <v>1</v>
      </c>
    </row>
    <row r="23" spans="1:29" ht="71.25">
      <c r="A23" s="1011"/>
      <c r="B23" s="1321" t="s">
        <v>1486</v>
      </c>
      <c r="C23" s="1036" t="str">
        <f>估价对象房地状况!G7</f>
        <v>该园区内是否有污染型企业，绿化情况，卫生条件，整体环境状况判断</v>
      </c>
      <c r="D23" s="1034">
        <v>100</v>
      </c>
      <c r="E23" s="1037"/>
      <c r="F23" s="1387">
        <f>SUMIF(78:78,E24,79:79)-SUMIF(78:78,C24,79:79)+100</f>
        <v>100</v>
      </c>
      <c r="G23" s="1149"/>
      <c r="H23" s="1034">
        <f>SUMIF(78:78,G24,79:79)-SUMIF(78:78,C24,79:79)+100</f>
        <v>100</v>
      </c>
      <c r="I23" s="1037"/>
      <c r="J23" s="1034">
        <f>SUMIF(78:78,I24,79:79)-SUMIF(78:78,C24,79:79)+100</f>
        <v>100</v>
      </c>
      <c r="K23" s="1423"/>
      <c r="L23" s="1514"/>
      <c r="M23" s="1505"/>
      <c r="N23" s="1505"/>
      <c r="O23" s="1513"/>
      <c r="P23" s="3467"/>
      <c r="Q23" s="746" t="str">
        <f>B23</f>
        <v>环境质量</v>
      </c>
      <c r="R23" s="1183" t="s">
        <v>1037</v>
      </c>
      <c r="S23" s="1184">
        <f>F23</f>
        <v>100</v>
      </c>
      <c r="T23" s="1183" t="s">
        <v>1037</v>
      </c>
      <c r="U23" s="1184">
        <f>H23</f>
        <v>100</v>
      </c>
      <c r="V23" s="1183" t="s">
        <v>1037</v>
      </c>
      <c r="W23" s="1184">
        <f>J23</f>
        <v>100</v>
      </c>
      <c r="X23" s="1177"/>
      <c r="Y23" s="3467"/>
      <c r="Z23" s="1167" t="str">
        <f>Q23</f>
        <v>环境质量</v>
      </c>
      <c r="AA23" s="1194">
        <f t="shared" si="3"/>
        <v>1</v>
      </c>
      <c r="AB23" s="1194">
        <f t="shared" si="4"/>
        <v>1</v>
      </c>
      <c r="AC23" s="1194">
        <f t="shared" si="5"/>
        <v>1</v>
      </c>
    </row>
    <row r="24" spans="1:29" ht="15">
      <c r="A24" s="1011"/>
      <c r="B24" s="1326"/>
      <c r="C24" s="1031"/>
      <c r="D24" s="1032"/>
      <c r="E24" s="1040"/>
      <c r="F24" s="1385"/>
      <c r="G24" s="1150"/>
      <c r="H24" s="1032"/>
      <c r="I24" s="1040"/>
      <c r="J24" s="1032"/>
      <c r="K24" s="1424"/>
      <c r="L24" s="1514"/>
      <c r="M24" s="1505"/>
      <c r="N24" s="1505"/>
      <c r="O24" s="1513"/>
      <c r="P24" s="3467"/>
      <c r="Q24" s="746"/>
      <c r="R24" s="1183"/>
      <c r="S24" s="1184"/>
      <c r="T24" s="1183"/>
      <c r="U24" s="1184"/>
      <c r="V24" s="1183"/>
      <c r="W24" s="1184"/>
      <c r="X24" s="1177"/>
      <c r="Y24" s="3467"/>
      <c r="Z24" s="1167"/>
      <c r="AA24" s="1194">
        <v>1</v>
      </c>
      <c r="AB24" s="1194">
        <v>1</v>
      </c>
      <c r="AC24" s="1194">
        <v>1</v>
      </c>
    </row>
    <row r="25" spans="1:29" ht="15">
      <c r="A25" s="991"/>
      <c r="B25" s="1327">
        <v>111</v>
      </c>
      <c r="C25" s="1019">
        <v>111</v>
      </c>
      <c r="D25" s="1020">
        <v>100</v>
      </c>
      <c r="E25" s="1019"/>
      <c r="F25" s="1388">
        <f>SUMIF(80:80,E25,81:81)-SUMIF(80:80,C25,81:81)+100</f>
        <v>100</v>
      </c>
      <c r="G25" s="1019"/>
      <c r="H25" s="1020">
        <f>SUMIF(80:80,G25,81:81)-SUMIF(80:80,C25,81:81)+100</f>
        <v>100</v>
      </c>
      <c r="I25" s="1019"/>
      <c r="J25" s="1020">
        <f>SUMIF(80:80,I25,81:81)-SUMIF(80:80,C25,81:81)+100</f>
        <v>100</v>
      </c>
      <c r="K25" s="1152"/>
      <c r="L25" s="1514"/>
      <c r="M25" s="1505"/>
      <c r="N25" s="1505"/>
      <c r="O25" s="1513"/>
      <c r="P25" s="3467"/>
      <c r="Q25" s="746">
        <f>B25</f>
        <v>111</v>
      </c>
      <c r="R25" s="1183" t="s">
        <v>1037</v>
      </c>
      <c r="S25" s="1184">
        <f>F25</f>
        <v>100</v>
      </c>
      <c r="T25" s="1183" t="s">
        <v>1037</v>
      </c>
      <c r="U25" s="1184">
        <f>H25</f>
        <v>100</v>
      </c>
      <c r="V25" s="1183" t="s">
        <v>1037</v>
      </c>
      <c r="W25" s="1184">
        <f>J25</f>
        <v>100</v>
      </c>
      <c r="X25" s="1177"/>
      <c r="Y25" s="3467"/>
      <c r="Z25" s="1167">
        <f>Q25</f>
        <v>111</v>
      </c>
      <c r="AA25" s="1194">
        <f t="shared" si="3"/>
        <v>1</v>
      </c>
      <c r="AB25" s="1194">
        <f t="shared" si="4"/>
        <v>1</v>
      </c>
      <c r="AC25" s="1194">
        <f t="shared" si="5"/>
        <v>1</v>
      </c>
    </row>
    <row r="26" spans="1:29" ht="15">
      <c r="A26" s="1011"/>
      <c r="B26" s="1327">
        <v>111</v>
      </c>
      <c r="C26" s="1019">
        <v>111</v>
      </c>
      <c r="D26" s="1020">
        <v>100</v>
      </c>
      <c r="E26" s="1019"/>
      <c r="F26" s="1388">
        <f>SUMIF(82:82,E26,83:83)-SUMIF(82:82,C26,83:83)+100</f>
        <v>100</v>
      </c>
      <c r="G26" s="1019"/>
      <c r="H26" s="1020">
        <f>SUMIF(82:82,G26,83:83)-SUMIF(82:82,C26,83:83)+100</f>
        <v>100</v>
      </c>
      <c r="I26" s="1019"/>
      <c r="J26" s="1020">
        <f>SUMIF(82:82,I26,83:83)-SUMIF(82:82,C26,83:83)+100</f>
        <v>100</v>
      </c>
      <c r="K26" s="1152"/>
      <c r="L26" s="1514"/>
      <c r="M26" s="1505"/>
      <c r="N26" s="1505"/>
      <c r="O26" s="1513"/>
      <c r="P26" s="3467"/>
      <c r="Q26" s="746">
        <f t="shared" ref="Q26:Q40" si="11">B26</f>
        <v>111</v>
      </c>
      <c r="R26" s="1183" t="s">
        <v>1037</v>
      </c>
      <c r="S26" s="1184">
        <f>F26</f>
        <v>100</v>
      </c>
      <c r="T26" s="1183" t="s">
        <v>1037</v>
      </c>
      <c r="U26" s="1184">
        <f>H26</f>
        <v>100</v>
      </c>
      <c r="V26" s="1183" t="s">
        <v>1037</v>
      </c>
      <c r="W26" s="1184">
        <f>J26</f>
        <v>100</v>
      </c>
      <c r="X26" s="1177"/>
      <c r="Y26" s="3467"/>
      <c r="Z26" s="1167">
        <f>Q26</f>
        <v>111</v>
      </c>
      <c r="AA26" s="1194">
        <f t="shared" si="3"/>
        <v>1</v>
      </c>
      <c r="AB26" s="1194">
        <f t="shared" si="4"/>
        <v>1</v>
      </c>
      <c r="AC26" s="1194">
        <f t="shared" si="5"/>
        <v>1</v>
      </c>
    </row>
    <row r="27" spans="1:29" s="970" customFormat="1" ht="15">
      <c r="A27" s="1014"/>
      <c r="B27" s="1327">
        <v>111</v>
      </c>
      <c r="C27" s="1019">
        <v>111</v>
      </c>
      <c r="D27" s="1500">
        <v>100</v>
      </c>
      <c r="E27" s="1019"/>
      <c r="F27" s="1501">
        <f>SUMIF(84:84,E27,85:85)-SUMIF(84:84,C27,85:85)+100</f>
        <v>100</v>
      </c>
      <c r="G27" s="1019"/>
      <c r="H27" s="1500">
        <f>SUMIF(84:84,G27,85:85)-SUMIF(84:84,C27,85:85)+100</f>
        <v>100</v>
      </c>
      <c r="I27" s="1019"/>
      <c r="J27" s="1500">
        <f>SUMIF(84:84,I27,85:85)-SUMIF(84:84,C27,85:85)+100</f>
        <v>100</v>
      </c>
      <c r="K27" s="1152"/>
      <c r="L27" s="1506"/>
      <c r="M27" s="1507"/>
      <c r="N27" s="1507"/>
      <c r="O27" s="1508"/>
      <c r="P27" s="3467"/>
      <c r="Q27" s="1182">
        <f t="shared" si="11"/>
        <v>111</v>
      </c>
      <c r="R27" s="1178" t="s">
        <v>1037</v>
      </c>
      <c r="S27" s="1179">
        <f>F27</f>
        <v>100</v>
      </c>
      <c r="T27" s="1178" t="s">
        <v>1037</v>
      </c>
      <c r="U27" s="1179">
        <f>H27</f>
        <v>100</v>
      </c>
      <c r="V27" s="1178" t="s">
        <v>1037</v>
      </c>
      <c r="W27" s="1179">
        <f>J27</f>
        <v>100</v>
      </c>
      <c r="X27" s="1180"/>
      <c r="Y27" s="3467"/>
      <c r="Z27" s="1193">
        <f>Q27</f>
        <v>111</v>
      </c>
      <c r="AA27" s="1194">
        <f t="shared" si="3"/>
        <v>1</v>
      </c>
      <c r="AB27" s="1194">
        <f t="shared" si="4"/>
        <v>1</v>
      </c>
      <c r="AC27" s="1194">
        <f t="shared" si="5"/>
        <v>1</v>
      </c>
    </row>
    <row r="28" spans="1:29" ht="15">
      <c r="A28" s="1021"/>
      <c r="B28" s="1327">
        <v>111</v>
      </c>
      <c r="C28" s="1023">
        <v>111</v>
      </c>
      <c r="D28" s="1024">
        <v>100</v>
      </c>
      <c r="E28" s="1019"/>
      <c r="F28" s="1401">
        <f>SUMIF(86:86,E28,87:87)-SUMIF(86:86,C28,87:87)+100</f>
        <v>100</v>
      </c>
      <c r="G28" s="1382"/>
      <c r="H28" s="1024">
        <f>SUMIF(86:86,G28,87:87)-SUMIF(86:86,C28,87:87)+100</f>
        <v>100</v>
      </c>
      <c r="I28" s="1382"/>
      <c r="J28" s="1024">
        <f>SUMIF(86:86,I28,87:87)-SUMIF(86:86,C28,87:87)+100</f>
        <v>100</v>
      </c>
      <c r="K28" s="1152"/>
      <c r="L28" s="1514"/>
      <c r="M28" s="1505"/>
      <c r="N28" s="1505"/>
      <c r="O28" s="1513"/>
      <c r="P28" s="3467"/>
      <c r="Q28" s="746">
        <f t="shared" si="11"/>
        <v>111</v>
      </c>
      <c r="R28" s="1183" t="s">
        <v>1037</v>
      </c>
      <c r="S28" s="1184">
        <f t="shared" ref="S28:S40" si="12">F28</f>
        <v>100</v>
      </c>
      <c r="T28" s="1183" t="s">
        <v>1037</v>
      </c>
      <c r="U28" s="1184">
        <f t="shared" ref="U28:U40" si="13">H28</f>
        <v>100</v>
      </c>
      <c r="V28" s="1183" t="s">
        <v>1037</v>
      </c>
      <c r="W28" s="1184">
        <f t="shared" ref="W28:W40" si="14">J28</f>
        <v>100</v>
      </c>
      <c r="X28" s="1177"/>
      <c r="Y28" s="3467"/>
      <c r="Z28" s="1167">
        <f t="shared" ref="Z28:Z40" si="15">Q28</f>
        <v>111</v>
      </c>
      <c r="AA28" s="1194">
        <f t="shared" si="3"/>
        <v>1</v>
      </c>
      <c r="AB28" s="1194">
        <f t="shared" si="4"/>
        <v>1</v>
      </c>
      <c r="AC28" s="1194">
        <f t="shared" si="5"/>
        <v>1</v>
      </c>
    </row>
    <row r="29" spans="1:29" ht="28.5">
      <c r="A29" s="1392" t="s">
        <v>1065</v>
      </c>
      <c r="B29" s="1004" t="s">
        <v>1066</v>
      </c>
      <c r="C29" s="1393"/>
      <c r="D29" s="1061">
        <v>100</v>
      </c>
      <c r="E29" s="1393"/>
      <c r="F29" s="1388">
        <f>SUMIF(88:88,E29,89:89)-SUMIF(88:88,C29,89:89)+100</f>
        <v>100</v>
      </c>
      <c r="G29" s="1393"/>
      <c r="H29" s="1020">
        <f>SUMIF(88:88,G29,89:89)-SUMIF(88:88,C29,89:89)+100</f>
        <v>100</v>
      </c>
      <c r="I29" s="1393"/>
      <c r="J29" s="1061">
        <f>SUMIF(88:88,I29,89:89)-SUMIF(88:88,C29,89:89)+100</f>
        <v>100</v>
      </c>
      <c r="K29" s="1153"/>
      <c r="L29" s="1514"/>
      <c r="M29" s="1505"/>
      <c r="N29" s="1505"/>
      <c r="O29" s="1513"/>
      <c r="P29" s="3504" t="s">
        <v>1068</v>
      </c>
      <c r="Q29" s="746" t="str">
        <f t="shared" si="11"/>
        <v>建筑类型</v>
      </c>
      <c r="R29" s="1183" t="s">
        <v>1037</v>
      </c>
      <c r="S29" s="1184">
        <f t="shared" si="12"/>
        <v>100</v>
      </c>
      <c r="T29" s="1183" t="s">
        <v>1037</v>
      </c>
      <c r="U29" s="1184">
        <f t="shared" si="13"/>
        <v>100</v>
      </c>
      <c r="V29" s="1183" t="s">
        <v>1037</v>
      </c>
      <c r="W29" s="1184">
        <f t="shared" si="14"/>
        <v>100</v>
      </c>
      <c r="X29" s="1177"/>
      <c r="Y29" s="3468" t="s">
        <v>1068</v>
      </c>
      <c r="Z29" s="1167" t="str">
        <f t="shared" si="15"/>
        <v>建筑类型</v>
      </c>
      <c r="AA29" s="1194">
        <f t="shared" si="3"/>
        <v>1</v>
      </c>
      <c r="AB29" s="1194">
        <f t="shared" si="4"/>
        <v>1</v>
      </c>
      <c r="AC29" s="1194">
        <f t="shared" si="5"/>
        <v>1</v>
      </c>
    </row>
    <row r="30" spans="1:29" s="972" customFormat="1" ht="15">
      <c r="A30" s="1067"/>
      <c r="B30" s="1008" t="s">
        <v>1069</v>
      </c>
      <c r="C30" s="1382"/>
      <c r="D30" s="1010">
        <v>100</v>
      </c>
      <c r="E30" s="1013"/>
      <c r="F30" s="1381" t="e">
        <f>LOOKUP(E30,91:91,92:92)-LOOKUP(C30,91:91,92:92)+100</f>
        <v>#N/A</v>
      </c>
      <c r="G30" s="1012"/>
      <c r="H30" s="1010" t="e">
        <f>LOOKUP(G30,91:91,92:92)-LOOKUP(C30,91:91,92:92)+100</f>
        <v>#N/A</v>
      </c>
      <c r="I30" s="1012"/>
      <c r="J30" s="1010" t="e">
        <f>LOOKUP(I30,91:91,92:92)-LOOKUP(C30,91:91,92:92)+100</f>
        <v>#N/A</v>
      </c>
      <c r="K30" s="1152"/>
      <c r="L30" s="1512"/>
      <c r="M30" s="1515"/>
      <c r="N30" s="1515"/>
      <c r="O30" s="1516"/>
      <c r="P30" s="3468"/>
      <c r="Q30" s="1427" t="str">
        <f t="shared" si="11"/>
        <v>项目建筑规模</v>
      </c>
      <c r="R30" s="1185" t="s">
        <v>1037</v>
      </c>
      <c r="S30" s="1186" t="e">
        <f t="shared" si="12"/>
        <v>#N/A</v>
      </c>
      <c r="T30" s="1185" t="s">
        <v>1037</v>
      </c>
      <c r="U30" s="1186" t="e">
        <f t="shared" si="13"/>
        <v>#N/A</v>
      </c>
      <c r="V30" s="1185" t="s">
        <v>1037</v>
      </c>
      <c r="W30" s="1186" t="e">
        <f t="shared" si="14"/>
        <v>#N/A</v>
      </c>
      <c r="X30" s="1187"/>
      <c r="Y30" s="3468"/>
      <c r="Z30" s="1195" t="str">
        <f t="shared" si="15"/>
        <v>项目建筑规模</v>
      </c>
      <c r="AA30" s="1194" t="e">
        <f t="shared" si="3"/>
        <v>#N/A</v>
      </c>
      <c r="AB30" s="1194" t="e">
        <f t="shared" si="4"/>
        <v>#N/A</v>
      </c>
      <c r="AC30" s="1194" t="e">
        <f t="shared" si="5"/>
        <v>#N/A</v>
      </c>
    </row>
    <row r="31" spans="1:29" ht="15">
      <c r="A31" s="1062"/>
      <c r="B31" s="1008" t="s">
        <v>1070</v>
      </c>
      <c r="C31" s="1398"/>
      <c r="D31" s="1020">
        <v>100</v>
      </c>
      <c r="E31" s="1398"/>
      <c r="F31" s="1388">
        <f>SUMIF(93:93,E31,94:94)-SUMIF(93:93,C31,94:94)+100</f>
        <v>100</v>
      </c>
      <c r="G31" s="1398"/>
      <c r="H31" s="1020">
        <f>SUMIF(93:93,G31,94:94)-SUMIF(93:93,C31,94:94)+100</f>
        <v>100</v>
      </c>
      <c r="I31" s="1398"/>
      <c r="J31" s="1020">
        <f>SUMIF(93:93,I31,94:94)-SUMIF(93:93,C31,94:94)+100</f>
        <v>100</v>
      </c>
      <c r="K31" s="1153"/>
      <c r="L31" s="1514"/>
      <c r="M31" s="1505"/>
      <c r="N31" s="1505"/>
      <c r="O31" s="1513"/>
      <c r="P31" s="3468"/>
      <c r="Q31" s="746" t="str">
        <f t="shared" si="11"/>
        <v>建筑结构</v>
      </c>
      <c r="R31" s="1183" t="s">
        <v>1037</v>
      </c>
      <c r="S31" s="1184">
        <f t="shared" si="12"/>
        <v>100</v>
      </c>
      <c r="T31" s="1183" t="s">
        <v>1037</v>
      </c>
      <c r="U31" s="1184">
        <f t="shared" si="13"/>
        <v>100</v>
      </c>
      <c r="V31" s="1183" t="s">
        <v>1037</v>
      </c>
      <c r="W31" s="1184">
        <f t="shared" si="14"/>
        <v>100</v>
      </c>
      <c r="X31" s="1177"/>
      <c r="Y31" s="3468"/>
      <c r="Z31" s="1167" t="str">
        <f t="shared" si="15"/>
        <v>建筑结构</v>
      </c>
      <c r="AA31" s="1194">
        <f t="shared" si="3"/>
        <v>1</v>
      </c>
      <c r="AB31" s="1194">
        <f t="shared" si="4"/>
        <v>1</v>
      </c>
      <c r="AC31" s="1194">
        <f t="shared" si="5"/>
        <v>1</v>
      </c>
    </row>
    <row r="32" spans="1:29" ht="15">
      <c r="A32" s="1062"/>
      <c r="B32" s="1008" t="s">
        <v>1073</v>
      </c>
      <c r="C32" s="1398"/>
      <c r="D32" s="1020">
        <v>100</v>
      </c>
      <c r="E32" s="1398"/>
      <c r="F32" s="1388">
        <f>SUMIF(95:95,E32,96:96)-SUMIF(95:95,C32,96:96)+100</f>
        <v>100</v>
      </c>
      <c r="G32" s="1398"/>
      <c r="H32" s="1020">
        <f>SUMIF(95:95,G32,96:96)-SUMIF(95:95,C32,96:96)+100</f>
        <v>100</v>
      </c>
      <c r="I32" s="1398"/>
      <c r="J32" s="1020">
        <f>SUMIF(95:95,I32,96:96)-SUMIF(95:95,C32,96:96)+100</f>
        <v>100</v>
      </c>
      <c r="K32" s="1153"/>
      <c r="L32" s="1514"/>
      <c r="M32" s="1505"/>
      <c r="N32" s="1505"/>
      <c r="O32" s="1513"/>
      <c r="P32" s="3468"/>
      <c r="Q32" s="746" t="str">
        <f t="shared" si="11"/>
        <v>公共部分装修</v>
      </c>
      <c r="R32" s="1183" t="s">
        <v>1037</v>
      </c>
      <c r="S32" s="1184">
        <f t="shared" si="12"/>
        <v>100</v>
      </c>
      <c r="T32" s="1183" t="s">
        <v>1037</v>
      </c>
      <c r="U32" s="1184">
        <f t="shared" si="13"/>
        <v>100</v>
      </c>
      <c r="V32" s="1183" t="s">
        <v>1037</v>
      </c>
      <c r="W32" s="1184">
        <f t="shared" si="14"/>
        <v>100</v>
      </c>
      <c r="X32" s="1177"/>
      <c r="Y32" s="3468"/>
      <c r="Z32" s="1167" t="str">
        <f t="shared" si="15"/>
        <v>公共部分装修</v>
      </c>
      <c r="AA32" s="1194">
        <f t="shared" si="3"/>
        <v>1</v>
      </c>
      <c r="AB32" s="1194">
        <f t="shared" si="4"/>
        <v>1</v>
      </c>
      <c r="AC32" s="1194">
        <f t="shared" si="5"/>
        <v>1</v>
      </c>
    </row>
    <row r="33" spans="1:29" ht="15">
      <c r="A33" s="1062"/>
      <c r="B33" s="1008" t="s">
        <v>568</v>
      </c>
      <c r="C33" s="1382"/>
      <c r="D33" s="1020">
        <v>100</v>
      </c>
      <c r="E33" s="1395"/>
      <c r="F33" s="1388" t="e">
        <f>LOOKUP(E33,98:98,99:99)-LOOKUP(C33,98:98,99:99)+100</f>
        <v>#N/A</v>
      </c>
      <c r="G33" s="1395"/>
      <c r="H33" s="1388" t="e">
        <f>LOOKUP(G33,98:98,99:99)-LOOKUP(C33,98:98,99:99)+100</f>
        <v>#N/A</v>
      </c>
      <c r="I33" s="1395"/>
      <c r="J33" s="1020" t="e">
        <f>LOOKUP(I33,98:98,99:99)-LOOKUP(C33,98:98,99:99)+100</f>
        <v>#N/A</v>
      </c>
      <c r="K33" s="1153"/>
      <c r="L33" s="1514"/>
      <c r="M33" s="1505"/>
      <c r="N33" s="1505"/>
      <c r="O33" s="1513"/>
      <c r="P33" s="3468"/>
      <c r="Q33" s="746" t="str">
        <f t="shared" si="11"/>
        <v>成新度</v>
      </c>
      <c r="R33" s="1183" t="s">
        <v>1037</v>
      </c>
      <c r="S33" s="1184" t="e">
        <f t="shared" si="12"/>
        <v>#N/A</v>
      </c>
      <c r="T33" s="1183" t="s">
        <v>1037</v>
      </c>
      <c r="U33" s="1184" t="e">
        <f t="shared" si="13"/>
        <v>#N/A</v>
      </c>
      <c r="V33" s="1183" t="s">
        <v>1037</v>
      </c>
      <c r="W33" s="1184" t="e">
        <f t="shared" si="14"/>
        <v>#N/A</v>
      </c>
      <c r="X33" s="1177"/>
      <c r="Y33" s="3468"/>
      <c r="Z33" s="1167" t="str">
        <f t="shared" si="15"/>
        <v>成新度</v>
      </c>
      <c r="AA33" s="1194" t="e">
        <f t="shared" si="3"/>
        <v>#N/A</v>
      </c>
      <c r="AB33" s="1194" t="e">
        <f t="shared" si="4"/>
        <v>#N/A</v>
      </c>
      <c r="AC33" s="1194" t="e">
        <f t="shared" si="5"/>
        <v>#N/A</v>
      </c>
    </row>
    <row r="34" spans="1:29" s="970" customFormat="1" ht="15">
      <c r="A34" s="1064"/>
      <c r="B34" s="1008" t="s">
        <v>1075</v>
      </c>
      <c r="C34" s="1398"/>
      <c r="D34" s="1010">
        <v>100</v>
      </c>
      <c r="E34" s="1398"/>
      <c r="F34" s="1388">
        <f>SUMIF(100:100,E34,101:101)-SUMIF(100:100,C34,101:101)+100</f>
        <v>100</v>
      </c>
      <c r="G34" s="1398"/>
      <c r="H34" s="1020">
        <f>SUMIF(100:100,G34,101:101)-SUMIF(100:100,C34,101:101)+100</f>
        <v>100</v>
      </c>
      <c r="I34" s="1398"/>
      <c r="J34" s="1020">
        <f>SUMIF(100:100,I34,101:101)-SUMIF(100:100,C34,101:101)+100</f>
        <v>100</v>
      </c>
      <c r="K34" s="1153"/>
      <c r="L34" s="1506"/>
      <c r="M34" s="1507"/>
      <c r="N34" s="1507"/>
      <c r="O34" s="1508"/>
      <c r="P34" s="3468"/>
      <c r="Q34" s="1182" t="str">
        <f t="shared" si="11"/>
        <v>物业管理</v>
      </c>
      <c r="R34" s="1178" t="s">
        <v>1037</v>
      </c>
      <c r="S34" s="1179">
        <f t="shared" si="12"/>
        <v>100</v>
      </c>
      <c r="T34" s="1178" t="s">
        <v>1037</v>
      </c>
      <c r="U34" s="1179">
        <f t="shared" si="13"/>
        <v>100</v>
      </c>
      <c r="V34" s="1178" t="s">
        <v>1037</v>
      </c>
      <c r="W34" s="1179">
        <f t="shared" si="14"/>
        <v>100</v>
      </c>
      <c r="X34" s="1180"/>
      <c r="Y34" s="3468"/>
      <c r="Z34" s="1193" t="str">
        <f t="shared" si="15"/>
        <v>物业管理</v>
      </c>
      <c r="AA34" s="1192">
        <f t="shared" si="3"/>
        <v>1</v>
      </c>
      <c r="AB34" s="1192">
        <f t="shared" si="4"/>
        <v>1</v>
      </c>
      <c r="AC34" s="1192">
        <f t="shared" si="5"/>
        <v>1</v>
      </c>
    </row>
    <row r="35" spans="1:29" ht="15">
      <c r="A35" s="1062"/>
      <c r="B35" s="1008" t="s">
        <v>1077</v>
      </c>
      <c r="C35" s="1398"/>
      <c r="D35" s="1020">
        <v>100</v>
      </c>
      <c r="E35" s="1398"/>
      <c r="F35" s="1388">
        <f>SUMIF(102:102,E35,103:103)-SUMIF(102:102,C35,103:103)+100</f>
        <v>100</v>
      </c>
      <c r="G35" s="1398"/>
      <c r="H35" s="1020">
        <f>SUMIF(102:102,G35,103:103)-SUMIF(102:102,C35,103:103)+100</f>
        <v>100</v>
      </c>
      <c r="I35" s="1398"/>
      <c r="J35" s="1020">
        <f>SUMIF(102:102,I35,103:103)-SUMIF(102:102,C35,103:103)+100</f>
        <v>100</v>
      </c>
      <c r="K35" s="1153"/>
      <c r="L35" s="1514"/>
      <c r="M35" s="1505"/>
      <c r="N35" s="1505"/>
      <c r="O35" s="1513"/>
      <c r="P35" s="3468" t="s">
        <v>1068</v>
      </c>
      <c r="Q35" s="746" t="str">
        <f t="shared" si="11"/>
        <v>市政基础设施</v>
      </c>
      <c r="R35" s="1183" t="s">
        <v>1037</v>
      </c>
      <c r="S35" s="1184">
        <f t="shared" si="12"/>
        <v>100</v>
      </c>
      <c r="T35" s="1183" t="s">
        <v>1037</v>
      </c>
      <c r="U35" s="1184">
        <f t="shared" si="13"/>
        <v>100</v>
      </c>
      <c r="V35" s="1183" t="s">
        <v>1037</v>
      </c>
      <c r="W35" s="1184">
        <f t="shared" si="14"/>
        <v>100</v>
      </c>
      <c r="X35" s="1177"/>
      <c r="Y35" s="3468" t="s">
        <v>1068</v>
      </c>
      <c r="Z35" s="1167" t="str">
        <f t="shared" si="15"/>
        <v>市政基础设施</v>
      </c>
      <c r="AA35" s="1194">
        <f t="shared" si="3"/>
        <v>1</v>
      </c>
      <c r="AB35" s="1194">
        <f t="shared" si="4"/>
        <v>1</v>
      </c>
      <c r="AC35" s="1194">
        <f t="shared" si="5"/>
        <v>1</v>
      </c>
    </row>
    <row r="36" spans="1:29" ht="15">
      <c r="A36" s="1062"/>
      <c r="B36" s="1008" t="s">
        <v>1083</v>
      </c>
      <c r="C36" s="1398"/>
      <c r="D36" s="1020">
        <v>100</v>
      </c>
      <c r="E36" s="1398"/>
      <c r="F36" s="1388">
        <f>SUMIF(104:104,E36,105:105)-SUMIF(104:104,C36,105:105)+100</f>
        <v>100</v>
      </c>
      <c r="G36" s="1398"/>
      <c r="H36" s="1020">
        <f>SUMIF(104:104,G36,105:105)-SUMIF(104:104,C36,105:105)+100</f>
        <v>100</v>
      </c>
      <c r="I36" s="1398"/>
      <c r="J36" s="1020">
        <f>SUMIF(104:104,I36,105:105)-SUMIF(104:104,C36,105:105)+100</f>
        <v>100</v>
      </c>
      <c r="K36" s="1153"/>
      <c r="L36" s="1514"/>
      <c r="M36" s="1505"/>
      <c r="N36" s="1505"/>
      <c r="O36" s="1513"/>
      <c r="P36" s="3468"/>
      <c r="Q36" s="746" t="str">
        <f t="shared" si="11"/>
        <v>内部装修</v>
      </c>
      <c r="R36" s="1183" t="s">
        <v>1037</v>
      </c>
      <c r="S36" s="1184">
        <f t="shared" si="12"/>
        <v>100</v>
      </c>
      <c r="T36" s="1183" t="s">
        <v>1037</v>
      </c>
      <c r="U36" s="1184">
        <f t="shared" si="13"/>
        <v>100</v>
      </c>
      <c r="V36" s="1183" t="s">
        <v>1037</v>
      </c>
      <c r="W36" s="1184">
        <f t="shared" si="14"/>
        <v>100</v>
      </c>
      <c r="X36" s="1177"/>
      <c r="Y36" s="3468"/>
      <c r="Z36" s="1167" t="str">
        <f t="shared" si="15"/>
        <v>内部装修</v>
      </c>
      <c r="AA36" s="1194">
        <f t="shared" si="3"/>
        <v>1</v>
      </c>
      <c r="AB36" s="1194">
        <f t="shared" si="4"/>
        <v>1</v>
      </c>
      <c r="AC36" s="1194">
        <f t="shared" si="5"/>
        <v>1</v>
      </c>
    </row>
    <row r="37" spans="1:29" ht="15">
      <c r="A37" s="1062"/>
      <c r="B37" s="1008" t="s">
        <v>1493</v>
      </c>
      <c r="C37" s="1045"/>
      <c r="D37" s="1020">
        <v>100</v>
      </c>
      <c r="E37" s="1045"/>
      <c r="F37" s="1388">
        <f>SUMIF(106:106,E37,107:107)-SUMIF(106:106,C37,107:107)+100</f>
        <v>100</v>
      </c>
      <c r="G37" s="1045"/>
      <c r="H37" s="1020">
        <f>SUMIF(106:106,G37,107:107)-SUMIF(106:106,C37,107:107)+100</f>
        <v>100</v>
      </c>
      <c r="I37" s="1045"/>
      <c r="J37" s="1020">
        <f>SUMIF(106:106,I37,107:107)-SUMIF(106:106,C37,107:107)+100</f>
        <v>100</v>
      </c>
      <c r="K37" s="1153"/>
      <c r="L37" s="1514"/>
      <c r="M37" s="1505"/>
      <c r="N37" s="1505"/>
      <c r="O37" s="1513"/>
      <c r="P37" s="3468"/>
      <c r="Q37" s="746" t="str">
        <f t="shared" si="11"/>
        <v>内部装修状况</v>
      </c>
      <c r="R37" s="1183" t="s">
        <v>1037</v>
      </c>
      <c r="S37" s="1184">
        <f t="shared" si="12"/>
        <v>100</v>
      </c>
      <c r="T37" s="1183" t="s">
        <v>1037</v>
      </c>
      <c r="U37" s="1184">
        <f t="shared" si="13"/>
        <v>100</v>
      </c>
      <c r="V37" s="1183" t="s">
        <v>1037</v>
      </c>
      <c r="W37" s="1184">
        <f t="shared" si="14"/>
        <v>100</v>
      </c>
      <c r="X37" s="1177"/>
      <c r="Y37" s="3468"/>
      <c r="Z37" s="1167" t="str">
        <f t="shared" si="15"/>
        <v>内部装修状况</v>
      </c>
      <c r="AA37" s="1194">
        <f t="shared" si="3"/>
        <v>1</v>
      </c>
      <c r="AB37" s="1194">
        <f t="shared" si="4"/>
        <v>1</v>
      </c>
      <c r="AC37" s="1194">
        <f t="shared" si="5"/>
        <v>1</v>
      </c>
    </row>
    <row r="38" spans="1:29" s="972" customFormat="1" ht="15">
      <c r="A38" s="1067"/>
      <c r="B38" s="1327">
        <v>111</v>
      </c>
      <c r="C38" s="1382"/>
      <c r="D38" s="1020">
        <v>100</v>
      </c>
      <c r="E38" s="1019"/>
      <c r="F38" s="1388">
        <f>SUMIF(108:108,E38,109:109)-SUMIF(108:108,C38,109:109)+100</f>
        <v>100</v>
      </c>
      <c r="G38" s="1382"/>
      <c r="H38" s="1020">
        <f>SUMIF(108:108,G38,109:109)-SUMIF(108:108,C38,109:109)+100</f>
        <v>100</v>
      </c>
      <c r="I38" s="1382"/>
      <c r="J38" s="1020">
        <f>SUMIF(108:108,I38,109:1038)-SUMIF(108:108,C38,109:109)+100</f>
        <v>100</v>
      </c>
      <c r="K38" s="1152"/>
      <c r="L38" s="1512"/>
      <c r="M38" s="1515"/>
      <c r="N38" s="1515"/>
      <c r="O38" s="1516"/>
      <c r="P38" s="3468"/>
      <c r="Q38" s="1427">
        <f t="shared" si="11"/>
        <v>111</v>
      </c>
      <c r="R38" s="1185" t="s">
        <v>1037</v>
      </c>
      <c r="S38" s="1186">
        <f t="shared" si="12"/>
        <v>100</v>
      </c>
      <c r="T38" s="1185" t="s">
        <v>1037</v>
      </c>
      <c r="U38" s="1186">
        <f t="shared" si="13"/>
        <v>100</v>
      </c>
      <c r="V38" s="1185" t="s">
        <v>1037</v>
      </c>
      <c r="W38" s="1186">
        <f t="shared" si="14"/>
        <v>100</v>
      </c>
      <c r="X38" s="1187"/>
      <c r="Y38" s="3468"/>
      <c r="Z38" s="1195">
        <f t="shared" si="15"/>
        <v>111</v>
      </c>
      <c r="AA38" s="1194">
        <f t="shared" si="3"/>
        <v>1</v>
      </c>
      <c r="AB38" s="1194">
        <f t="shared" si="4"/>
        <v>1</v>
      </c>
      <c r="AC38" s="1194">
        <f t="shared" si="5"/>
        <v>1</v>
      </c>
    </row>
    <row r="39" spans="1:29" ht="15">
      <c r="A39" s="1062"/>
      <c r="B39" s="1327">
        <v>111</v>
      </c>
      <c r="C39" s="1382"/>
      <c r="D39" s="1020">
        <v>100</v>
      </c>
      <c r="E39" s="1019"/>
      <c r="F39" s="1388">
        <f>SUMIF(110:110,E39,111:111)-SUMIF(110:110,C39,111:111)+100</f>
        <v>100</v>
      </c>
      <c r="G39" s="1382"/>
      <c r="H39" s="1020">
        <f>SUMIF(110:110,G39,111:111)-SUMIF(110:110,C39,111:111)+100</f>
        <v>100</v>
      </c>
      <c r="I39" s="1382"/>
      <c r="J39" s="1020">
        <f>SUMIF(110:110,I39,111:111)-SUMIF(110:110,C39,111:111)+100</f>
        <v>100</v>
      </c>
      <c r="K39" s="1152"/>
      <c r="L39" s="1514"/>
      <c r="M39" s="1505"/>
      <c r="N39" s="1505"/>
      <c r="O39" s="1513"/>
      <c r="P39" s="3468"/>
      <c r="Q39" s="746">
        <f t="shared" si="11"/>
        <v>111</v>
      </c>
      <c r="R39" s="1183" t="s">
        <v>1037</v>
      </c>
      <c r="S39" s="1184">
        <f t="shared" si="12"/>
        <v>100</v>
      </c>
      <c r="T39" s="1183" t="s">
        <v>1037</v>
      </c>
      <c r="U39" s="1184">
        <f t="shared" si="13"/>
        <v>100</v>
      </c>
      <c r="V39" s="1183" t="s">
        <v>1037</v>
      </c>
      <c r="W39" s="1184">
        <f t="shared" si="14"/>
        <v>100</v>
      </c>
      <c r="X39" s="1177"/>
      <c r="Y39" s="3468"/>
      <c r="Z39" s="1167">
        <f t="shared" si="15"/>
        <v>111</v>
      </c>
      <c r="AA39" s="1194">
        <f t="shared" si="3"/>
        <v>1</v>
      </c>
      <c r="AB39" s="1194">
        <f t="shared" si="4"/>
        <v>1</v>
      </c>
      <c r="AC39" s="1194">
        <f t="shared" si="5"/>
        <v>1</v>
      </c>
    </row>
    <row r="40" spans="1:29" ht="15">
      <c r="A40" s="1400"/>
      <c r="B40" s="1022">
        <v>111</v>
      </c>
      <c r="C40" s="1023"/>
      <c r="D40" s="1024">
        <v>100</v>
      </c>
      <c r="E40" s="1019"/>
      <c r="F40" s="1401">
        <f>SUMIF(112:112,E40,113:113)-SUMIF(112:112,C40,113:113)+100</f>
        <v>100</v>
      </c>
      <c r="G40" s="1382"/>
      <c r="H40" s="1024">
        <f>SUMIF(112:112,G40,113:113)-SUMIF(112:112,C40,113:113)+100</f>
        <v>100</v>
      </c>
      <c r="I40" s="1382"/>
      <c r="J40" s="1024">
        <f>SUMIF(112:112,I40,113:113)-SUMIF(112:112,C40,113:113)+100</f>
        <v>100</v>
      </c>
      <c r="K40" s="1152"/>
      <c r="L40" s="1514"/>
      <c r="M40" s="1505"/>
      <c r="N40" s="1505"/>
      <c r="O40" s="1513"/>
      <c r="P40" s="3469"/>
      <c r="Q40" s="746">
        <f t="shared" si="11"/>
        <v>111</v>
      </c>
      <c r="R40" s="1183" t="s">
        <v>1037</v>
      </c>
      <c r="S40" s="1184">
        <f t="shared" si="12"/>
        <v>100</v>
      </c>
      <c r="T40" s="1183" t="s">
        <v>1037</v>
      </c>
      <c r="U40" s="1184">
        <f t="shared" si="13"/>
        <v>100</v>
      </c>
      <c r="V40" s="1183" t="s">
        <v>1037</v>
      </c>
      <c r="W40" s="1184">
        <f t="shared" si="14"/>
        <v>100</v>
      </c>
      <c r="X40" s="1177"/>
      <c r="Y40" s="3469"/>
      <c r="Z40" s="1167">
        <f t="shared" si="15"/>
        <v>111</v>
      </c>
      <c r="AA40" s="1194">
        <f t="shared" si="3"/>
        <v>1</v>
      </c>
      <c r="AB40" s="1194">
        <f t="shared" si="4"/>
        <v>1</v>
      </c>
      <c r="AC40" s="1194">
        <f t="shared" si="5"/>
        <v>1</v>
      </c>
    </row>
    <row r="41" spans="1:29" ht="15">
      <c r="A41" s="1069" t="s">
        <v>1087</v>
      </c>
      <c r="B41" s="1402"/>
      <c r="C41" s="1403" t="s">
        <v>124</v>
      </c>
      <c r="D41" s="1404"/>
      <c r="E41" s="1405"/>
      <c r="F41" s="1406"/>
      <c r="G41" s="1407"/>
      <c r="H41" s="1408"/>
      <c r="I41" s="1405"/>
      <c r="J41" s="1408"/>
      <c r="K41" s="1158"/>
      <c r="L41" s="1517"/>
      <c r="M41" s="1118"/>
      <c r="N41" s="1505"/>
      <c r="O41" s="1118"/>
      <c r="P41" s="3458" t="str">
        <f>A41</f>
        <v>成交单价（元/平方米）</v>
      </c>
      <c r="Q41" s="3458"/>
      <c r="R41" s="3470">
        <f>E41</f>
        <v>0</v>
      </c>
      <c r="S41" s="3470"/>
      <c r="T41" s="3470">
        <f>G41</f>
        <v>0</v>
      </c>
      <c r="U41" s="3470"/>
      <c r="V41" s="3470">
        <f>I41</f>
        <v>0</v>
      </c>
      <c r="W41" s="3470"/>
      <c r="X41" s="1123"/>
      <c r="Y41" s="1196"/>
      <c r="Z41" s="1123"/>
      <c r="AA41" s="1123"/>
      <c r="AB41" s="1123"/>
      <c r="AC41" s="1123"/>
    </row>
    <row r="42" spans="1:29" ht="15">
      <c r="A42" s="1077" t="s">
        <v>1088</v>
      </c>
      <c r="B42" s="1409"/>
      <c r="C42" s="1410" t="e">
        <f>R43</f>
        <v>#DIV/0!</v>
      </c>
      <c r="D42" s="1080" t="s">
        <v>1089</v>
      </c>
      <c r="E42" s="1411" t="e">
        <f>R42</f>
        <v>#DIV/0!</v>
      </c>
      <c r="F42" s="1081"/>
      <c r="G42" s="1410" t="e">
        <f>T42</f>
        <v>#DIV/0!</v>
      </c>
      <c r="H42" s="1081"/>
      <c r="I42" s="1411" t="e">
        <f>V42</f>
        <v>#DIV/0!</v>
      </c>
      <c r="J42" s="1081"/>
      <c r="K42" s="1160">
        <f>F42+H42+J42</f>
        <v>0</v>
      </c>
      <c r="L42" s="1517"/>
      <c r="M42" s="1118"/>
      <c r="N42" s="1505"/>
      <c r="O42" s="1118"/>
      <c r="P42" s="3458" t="str">
        <f>A42</f>
        <v>比较价值（元/平方米）</v>
      </c>
      <c r="Q42" s="3458"/>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123"/>
      <c r="Y42" s="1123"/>
      <c r="Z42" s="1123"/>
      <c r="AA42" s="1123"/>
      <c r="AB42" s="1123"/>
      <c r="AC42" s="1123"/>
    </row>
    <row r="43" spans="1:29" ht="15">
      <c r="A43" s="1083" t="s">
        <v>1090</v>
      </c>
      <c r="B43" s="1084"/>
      <c r="C43" s="1412" t="e">
        <f>R43</f>
        <v>#DIV/0!</v>
      </c>
      <c r="D43" s="1412"/>
      <c r="E43" s="1412"/>
      <c r="F43" s="1412"/>
      <c r="G43" s="1412"/>
      <c r="H43" s="1412"/>
      <c r="I43" s="1412"/>
      <c r="J43" s="1412"/>
      <c r="K43" s="1161"/>
      <c r="L43" s="1517"/>
      <c r="M43" s="1118"/>
      <c r="N43" s="1118"/>
      <c r="O43" s="1118"/>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1123"/>
      <c r="Y43" s="1123"/>
      <c r="Z43" s="1123"/>
      <c r="AA43" s="1123"/>
      <c r="AB43" s="1123"/>
      <c r="AC43" s="1123"/>
    </row>
    <row r="44" spans="1:29">
      <c r="A44" s="1086"/>
      <c r="B44" s="1086"/>
      <c r="C44" s="1086"/>
      <c r="D44" s="1086"/>
      <c r="E44" s="1086"/>
      <c r="F44" s="1086"/>
      <c r="G44" s="1087"/>
      <c r="H44" s="1086"/>
      <c r="I44" s="1086"/>
      <c r="J44" s="1086"/>
      <c r="K44" s="1163"/>
      <c r="L44" s="1172"/>
      <c r="M44" s="1118"/>
      <c r="N44" s="1118"/>
      <c r="O44" s="1118"/>
    </row>
    <row r="45" spans="1:29">
      <c r="A45" s="1086"/>
      <c r="B45" s="1086"/>
      <c r="C45" s="1086"/>
      <c r="D45" s="1086"/>
      <c r="E45" s="1086"/>
      <c r="F45" s="1086"/>
      <c r="G45" s="1086"/>
      <c r="H45" s="1086"/>
      <c r="I45" s="1086"/>
      <c r="J45" s="1086"/>
      <c r="K45" s="1163"/>
      <c r="L45" s="1172"/>
      <c r="M45" s="1118"/>
      <c r="N45" s="1118"/>
      <c r="O45" s="1118"/>
    </row>
    <row r="46" spans="1:29" ht="13.5" customHeight="1">
      <c r="A46" s="1086"/>
      <c r="B46" s="1086"/>
      <c r="C46" s="1088" t="s">
        <v>1091</v>
      </c>
      <c r="D46" s="788"/>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63"/>
      <c r="L46" s="1172"/>
      <c r="M46" s="1118"/>
      <c r="N46" s="1118"/>
      <c r="O46" s="1118"/>
    </row>
    <row r="47" spans="1:29" ht="13.5" customHeight="1">
      <c r="A47" s="1086"/>
      <c r="B47" s="1086"/>
      <c r="C47" s="1088" t="s">
        <v>1092</v>
      </c>
      <c r="D47" s="787"/>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63"/>
      <c r="L47" s="1172"/>
      <c r="M47" s="1118"/>
      <c r="N47" s="1118"/>
      <c r="O47" s="1118"/>
    </row>
    <row r="48" spans="1:29" s="973" customFormat="1" ht="13.5" customHeight="1">
      <c r="A48" s="1091"/>
      <c r="B48" s="1091"/>
      <c r="C48" s="1088" t="s">
        <v>1093</v>
      </c>
      <c r="D48" s="787"/>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65"/>
      <c r="L48" s="1518"/>
      <c r="M48" s="1519"/>
      <c r="N48" s="1519"/>
      <c r="O48" s="1519"/>
    </row>
    <row r="49" spans="1:17" s="973" customFormat="1">
      <c r="A49" s="1091"/>
      <c r="B49" s="1092"/>
      <c r="C49" s="1413"/>
      <c r="D49" s="1091"/>
      <c r="E49" s="1091"/>
      <c r="F49" s="1091"/>
      <c r="G49" s="1091"/>
      <c r="H49" s="1091"/>
      <c r="I49" s="1091"/>
      <c r="J49" s="1091"/>
      <c r="K49" s="1165"/>
      <c r="L49" s="1518"/>
      <c r="M49" s="1519"/>
      <c r="N49" s="1519"/>
      <c r="O49" s="1519"/>
    </row>
    <row r="50" spans="1:17">
      <c r="A50" s="1086"/>
      <c r="B50" s="1092"/>
      <c r="C50" s="1413"/>
      <c r="D50" s="1086"/>
      <c r="E50" s="1086"/>
      <c r="F50" s="1086"/>
      <c r="G50" s="1086"/>
      <c r="H50" s="1086"/>
      <c r="I50" s="1086"/>
      <c r="J50" s="1086"/>
      <c r="K50" s="1163"/>
      <c r="L50" s="1172"/>
      <c r="M50" s="1118"/>
      <c r="N50" s="1118"/>
      <c r="O50" s="1118"/>
    </row>
    <row r="51" spans="1:17" ht="21">
      <c r="A51" s="1122" t="s">
        <v>1094</v>
      </c>
      <c r="B51" s="1123"/>
      <c r="C51" s="1124"/>
      <c r="D51" s="1124"/>
      <c r="E51" s="1124"/>
      <c r="F51" s="1125"/>
      <c r="G51" s="1125"/>
      <c r="H51" s="1124"/>
      <c r="I51" s="1124"/>
      <c r="J51" s="1124"/>
      <c r="K51" s="1358"/>
      <c r="L51" s="1359"/>
      <c r="M51" s="1175"/>
      <c r="N51" s="1175"/>
      <c r="O51" s="1175"/>
      <c r="P51" s="1520"/>
      <c r="Q51" s="1522"/>
    </row>
    <row r="52" spans="1:17" s="975" customFormat="1" ht="15">
      <c r="A52" s="1414" t="s">
        <v>1035</v>
      </c>
      <c r="B52" s="1415"/>
      <c r="C52" s="1416" t="str">
        <f>YEAR(C7)&amp;"-"&amp;MONTH(C7)</f>
        <v>2021-5</v>
      </c>
      <c r="D52" s="1417">
        <f>EDATE(C52,-1)</f>
        <v>44287</v>
      </c>
      <c r="E52" s="1417">
        <f t="shared" ref="E52:O52" si="16">EDATE(D52,-1)</f>
        <v>44256</v>
      </c>
      <c r="F52" s="1417">
        <f t="shared" si="16"/>
        <v>44228</v>
      </c>
      <c r="G52" s="1417">
        <f t="shared" si="16"/>
        <v>44197</v>
      </c>
      <c r="H52" s="1417">
        <f t="shared" si="16"/>
        <v>44166</v>
      </c>
      <c r="I52" s="1417">
        <f t="shared" si="16"/>
        <v>44136</v>
      </c>
      <c r="J52" s="1417">
        <f t="shared" si="16"/>
        <v>44105</v>
      </c>
      <c r="K52" s="1417">
        <f t="shared" si="16"/>
        <v>44075</v>
      </c>
      <c r="L52" s="1417">
        <f t="shared" si="16"/>
        <v>44044</v>
      </c>
      <c r="M52" s="1417">
        <f t="shared" si="16"/>
        <v>44013</v>
      </c>
      <c r="N52" s="1417">
        <f t="shared" si="16"/>
        <v>43983</v>
      </c>
      <c r="O52" s="1417">
        <f t="shared" si="16"/>
        <v>43952</v>
      </c>
      <c r="P52" s="1521"/>
    </row>
    <row r="53" spans="1:17" s="970" customFormat="1" ht="15">
      <c r="A53" s="1418"/>
      <c r="B53" s="1208"/>
      <c r="C53" s="1419">
        <v>100</v>
      </c>
      <c r="D53" s="1212"/>
      <c r="E53" s="1212"/>
      <c r="F53" s="1212"/>
      <c r="G53" s="1212"/>
      <c r="H53" s="1212"/>
      <c r="I53" s="1212"/>
      <c r="J53" s="1212"/>
      <c r="K53" s="1212"/>
      <c r="L53" s="1212"/>
      <c r="M53" s="1426"/>
      <c r="N53" s="1212"/>
      <c r="O53" s="1260"/>
      <c r="P53" s="1522"/>
    </row>
    <row r="54" spans="1:17" s="970" customFormat="1" ht="15">
      <c r="A54" s="1203" t="s">
        <v>1095</v>
      </c>
      <c r="B54" s="1204"/>
      <c r="C54" s="1205"/>
      <c r="D54" s="1206"/>
      <c r="E54" s="1206"/>
      <c r="F54" s="1206"/>
      <c r="G54" s="1206"/>
      <c r="H54" s="1206"/>
      <c r="I54" s="1206"/>
      <c r="J54" s="1206"/>
      <c r="K54" s="1206"/>
      <c r="L54" s="1206"/>
      <c r="M54" s="1254"/>
      <c r="N54" s="1523"/>
      <c r="O54" s="1524"/>
      <c r="P54" s="1522"/>
      <c r="Q54" s="1522"/>
    </row>
    <row r="55" spans="1:17" s="970" customFormat="1" ht="15">
      <c r="A55" s="1207" t="s">
        <v>1038</v>
      </c>
      <c r="B55" s="1208"/>
      <c r="C55" s="1209" t="s">
        <v>1039</v>
      </c>
      <c r="D55" s="1210"/>
      <c r="E55" s="1210"/>
      <c r="F55" s="1210"/>
      <c r="G55" s="1210"/>
      <c r="H55" s="1210"/>
      <c r="I55" s="1210"/>
      <c r="J55" s="1210"/>
      <c r="K55" s="1210"/>
      <c r="L55" s="1256"/>
      <c r="M55" s="1257"/>
      <c r="N55" s="1525"/>
      <c r="O55" s="1525"/>
      <c r="P55" s="1526"/>
      <c r="Q55" s="1522"/>
    </row>
    <row r="56" spans="1:17" s="970" customFormat="1" ht="15">
      <c r="A56" s="1207"/>
      <c r="B56" s="1208"/>
      <c r="C56" s="1211">
        <v>100</v>
      </c>
      <c r="D56" s="1212"/>
      <c r="E56" s="1212"/>
      <c r="F56" s="1212"/>
      <c r="G56" s="1212"/>
      <c r="H56" s="1212"/>
      <c r="I56" s="1212"/>
      <c r="J56" s="1212"/>
      <c r="K56" s="1212"/>
      <c r="L56" s="1212"/>
      <c r="M56" s="1260"/>
      <c r="N56" s="1525"/>
      <c r="O56" s="1525"/>
      <c r="P56" s="1522"/>
      <c r="Q56" s="1522"/>
    </row>
    <row r="57" spans="1:17">
      <c r="A57" s="1213" t="s">
        <v>1096</v>
      </c>
      <c r="B57" s="1214" t="s">
        <v>1043</v>
      </c>
      <c r="C57" s="1236">
        <f>C9</f>
        <v>0</v>
      </c>
      <c r="D57" s="1156"/>
      <c r="E57" s="1156"/>
      <c r="F57" s="1156"/>
      <c r="G57" s="1156"/>
      <c r="H57" s="1156"/>
      <c r="I57" s="1156"/>
      <c r="J57" s="1156"/>
      <c r="K57" s="1261"/>
      <c r="L57" s="1262"/>
      <c r="M57" s="1263"/>
      <c r="N57" s="1527"/>
      <c r="O57" s="1527"/>
      <c r="P57" s="1528"/>
      <c r="Q57" s="1522"/>
    </row>
    <row r="58" spans="1:17" ht="15">
      <c r="A58" s="1215"/>
      <c r="B58" s="1216"/>
      <c r="C58" s="1217">
        <v>100</v>
      </c>
      <c r="D58" s="1217"/>
      <c r="E58" s="1217"/>
      <c r="F58" s="1217"/>
      <c r="G58" s="1217"/>
      <c r="H58" s="1217"/>
      <c r="I58" s="1217"/>
      <c r="J58" s="1217"/>
      <c r="K58" s="1217"/>
      <c r="L58" s="1217"/>
      <c r="M58" s="1266"/>
      <c r="N58" s="1529"/>
      <c r="O58" s="1529"/>
      <c r="P58" s="1528"/>
      <c r="Q58" s="1522"/>
    </row>
    <row r="59" spans="1:17" ht="27">
      <c r="A59" s="1215"/>
      <c r="B59" s="1218" t="s">
        <v>1047</v>
      </c>
      <c r="C59" s="1219" t="s">
        <v>1097</v>
      </c>
      <c r="D59" s="1219" t="s">
        <v>1098</v>
      </c>
      <c r="E59" s="1219" t="s">
        <v>1099</v>
      </c>
      <c r="F59" s="1219" t="s">
        <v>1100</v>
      </c>
      <c r="G59" s="1219" t="s">
        <v>1101</v>
      </c>
      <c r="H59" s="1219" t="s">
        <v>1102</v>
      </c>
      <c r="I59" s="1219" t="s">
        <v>1103</v>
      </c>
      <c r="J59" s="1219"/>
      <c r="K59" s="1268"/>
      <c r="L59" s="1269"/>
      <c r="M59" s="1270"/>
      <c r="N59" s="1527"/>
      <c r="O59" s="1527"/>
      <c r="P59" s="1528"/>
      <c r="Q59" s="1522"/>
    </row>
    <row r="60" spans="1:17" ht="15">
      <c r="A60" s="1215"/>
      <c r="B60" s="1220"/>
      <c r="C60" s="1221" t="s">
        <v>1482</v>
      </c>
      <c r="D60" s="1221" t="s">
        <v>1482</v>
      </c>
      <c r="E60" s="1221">
        <v>100</v>
      </c>
      <c r="F60" s="1221">
        <f>E60-$K10</f>
        <v>100</v>
      </c>
      <c r="G60" s="1221">
        <f>F60-$K10</f>
        <v>100</v>
      </c>
      <c r="H60" s="1221">
        <f>G60-$K10</f>
        <v>100</v>
      </c>
      <c r="I60" s="1221">
        <f>H60-$K10</f>
        <v>100</v>
      </c>
      <c r="J60" s="1221"/>
      <c r="K60" s="1221"/>
      <c r="L60" s="1221"/>
      <c r="M60" s="1271"/>
      <c r="N60" s="1529"/>
      <c r="O60" s="1529"/>
      <c r="P60" s="1528"/>
      <c r="Q60" s="1522"/>
    </row>
    <row r="61" spans="1:17" ht="15">
      <c r="A61" s="1215"/>
      <c r="B61" s="1222" t="s">
        <v>1049</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32" t="str">
        <f>M62&amp;"（含）"&amp;"-"&amp;P62</f>
        <v>（含）-</v>
      </c>
      <c r="N61" s="1529"/>
      <c r="O61" s="1529"/>
      <c r="P61" s="1528"/>
      <c r="Q61" s="1522"/>
    </row>
    <row r="62" spans="1:17" ht="15">
      <c r="A62" s="1215"/>
      <c r="B62" s="1224"/>
      <c r="C62" s="1017"/>
      <c r="D62" s="1017"/>
      <c r="E62" s="1017"/>
      <c r="F62" s="1017"/>
      <c r="G62" s="1017"/>
      <c r="H62" s="1017"/>
      <c r="I62" s="1017"/>
      <c r="J62" s="1017"/>
      <c r="K62" s="1272"/>
      <c r="L62" s="1273"/>
      <c r="M62" s="1274"/>
      <c r="N62" s="1527"/>
      <c r="O62" s="1527"/>
      <c r="P62" s="1528"/>
      <c r="Q62" s="1522"/>
    </row>
    <row r="63" spans="1:17" ht="15">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29"/>
      <c r="O63" s="1529"/>
      <c r="P63" s="1528"/>
      <c r="Q63" s="1522"/>
    </row>
    <row r="64" spans="1:17" s="972" customFormat="1" ht="15">
      <c r="A64" s="1225"/>
      <c r="B64" s="1218">
        <f>B12</f>
        <v>111</v>
      </c>
      <c r="C64" s="1226"/>
      <c r="D64" s="1226"/>
      <c r="E64" s="1226"/>
      <c r="F64" s="1226"/>
      <c r="G64" s="1226"/>
      <c r="H64" s="1227"/>
      <c r="I64" s="1227"/>
      <c r="J64" s="1227"/>
      <c r="K64" s="1227"/>
      <c r="L64" s="1275"/>
      <c r="M64" s="1276"/>
      <c r="N64" s="1530"/>
      <c r="O64" s="1530"/>
      <c r="P64" s="1531"/>
      <c r="Q64" s="1532"/>
    </row>
    <row r="65" spans="1:17" s="972" customFormat="1" ht="15">
      <c r="A65" s="1225"/>
      <c r="B65" s="1220"/>
      <c r="C65" s="1228"/>
      <c r="D65" s="1217"/>
      <c r="E65" s="1217"/>
      <c r="F65" s="1217"/>
      <c r="G65" s="1217"/>
      <c r="H65" s="1217"/>
      <c r="I65" s="1217"/>
      <c r="J65" s="1217"/>
      <c r="K65" s="1217"/>
      <c r="L65" s="1217"/>
      <c r="M65" s="1266"/>
      <c r="N65" s="1529"/>
      <c r="O65" s="1529"/>
      <c r="P65" s="1531"/>
      <c r="Q65" s="1532"/>
    </row>
    <row r="66" spans="1:17" s="972" customFormat="1" ht="15">
      <c r="A66" s="1225"/>
      <c r="B66" s="1218">
        <f>B13</f>
        <v>111</v>
      </c>
      <c r="C66" s="1226"/>
      <c r="D66" s="1226"/>
      <c r="E66" s="1226"/>
      <c r="F66" s="1226"/>
      <c r="G66" s="1226"/>
      <c r="H66" s="1227"/>
      <c r="I66" s="1227"/>
      <c r="J66" s="1227"/>
      <c r="K66" s="1227"/>
      <c r="L66" s="1275"/>
      <c r="M66" s="1276"/>
      <c r="N66" s="1530"/>
      <c r="O66" s="1530"/>
      <c r="P66" s="1534"/>
      <c r="Q66" s="1538"/>
    </row>
    <row r="67" spans="1:17" s="972" customFormat="1" ht="15">
      <c r="A67" s="1225"/>
      <c r="B67" s="1220"/>
      <c r="C67" s="1228"/>
      <c r="D67" s="1217"/>
      <c r="E67" s="1217"/>
      <c r="F67" s="1217"/>
      <c r="G67" s="1228"/>
      <c r="H67" s="1229"/>
      <c r="I67" s="1229"/>
      <c r="J67" s="1229"/>
      <c r="K67" s="1229"/>
      <c r="L67" s="1229"/>
      <c r="M67" s="1279"/>
      <c r="N67" s="1530"/>
      <c r="O67" s="1530"/>
      <c r="P67" s="1531"/>
      <c r="Q67" s="1532"/>
    </row>
    <row r="68" spans="1:17" s="972" customFormat="1" ht="15">
      <c r="A68" s="1225"/>
      <c r="B68" s="1222">
        <f>B14</f>
        <v>111</v>
      </c>
      <c r="C68" s="1210"/>
      <c r="D68" s="1210"/>
      <c r="E68" s="1210"/>
      <c r="F68" s="1210"/>
      <c r="G68" s="1210"/>
      <c r="H68" s="1230"/>
      <c r="I68" s="1230"/>
      <c r="J68" s="1230"/>
      <c r="K68" s="1230"/>
      <c r="L68" s="1280"/>
      <c r="M68" s="1281"/>
      <c r="N68" s="1530"/>
      <c r="O68" s="1530"/>
      <c r="P68" s="1535"/>
      <c r="Q68" s="1532"/>
    </row>
    <row r="69" spans="1:17" s="972" customFormat="1" ht="15">
      <c r="A69" s="1231"/>
      <c r="B69" s="1232"/>
      <c r="C69" s="1233"/>
      <c r="D69" s="1233"/>
      <c r="E69" s="1233"/>
      <c r="F69" s="1233"/>
      <c r="G69" s="1233"/>
      <c r="H69" s="1234"/>
      <c r="I69" s="1234"/>
      <c r="J69" s="1234"/>
      <c r="K69" s="1234"/>
      <c r="L69" s="1234"/>
      <c r="M69" s="1283"/>
      <c r="N69" s="1530"/>
      <c r="O69" s="1530"/>
      <c r="P69" s="1531"/>
      <c r="Q69" s="1532"/>
    </row>
    <row r="70" spans="1:17">
      <c r="A70" s="1213" t="s">
        <v>1051</v>
      </c>
      <c r="B70" s="1214" t="s">
        <v>1492</v>
      </c>
      <c r="C70" s="1235" t="s">
        <v>1104</v>
      </c>
      <c r="D70" s="1235" t="s">
        <v>1105</v>
      </c>
      <c r="E70" s="1235" t="s">
        <v>1106</v>
      </c>
      <c r="F70" s="1235" t="s">
        <v>1107</v>
      </c>
      <c r="G70" s="1235" t="s">
        <v>1108</v>
      </c>
      <c r="H70" s="1236"/>
      <c r="I70" s="1236"/>
      <c r="J70" s="1236"/>
      <c r="K70" s="1284"/>
      <c r="L70" s="1285"/>
      <c r="M70" s="1286"/>
      <c r="N70" s="1527"/>
      <c r="O70" s="1527"/>
      <c r="P70" s="1536"/>
      <c r="Q70" s="1522"/>
    </row>
    <row r="71" spans="1:17" ht="15">
      <c r="A71" s="1215"/>
      <c r="B71" s="1220"/>
      <c r="C71" s="1221">
        <v>100</v>
      </c>
      <c r="D71" s="1221">
        <f>C71-$K15</f>
        <v>100</v>
      </c>
      <c r="E71" s="1221">
        <f>D71-$K15</f>
        <v>100</v>
      </c>
      <c r="F71" s="1221">
        <f>E71-$K15</f>
        <v>100</v>
      </c>
      <c r="G71" s="1221">
        <f>F71-$K15</f>
        <v>100</v>
      </c>
      <c r="H71" s="1221"/>
      <c r="I71" s="1221"/>
      <c r="J71" s="1221"/>
      <c r="K71" s="1221"/>
      <c r="L71" s="1221"/>
      <c r="M71" s="1271"/>
      <c r="N71" s="1529"/>
      <c r="O71" s="1529"/>
      <c r="P71" s="1528"/>
      <c r="Q71" s="1522"/>
    </row>
    <row r="72" spans="1:17" ht="15">
      <c r="A72" s="1215"/>
      <c r="B72" s="1218" t="s">
        <v>1056</v>
      </c>
      <c r="C72" s="1237" t="s">
        <v>1104</v>
      </c>
      <c r="D72" s="1237" t="s">
        <v>1105</v>
      </c>
      <c r="E72" s="1237" t="s">
        <v>1106</v>
      </c>
      <c r="F72" s="1237" t="s">
        <v>1107</v>
      </c>
      <c r="G72" s="1237" t="s">
        <v>1108</v>
      </c>
      <c r="H72" s="1219"/>
      <c r="I72" s="1219"/>
      <c r="J72" s="1219"/>
      <c r="K72" s="1268"/>
      <c r="L72" s="1269"/>
      <c r="M72" s="1270"/>
      <c r="N72" s="1527"/>
      <c r="O72" s="1527"/>
      <c r="P72" s="1528"/>
      <c r="Q72" s="1522"/>
    </row>
    <row r="73" spans="1:17" ht="15">
      <c r="A73" s="1215"/>
      <c r="B73" s="1220"/>
      <c r="C73" s="1221">
        <v>100</v>
      </c>
      <c r="D73" s="1221">
        <f>C73-$K17</f>
        <v>100</v>
      </c>
      <c r="E73" s="1221">
        <f>D73-$K17</f>
        <v>100</v>
      </c>
      <c r="F73" s="1221">
        <f>E73-$K17</f>
        <v>100</v>
      </c>
      <c r="G73" s="1221">
        <f>F73-$K17</f>
        <v>100</v>
      </c>
      <c r="H73" s="1221"/>
      <c r="I73" s="1221"/>
      <c r="J73" s="1221"/>
      <c r="K73" s="1221"/>
      <c r="L73" s="1221"/>
      <c r="M73" s="1271"/>
      <c r="N73" s="1529"/>
      <c r="O73" s="1529"/>
      <c r="P73" s="1528"/>
      <c r="Q73" s="1522"/>
    </row>
    <row r="74" spans="1:17" ht="15">
      <c r="A74" s="1215"/>
      <c r="B74" s="1218" t="s">
        <v>1057</v>
      </c>
      <c r="C74" s="1237" t="s">
        <v>1104</v>
      </c>
      <c r="D74" s="1237" t="s">
        <v>1105</v>
      </c>
      <c r="E74" s="1237" t="s">
        <v>1106</v>
      </c>
      <c r="F74" s="1237" t="s">
        <v>1107</v>
      </c>
      <c r="G74" s="1237" t="s">
        <v>1108</v>
      </c>
      <c r="H74" s="1219"/>
      <c r="I74" s="1219"/>
      <c r="J74" s="1219"/>
      <c r="K74" s="1268"/>
      <c r="L74" s="1269"/>
      <c r="M74" s="1270"/>
      <c r="N74" s="1527"/>
      <c r="O74" s="1527"/>
      <c r="P74" s="1528"/>
      <c r="Q74" s="1522"/>
    </row>
    <row r="75" spans="1:17" ht="15">
      <c r="A75" s="1215"/>
      <c r="B75" s="1220"/>
      <c r="C75" s="1221">
        <v>100</v>
      </c>
      <c r="D75" s="1221">
        <f>C75-$K19</f>
        <v>100</v>
      </c>
      <c r="E75" s="1221">
        <f>D75-$K19</f>
        <v>100</v>
      </c>
      <c r="F75" s="1221">
        <f>E75-$K19</f>
        <v>100</v>
      </c>
      <c r="G75" s="1221">
        <f>F75-$K19</f>
        <v>100</v>
      </c>
      <c r="H75" s="1221"/>
      <c r="I75" s="1221"/>
      <c r="J75" s="1221"/>
      <c r="K75" s="1221"/>
      <c r="L75" s="1221"/>
      <c r="M75" s="1271"/>
      <c r="N75" s="1529"/>
      <c r="O75" s="1529"/>
      <c r="P75" s="1528"/>
      <c r="Q75" s="1522"/>
    </row>
    <row r="76" spans="1:17" ht="15">
      <c r="A76" s="1215"/>
      <c r="B76" s="1222" t="s">
        <v>1058</v>
      </c>
      <c r="C76" s="1242" t="s">
        <v>1109</v>
      </c>
      <c r="D76" s="1242" t="s">
        <v>1110</v>
      </c>
      <c r="E76" s="1242" t="s">
        <v>1111</v>
      </c>
      <c r="F76" s="1242" t="s">
        <v>1112</v>
      </c>
      <c r="G76" s="1242" t="s">
        <v>1113</v>
      </c>
      <c r="H76" s="1219"/>
      <c r="I76" s="1219"/>
      <c r="J76" s="1219"/>
      <c r="K76" s="1219"/>
      <c r="L76" s="1219"/>
      <c r="M76" s="1431"/>
      <c r="N76" s="1529"/>
      <c r="O76" s="1529"/>
      <c r="P76" s="1528"/>
      <c r="Q76" s="1522"/>
    </row>
    <row r="77" spans="1:17" ht="15">
      <c r="A77" s="1215"/>
      <c r="B77" s="1222"/>
      <c r="C77" s="1221">
        <v>100</v>
      </c>
      <c r="D77" s="1221">
        <f>C77-$K21</f>
        <v>100</v>
      </c>
      <c r="E77" s="1221">
        <f>D77-$K21</f>
        <v>100</v>
      </c>
      <c r="F77" s="1221">
        <f>E77-$K21</f>
        <v>100</v>
      </c>
      <c r="G77" s="1221">
        <f>F77-$K21</f>
        <v>100</v>
      </c>
      <c r="H77" s="1242"/>
      <c r="I77" s="1242"/>
      <c r="J77" s="1242"/>
      <c r="K77" s="1242"/>
      <c r="L77" s="1242"/>
      <c r="M77" s="1034"/>
      <c r="N77" s="1529"/>
      <c r="O77" s="1529"/>
      <c r="P77" s="1528"/>
      <c r="Q77" s="1522"/>
    </row>
    <row r="78" spans="1:17" ht="15">
      <c r="A78" s="1215"/>
      <c r="B78" s="1218" t="s">
        <v>1486</v>
      </c>
      <c r="C78" s="1237" t="s">
        <v>1104</v>
      </c>
      <c r="D78" s="1237" t="s">
        <v>1105</v>
      </c>
      <c r="E78" s="1237" t="s">
        <v>1106</v>
      </c>
      <c r="F78" s="1237" t="s">
        <v>1107</v>
      </c>
      <c r="G78" s="1237" t="s">
        <v>1108</v>
      </c>
      <c r="H78" s="1219"/>
      <c r="I78" s="1219"/>
      <c r="J78" s="1219"/>
      <c r="K78" s="1268"/>
      <c r="L78" s="1269"/>
      <c r="M78" s="1270"/>
      <c r="N78" s="1527"/>
      <c r="O78" s="1527"/>
      <c r="P78" s="1528"/>
      <c r="Q78" s="1522"/>
    </row>
    <row r="79" spans="1:17" ht="15">
      <c r="A79" s="1215"/>
      <c r="B79" s="1220"/>
      <c r="C79" s="1221">
        <v>100</v>
      </c>
      <c r="D79" s="1221">
        <f>C79-$K23</f>
        <v>100</v>
      </c>
      <c r="E79" s="1221">
        <f>D79-$K23</f>
        <v>100</v>
      </c>
      <c r="F79" s="1221">
        <f>E79-$K23</f>
        <v>100</v>
      </c>
      <c r="G79" s="1221">
        <f>F79-$K23</f>
        <v>100</v>
      </c>
      <c r="H79" s="1221"/>
      <c r="I79" s="1221"/>
      <c r="J79" s="1221"/>
      <c r="K79" s="1221"/>
      <c r="L79" s="1221"/>
      <c r="M79" s="1271"/>
      <c r="N79" s="1529"/>
      <c r="O79" s="1529"/>
      <c r="P79" s="1528"/>
      <c r="Q79" s="1522"/>
    </row>
    <row r="80" spans="1:17" s="970" customFormat="1" ht="15">
      <c r="A80" s="1238"/>
      <c r="B80" s="1218">
        <f>B25</f>
        <v>111</v>
      </c>
      <c r="C80" s="1226"/>
      <c r="D80" s="1226"/>
      <c r="E80" s="1226"/>
      <c r="F80" s="1226"/>
      <c r="G80" s="1226"/>
      <c r="H80" s="1226"/>
      <c r="I80" s="1226"/>
      <c r="J80" s="1226"/>
      <c r="K80" s="1226"/>
      <c r="L80" s="1432"/>
      <c r="M80" s="1433"/>
      <c r="N80" s="1525"/>
      <c r="O80" s="1525"/>
      <c r="P80" s="1528"/>
      <c r="Q80" s="1522"/>
    </row>
    <row r="81" spans="1:17" s="970" customFormat="1" ht="15">
      <c r="A81" s="1238"/>
      <c r="B81" s="1220"/>
      <c r="C81" s="1228"/>
      <c r="D81" s="1217"/>
      <c r="E81" s="1217"/>
      <c r="F81" s="1217"/>
      <c r="G81" s="1217"/>
      <c r="H81" s="1217"/>
      <c r="I81" s="1217"/>
      <c r="J81" s="1217"/>
      <c r="K81" s="1217"/>
      <c r="L81" s="1217"/>
      <c r="M81" s="1266"/>
      <c r="N81" s="1529"/>
      <c r="O81" s="1529"/>
      <c r="P81" s="1528"/>
      <c r="Q81" s="1522"/>
    </row>
    <row r="82" spans="1:17" s="970" customFormat="1" ht="15">
      <c r="A82" s="1238"/>
      <c r="B82" s="1218">
        <f>B26</f>
        <v>111</v>
      </c>
      <c r="C82" s="1226"/>
      <c r="D82" s="1226"/>
      <c r="E82" s="1226"/>
      <c r="F82" s="1226"/>
      <c r="G82" s="1226"/>
      <c r="H82" s="1226"/>
      <c r="I82" s="1226"/>
      <c r="J82" s="1226"/>
      <c r="K82" s="1226"/>
      <c r="L82" s="1432"/>
      <c r="M82" s="1433"/>
      <c r="N82" s="1525"/>
      <c r="O82" s="1525"/>
      <c r="P82" s="1528"/>
      <c r="Q82" s="1522"/>
    </row>
    <row r="83" spans="1:17" s="970" customFormat="1" ht="15">
      <c r="A83" s="1238"/>
      <c r="B83" s="1220"/>
      <c r="C83" s="1228"/>
      <c r="D83" s="1217"/>
      <c r="E83" s="1217"/>
      <c r="F83" s="1217"/>
      <c r="G83" s="1217"/>
      <c r="H83" s="1217"/>
      <c r="I83" s="1217"/>
      <c r="J83" s="1217"/>
      <c r="K83" s="1217"/>
      <c r="L83" s="1217"/>
      <c r="M83" s="1266"/>
      <c r="N83" s="1529"/>
      <c r="O83" s="1529"/>
      <c r="P83" s="1528"/>
      <c r="Q83" s="1522"/>
    </row>
    <row r="84" spans="1:17" s="972" customFormat="1" ht="15">
      <c r="A84" s="1225"/>
      <c r="B84" s="1218">
        <f>B27</f>
        <v>111</v>
      </c>
      <c r="C84" s="1226"/>
      <c r="D84" s="1226"/>
      <c r="E84" s="1226"/>
      <c r="F84" s="1226"/>
      <c r="G84" s="1226"/>
      <c r="H84" s="1226"/>
      <c r="I84" s="1226"/>
      <c r="J84" s="1226"/>
      <c r="K84" s="1226"/>
      <c r="L84" s="1432"/>
      <c r="M84" s="1433"/>
      <c r="N84" s="1530"/>
      <c r="O84" s="1530"/>
      <c r="P84" s="1531"/>
      <c r="Q84" s="1532"/>
    </row>
    <row r="85" spans="1:17" s="972" customFormat="1" ht="15">
      <c r="A85" s="1225"/>
      <c r="B85" s="1220"/>
      <c r="C85" s="1228"/>
      <c r="D85" s="1217"/>
      <c r="E85" s="1217"/>
      <c r="F85" s="1217"/>
      <c r="G85" s="1217"/>
      <c r="H85" s="1217"/>
      <c r="I85" s="1217"/>
      <c r="J85" s="1217"/>
      <c r="K85" s="1217"/>
      <c r="L85" s="1217"/>
      <c r="M85" s="1266"/>
      <c r="N85" s="1530"/>
      <c r="O85" s="1530"/>
      <c r="P85" s="1531"/>
      <c r="Q85" s="1532"/>
    </row>
    <row r="86" spans="1:17" ht="15">
      <c r="A86" s="1215"/>
      <c r="B86" s="1222">
        <f>B28</f>
        <v>111</v>
      </c>
      <c r="C86" s="1210"/>
      <c r="D86" s="1210"/>
      <c r="E86" s="1210"/>
      <c r="F86" s="1210"/>
      <c r="G86" s="1244"/>
      <c r="H86" s="1244"/>
      <c r="I86" s="1244"/>
      <c r="J86" s="1244"/>
      <c r="K86" s="1297"/>
      <c r="L86" s="1298"/>
      <c r="M86" s="1299"/>
      <c r="N86" s="1527"/>
      <c r="O86" s="1527"/>
      <c r="P86" s="1528"/>
      <c r="Q86" s="1522"/>
    </row>
    <row r="87" spans="1:17" ht="15">
      <c r="A87" s="1533"/>
      <c r="B87" s="1232"/>
      <c r="C87" s="1233"/>
      <c r="D87" s="1233"/>
      <c r="E87" s="1233"/>
      <c r="F87" s="1233"/>
      <c r="G87" s="1245"/>
      <c r="H87" s="1245"/>
      <c r="I87" s="1245"/>
      <c r="J87" s="1245"/>
      <c r="K87" s="1245"/>
      <c r="L87" s="1245"/>
      <c r="M87" s="1300"/>
      <c r="N87" s="1529"/>
      <c r="O87" s="1529"/>
      <c r="P87" s="1528"/>
      <c r="Q87" s="1522"/>
    </row>
    <row r="88" spans="1:17">
      <c r="A88" s="1213" t="s">
        <v>1065</v>
      </c>
      <c r="B88" s="1214" t="s">
        <v>1066</v>
      </c>
      <c r="C88" s="1156"/>
      <c r="D88" s="1156"/>
      <c r="E88" s="1156"/>
      <c r="F88" s="1156"/>
      <c r="G88" s="1156"/>
      <c r="H88" s="1156"/>
      <c r="I88" s="1156"/>
      <c r="J88" s="1156"/>
      <c r="K88" s="1261"/>
      <c r="L88" s="1262"/>
      <c r="M88" s="1263"/>
      <c r="N88" s="1527"/>
      <c r="O88" s="1527"/>
      <c r="P88" s="1528"/>
      <c r="Q88" s="1522"/>
    </row>
    <row r="89" spans="1:17" ht="15">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29"/>
      <c r="O89" s="1529"/>
      <c r="P89" s="1528"/>
      <c r="Q89" s="1522"/>
    </row>
    <row r="90" spans="1:17" ht="15">
      <c r="A90" s="1215"/>
      <c r="B90" s="1218" t="s">
        <v>1069</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25"/>
      <c r="O90" s="1525"/>
      <c r="P90" s="1528"/>
      <c r="Q90" s="1522"/>
    </row>
    <row r="91" spans="1:17" s="972" customFormat="1">
      <c r="A91" s="1246"/>
      <c r="B91" s="1247"/>
      <c r="C91" s="1202"/>
      <c r="D91" s="1202"/>
      <c r="E91" s="1202"/>
      <c r="F91" s="1202"/>
      <c r="G91" s="1202"/>
      <c r="H91" s="1202"/>
      <c r="I91" s="1202"/>
      <c r="J91" s="1301"/>
      <c r="K91" s="1301"/>
      <c r="L91" s="1302"/>
      <c r="M91" s="1303"/>
      <c r="N91" s="1530"/>
      <c r="O91" s="1530"/>
      <c r="P91" s="1531"/>
      <c r="Q91" s="1532"/>
    </row>
    <row r="92" spans="1:17" s="972" customFormat="1" ht="15">
      <c r="A92" s="1225"/>
      <c r="B92" s="1220"/>
      <c r="C92" s="1228"/>
      <c r="D92" s="1217"/>
      <c r="E92" s="1217"/>
      <c r="F92" s="1217"/>
      <c r="G92" s="1217"/>
      <c r="H92" s="1217"/>
      <c r="I92" s="1217"/>
      <c r="J92" s="1217"/>
      <c r="K92" s="1217"/>
      <c r="L92" s="1217"/>
      <c r="M92" s="1266"/>
      <c r="N92" s="1529"/>
      <c r="O92" s="1529"/>
      <c r="P92" s="1531"/>
      <c r="Q92" s="1532"/>
    </row>
    <row r="93" spans="1:17">
      <c r="A93" s="1249"/>
      <c r="B93" s="1218" t="s">
        <v>1070</v>
      </c>
      <c r="C93" s="1226"/>
      <c r="D93" s="1226"/>
      <c r="E93" s="1243"/>
      <c r="F93" s="1243"/>
      <c r="G93" s="1243"/>
      <c r="H93" s="1243"/>
      <c r="I93" s="1243"/>
      <c r="J93" s="1243"/>
      <c r="K93" s="1294"/>
      <c r="L93" s="1295"/>
      <c r="M93" s="1296"/>
      <c r="N93" s="1527"/>
      <c r="O93" s="1527"/>
      <c r="P93" s="1528"/>
      <c r="Q93" s="1522"/>
    </row>
    <row r="94" spans="1:17" ht="15">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29"/>
      <c r="O94" s="1529"/>
      <c r="P94" s="1528"/>
      <c r="Q94" s="1522"/>
    </row>
    <row r="95" spans="1:17">
      <c r="A95" s="1249"/>
      <c r="B95" s="1218" t="s">
        <v>1073</v>
      </c>
      <c r="C95" s="1226"/>
      <c r="D95" s="1226"/>
      <c r="E95" s="1226"/>
      <c r="F95" s="1243"/>
      <c r="G95" s="1243"/>
      <c r="H95" s="1243"/>
      <c r="I95" s="1243"/>
      <c r="J95" s="1243"/>
      <c r="K95" s="1294"/>
      <c r="L95" s="1295"/>
      <c r="M95" s="1296"/>
      <c r="N95" s="1527"/>
      <c r="O95" s="1527"/>
      <c r="P95" s="1528"/>
      <c r="Q95" s="1522"/>
    </row>
    <row r="96" spans="1:17" ht="15">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29"/>
      <c r="O96" s="1529"/>
      <c r="P96" s="1528"/>
      <c r="Q96" s="1522"/>
    </row>
    <row r="97" spans="1:17">
      <c r="A97" s="1249"/>
      <c r="B97" s="1218" t="s">
        <v>568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27"/>
      <c r="O97" s="1527"/>
      <c r="P97" s="1528"/>
      <c r="Q97" s="1522"/>
    </row>
    <row r="98" spans="1:17">
      <c r="A98" s="1249"/>
      <c r="B98" s="1222"/>
      <c r="C98" s="905">
        <v>0.5</v>
      </c>
      <c r="D98" s="905">
        <v>0.6</v>
      </c>
      <c r="E98" s="905">
        <v>0.7</v>
      </c>
      <c r="F98" s="905">
        <v>0.8</v>
      </c>
      <c r="G98" s="905">
        <v>0.9</v>
      </c>
      <c r="H98" s="905">
        <v>1.0001</v>
      </c>
      <c r="I98" s="1493"/>
      <c r="J98" s="1493"/>
      <c r="K98" s="1494"/>
      <c r="L98" s="1495"/>
      <c r="M98" s="1496"/>
      <c r="N98" s="1527"/>
      <c r="O98" s="1527"/>
      <c r="P98" s="1528"/>
      <c r="Q98" s="1522"/>
    </row>
    <row r="99" spans="1:17" ht="15">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29"/>
      <c r="O99" s="1529"/>
      <c r="P99" s="1528"/>
      <c r="Q99" s="1522"/>
    </row>
    <row r="100" spans="1:17" s="972" customFormat="1">
      <c r="A100" s="1246"/>
      <c r="B100" s="1218" t="s">
        <v>1075</v>
      </c>
      <c r="C100" s="1226"/>
      <c r="D100" s="1226"/>
      <c r="E100" s="1226"/>
      <c r="F100" s="1226"/>
      <c r="G100" s="1226"/>
      <c r="H100" s="1243"/>
      <c r="I100" s="1243"/>
      <c r="J100" s="1243"/>
      <c r="K100" s="1294"/>
      <c r="L100" s="1295"/>
      <c r="M100" s="1296"/>
      <c r="N100" s="1530"/>
      <c r="O100" s="1530"/>
      <c r="P100" s="1531"/>
      <c r="Q100" s="1532"/>
    </row>
    <row r="101" spans="1:17" s="972" customFormat="1" ht="15">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30"/>
      <c r="O101" s="1530"/>
      <c r="P101" s="1531"/>
      <c r="Q101" s="1532"/>
    </row>
    <row r="102" spans="1:17">
      <c r="A102" s="1249"/>
      <c r="B102" s="1218" t="s">
        <v>1077</v>
      </c>
      <c r="C102" s="1226"/>
      <c r="D102" s="1226"/>
      <c r="E102" s="1226"/>
      <c r="F102" s="1226"/>
      <c r="G102" s="1226"/>
      <c r="H102" s="1243"/>
      <c r="I102" s="1243"/>
      <c r="J102" s="1243"/>
      <c r="K102" s="1294"/>
      <c r="L102" s="1295"/>
      <c r="M102" s="1296"/>
      <c r="N102" s="1527"/>
      <c r="O102" s="1527"/>
      <c r="P102" s="1528"/>
      <c r="Q102" s="1522"/>
    </row>
    <row r="103" spans="1:17" ht="15">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29"/>
      <c r="O103" s="1529"/>
      <c r="P103" s="1528"/>
      <c r="Q103" s="1522"/>
    </row>
    <row r="104" spans="1:17">
      <c r="A104" s="1249"/>
      <c r="B104" s="1218" t="s">
        <v>1083</v>
      </c>
      <c r="C104" s="1226"/>
      <c r="D104" s="1226"/>
      <c r="E104" s="1226"/>
      <c r="F104" s="1226"/>
      <c r="G104" s="1226"/>
      <c r="H104" s="1243"/>
      <c r="I104" s="1243"/>
      <c r="J104" s="1243"/>
      <c r="K104" s="1294"/>
      <c r="L104" s="1295"/>
      <c r="M104" s="1296"/>
      <c r="N104" s="1527"/>
      <c r="O104" s="1527"/>
      <c r="P104" s="1528"/>
      <c r="Q104" s="1522"/>
    </row>
    <row r="105" spans="1:17" ht="15">
      <c r="A105" s="1215"/>
      <c r="B105" s="1220"/>
      <c r="C105" s="1221">
        <v>100</v>
      </c>
      <c r="D105" s="1221">
        <f>C105-$K36</f>
        <v>100</v>
      </c>
      <c r="E105" s="1221">
        <f>D105-$K36</f>
        <v>100</v>
      </c>
      <c r="F105" s="1221">
        <f>E105-$K36</f>
        <v>100</v>
      </c>
      <c r="G105" s="1221">
        <f>F105-$K36</f>
        <v>100</v>
      </c>
      <c r="H105" s="1221"/>
      <c r="I105" s="1221"/>
      <c r="J105" s="1221"/>
      <c r="K105" s="1221"/>
      <c r="L105" s="1221"/>
      <c r="M105" s="1271"/>
      <c r="N105" s="1529"/>
      <c r="O105" s="1529"/>
      <c r="P105" s="1528"/>
      <c r="Q105" s="1522"/>
    </row>
    <row r="106" spans="1:17">
      <c r="A106" s="1249"/>
      <c r="B106" s="1429" t="s">
        <v>1494</v>
      </c>
      <c r="C106" s="1237" t="s">
        <v>1104</v>
      </c>
      <c r="D106" s="1237" t="s">
        <v>1105</v>
      </c>
      <c r="E106" s="1237" t="s">
        <v>1106</v>
      </c>
      <c r="F106" s="1237" t="s">
        <v>1107</v>
      </c>
      <c r="G106" s="1237" t="s">
        <v>1108</v>
      </c>
      <c r="H106" s="1219"/>
      <c r="I106" s="1219"/>
      <c r="J106" s="1219"/>
      <c r="K106" s="1268"/>
      <c r="L106" s="1269"/>
      <c r="M106" s="1270"/>
      <c r="N106" s="1529"/>
      <c r="O106" s="1529"/>
      <c r="P106" s="1537"/>
      <c r="Q106" s="1539"/>
    </row>
    <row r="107" spans="1:17" ht="15">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29"/>
      <c r="O107" s="1529"/>
      <c r="P107" s="1528"/>
      <c r="Q107" s="1522"/>
    </row>
    <row r="108" spans="1:17" s="972" customFormat="1">
      <c r="A108" s="1246"/>
      <c r="B108" s="1218">
        <f>B38</f>
        <v>111</v>
      </c>
      <c r="C108" s="1226"/>
      <c r="D108" s="1226"/>
      <c r="E108" s="1226"/>
      <c r="F108" s="1226"/>
      <c r="G108" s="1226"/>
      <c r="H108" s="1227"/>
      <c r="I108" s="1227"/>
      <c r="J108" s="1227"/>
      <c r="K108" s="1227"/>
      <c r="L108" s="1275"/>
      <c r="M108" s="1276"/>
      <c r="N108" s="1530"/>
      <c r="O108" s="1530"/>
      <c r="P108" s="1531"/>
      <c r="Q108" s="1532"/>
    </row>
    <row r="109" spans="1:17" s="972" customFormat="1" ht="15">
      <c r="A109" s="1225"/>
      <c r="B109" s="1216"/>
      <c r="C109" s="1228"/>
      <c r="D109" s="1217"/>
      <c r="E109" s="1217"/>
      <c r="F109" s="1217"/>
      <c r="G109" s="1228"/>
      <c r="H109" s="1229"/>
      <c r="I109" s="1229"/>
      <c r="J109" s="1229"/>
      <c r="K109" s="1229"/>
      <c r="L109" s="1229"/>
      <c r="M109" s="1279"/>
      <c r="N109" s="1530"/>
      <c r="O109" s="1530"/>
      <c r="P109" s="1531"/>
      <c r="Q109" s="1532"/>
    </row>
    <row r="110" spans="1:17">
      <c r="A110" s="1249"/>
      <c r="B110" s="1218">
        <f>B39</f>
        <v>111</v>
      </c>
      <c r="C110" s="1226"/>
      <c r="D110" s="1226"/>
      <c r="E110" s="1226"/>
      <c r="F110" s="1226"/>
      <c r="G110" s="1226"/>
      <c r="H110" s="1227"/>
      <c r="I110" s="1227"/>
      <c r="J110" s="1227"/>
      <c r="K110" s="1227"/>
      <c r="L110" s="1275"/>
      <c r="M110" s="1276"/>
      <c r="N110" s="1527"/>
      <c r="O110" s="1527"/>
      <c r="P110" s="1528"/>
      <c r="Q110" s="1522"/>
    </row>
    <row r="111" spans="1:17" ht="15">
      <c r="A111" s="1215"/>
      <c r="B111" s="1220"/>
      <c r="C111" s="1228"/>
      <c r="D111" s="1217"/>
      <c r="E111" s="1217"/>
      <c r="F111" s="1217"/>
      <c r="G111" s="1228"/>
      <c r="H111" s="1229"/>
      <c r="I111" s="1229"/>
      <c r="J111" s="1229"/>
      <c r="K111" s="1229"/>
      <c r="L111" s="1229"/>
      <c r="M111" s="1279"/>
      <c r="N111" s="1529"/>
      <c r="O111" s="1529"/>
      <c r="P111" s="1528"/>
      <c r="Q111" s="1522"/>
    </row>
    <row r="112" spans="1:17">
      <c r="A112" s="1249"/>
      <c r="B112" s="1222">
        <f>B40</f>
        <v>111</v>
      </c>
      <c r="C112" s="1210"/>
      <c r="D112" s="1210"/>
      <c r="E112" s="1210"/>
      <c r="F112" s="1210"/>
      <c r="G112" s="1244"/>
      <c r="H112" s="1244"/>
      <c r="I112" s="1244"/>
      <c r="J112" s="1244"/>
      <c r="K112" s="1210"/>
      <c r="L112" s="1256"/>
      <c r="M112" s="1299"/>
      <c r="N112" s="1527"/>
      <c r="O112" s="1527"/>
      <c r="P112" s="1528"/>
      <c r="Q112" s="1522"/>
    </row>
    <row r="113" spans="1:17" ht="15">
      <c r="A113" s="1533"/>
      <c r="B113" s="1232"/>
      <c r="C113" s="1233"/>
      <c r="D113" s="1233"/>
      <c r="E113" s="1233"/>
      <c r="F113" s="1233"/>
      <c r="G113" s="1245"/>
      <c r="H113" s="1245"/>
      <c r="I113" s="1245"/>
      <c r="J113" s="1245"/>
      <c r="K113" s="1245"/>
      <c r="L113" s="1245"/>
      <c r="M113" s="1300"/>
      <c r="N113" s="1529"/>
      <c r="O113" s="1529"/>
      <c r="P113" s="1528"/>
      <c r="Q113" s="15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E46">
    <cfRule type="expression" dxfId="112" priority="16" stopIfTrue="1">
      <formula>$F$46="超过30%"</formula>
    </cfRule>
  </conditionalFormatting>
  <conditionalFormatting sqref="G46">
    <cfRule type="expression" dxfId="111" priority="12" stopIfTrue="1">
      <formula>$H$46="超过30%"</formula>
    </cfRule>
  </conditionalFormatting>
  <conditionalFormatting sqref="I46">
    <cfRule type="expression" dxfId="110" priority="7" stopIfTrue="1">
      <formula>$J$46="超过30%"</formula>
    </cfRule>
  </conditionalFormatting>
  <conditionalFormatting sqref="J46">
    <cfRule type="containsText" dxfId="109" priority="10" stopIfTrue="1" operator="containsText" text="超过">
      <formula>NOT(ISERROR(SEARCH("超过",J46)))</formula>
    </cfRule>
  </conditionalFormatting>
  <conditionalFormatting sqref="E47">
    <cfRule type="expression" dxfId="108" priority="15" stopIfTrue="1">
      <formula>$F$47="超过20%"</formula>
    </cfRule>
  </conditionalFormatting>
  <conditionalFormatting sqref="G47">
    <cfRule type="expression" dxfId="107" priority="11" stopIfTrue="1">
      <formula>$H$47="超过20%"</formula>
    </cfRule>
  </conditionalFormatting>
  <conditionalFormatting sqref="I47">
    <cfRule type="expression" dxfId="106" priority="6" stopIfTrue="1">
      <formula>$J$47="超过20%"</formula>
    </cfRule>
  </conditionalFormatting>
  <conditionalFormatting sqref="J47">
    <cfRule type="containsText" dxfId="105" priority="8" stopIfTrue="1" operator="containsText" text="超过">
      <formula>NOT(ISERROR(SEARCH("超过",J47)))</formula>
    </cfRule>
  </conditionalFormatting>
  <conditionalFormatting sqref="E48">
    <cfRule type="expression" dxfId="104" priority="14" stopIfTrue="1">
      <formula>$F$48="超过30%"</formula>
    </cfRule>
  </conditionalFormatting>
  <conditionalFormatting sqref="F48">
    <cfRule type="containsText" dxfId="103" priority="18" stopIfTrue="1" operator="containsText" text="超过">
      <formula>NOT(ISERROR(SEARCH("超过",F48)))</formula>
    </cfRule>
  </conditionalFormatting>
  <conditionalFormatting sqref="G48">
    <cfRule type="expression" dxfId="102" priority="13" stopIfTrue="1">
      <formula>$H$48="超过30%"</formula>
    </cfRule>
  </conditionalFormatting>
  <conditionalFormatting sqref="H48">
    <cfRule type="containsText" dxfId="101" priority="19" stopIfTrue="1" operator="containsText" text="超过">
      <formula>NOT(ISERROR(SEARCH("超过",H48)))</formula>
    </cfRule>
  </conditionalFormatting>
  <conditionalFormatting sqref="I48">
    <cfRule type="expression" dxfId="100" priority="5" stopIfTrue="1">
      <formula>$J$48="超过30%"</formula>
    </cfRule>
  </conditionalFormatting>
  <conditionalFormatting sqref="J48">
    <cfRule type="containsText" dxfId="99" priority="9" stopIfTrue="1" operator="containsText" text="超过">
      <formula>NOT(ISERROR(SEARCH("超过",J48)))</formula>
    </cfRule>
  </conditionalFormatting>
  <conditionalFormatting sqref="F7:F40 H7:H40 J7:J40">
    <cfRule type="cellIs" dxfId="98" priority="1" operator="notEqual">
      <formula>100</formula>
    </cfRule>
  </conditionalFormatting>
  <conditionalFormatting sqref="F46 H46">
    <cfRule type="containsText" dxfId="97" priority="20" stopIfTrue="1" operator="containsText" text="超过">
      <formula>NOT(ISERROR(SEARCH("超过",F46)))</formula>
    </cfRule>
  </conditionalFormatting>
  <conditionalFormatting sqref="F47 H47">
    <cfRule type="containsText" dxfId="96"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5.5" style="976" customWidth="1"/>
    <col min="10" max="10" width="12.25" style="976" customWidth="1"/>
    <col min="11" max="11" width="12.25" style="977" customWidth="1"/>
    <col min="12" max="12" width="12.25" style="978" customWidth="1"/>
    <col min="13" max="15" width="12.25" style="976" customWidth="1"/>
    <col min="16" max="16" width="4.75" style="1441"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1495</v>
      </c>
      <c r="B1" s="1364"/>
      <c r="C1" s="1365" t="s">
        <v>1021</v>
      </c>
      <c r="D1" s="1366"/>
      <c r="E1" s="1442"/>
      <c r="F1" s="1368"/>
      <c r="G1" s="1443" t="s">
        <v>1023</v>
      </c>
      <c r="H1" s="1442"/>
      <c r="I1" s="1442"/>
      <c r="J1" s="1442"/>
      <c r="K1" s="1472"/>
      <c r="L1" s="1473"/>
      <c r="M1" s="1474"/>
      <c r="N1" s="1474"/>
      <c r="O1" s="1474"/>
      <c r="P1" s="1475"/>
      <c r="Q1" s="1365"/>
      <c r="R1" s="1365"/>
      <c r="S1" s="1365"/>
      <c r="T1" s="1365"/>
      <c r="U1" s="1365"/>
      <c r="V1" s="1365"/>
      <c r="W1" s="1365"/>
      <c r="X1" s="1365"/>
      <c r="Y1" s="1365"/>
      <c r="Z1" s="1365"/>
      <c r="AA1" s="1365"/>
      <c r="AB1" s="1365"/>
      <c r="AC1" s="1428"/>
    </row>
    <row r="2" spans="1:29" s="969" customFormat="1" ht="28.5" customHeight="1">
      <c r="A2" s="1370" t="s">
        <v>923</v>
      </c>
      <c r="B2" s="1371" t="e">
        <f ca="1">IF(C2="——",IF(B37="元/平方米",ROUND(C39*D3/10000,0),ROUND(F3*C39/10000,0)),IF(B37="元/平方米",ROUND(C39*D3/10000,0),ROUND(F3*C39/10000,0))-D2)</f>
        <v>#DIV/0!</v>
      </c>
      <c r="C2" s="1372"/>
      <c r="D2" s="1312" t="e">
        <f ca="1">SUMIF(INDIRECT("'"&amp;F2&amp;"'"&amp;"!A:A"),"承租人权益价值",INDIRECT("'"&amp;F2&amp;"'"&amp;"!c:c"))</f>
        <v>#REF!</v>
      </c>
      <c r="E2" s="1373" t="s">
        <v>924</v>
      </c>
      <c r="F2" s="1374"/>
      <c r="G2" s="985"/>
      <c r="H2" s="985"/>
      <c r="I2" s="985"/>
      <c r="J2" s="985"/>
      <c r="K2" s="1130"/>
      <c r="L2" s="1131"/>
      <c r="M2" s="1132"/>
      <c r="N2" s="1132"/>
      <c r="O2" s="1132"/>
      <c r="P2" s="1476"/>
      <c r="Q2" s="1129"/>
      <c r="R2" s="1129"/>
      <c r="S2" s="1129"/>
      <c r="T2" s="1129"/>
      <c r="U2" s="1129"/>
      <c r="V2" s="1129"/>
      <c r="W2" s="1129"/>
      <c r="X2" s="1129"/>
      <c r="Y2" s="1129"/>
      <c r="Z2" s="1129"/>
      <c r="AA2" s="1129"/>
      <c r="AB2" s="1129"/>
      <c r="AC2" s="1189"/>
    </row>
    <row r="3" spans="1:29" s="969" customFormat="1" ht="28.5" customHeight="1">
      <c r="A3" s="241" t="s">
        <v>925</v>
      </c>
      <c r="B3" s="987" t="e">
        <f ca="1">IF(AND(C2="——",B37="元/平方米"),C39,ROUND(B2*10000/D3,0))</f>
        <v>#DIV/0!</v>
      </c>
      <c r="C3" s="1375" t="s">
        <v>1024</v>
      </c>
      <c r="D3" s="1376">
        <f>SUMIF('数据-汇总表'!$C19:$C33,D1,'数据-汇总表'!$E19:$E33)</f>
        <v>0</v>
      </c>
      <c r="E3" s="1375" t="s">
        <v>1496</v>
      </c>
      <c r="F3" s="1376">
        <f>SUMIF('数据-取费表'!A5:A15,D1,'数据-取费表'!AH5:AH15)</f>
        <v>0</v>
      </c>
      <c r="G3" s="985"/>
      <c r="H3" s="985"/>
      <c r="I3" s="985"/>
      <c r="J3" s="985"/>
      <c r="K3" s="1130"/>
      <c r="L3" s="1131"/>
      <c r="M3" s="1132"/>
      <c r="N3" s="1132"/>
      <c r="O3" s="1132"/>
      <c r="P3" s="1476"/>
      <c r="Q3" s="1129"/>
      <c r="R3" s="1129"/>
      <c r="S3" s="1129"/>
      <c r="T3" s="1129"/>
      <c r="U3" s="1129"/>
      <c r="V3" s="1129"/>
      <c r="W3" s="1129"/>
      <c r="X3" s="1129"/>
      <c r="Y3" s="1129"/>
      <c r="Z3" s="1129"/>
      <c r="AA3" s="1129"/>
      <c r="AB3" s="1190"/>
      <c r="AC3" s="1191"/>
    </row>
    <row r="4" spans="1:29" ht="15">
      <c r="A4" s="989" t="s">
        <v>1025</v>
      </c>
      <c r="B4" s="990"/>
      <c r="C4" s="3443" t="s">
        <v>1026</v>
      </c>
      <c r="D4" s="3444"/>
      <c r="E4" s="3445" t="s">
        <v>1027</v>
      </c>
      <c r="F4" s="3446"/>
      <c r="G4" s="3443" t="s">
        <v>1028</v>
      </c>
      <c r="H4" s="3444"/>
      <c r="I4" s="3443" t="s">
        <v>1029</v>
      </c>
      <c r="J4" s="3444"/>
      <c r="K4" s="1133" t="s">
        <v>1030</v>
      </c>
      <c r="L4" s="1134"/>
      <c r="M4" s="1135"/>
      <c r="N4" s="1135"/>
      <c r="O4" s="1135"/>
      <c r="P4" s="3477" t="s">
        <v>1031</v>
      </c>
      <c r="Q4" s="3478"/>
      <c r="R4" s="3483" t="s">
        <v>1027</v>
      </c>
      <c r="S4" s="3484"/>
      <c r="T4" s="3483" t="s">
        <v>1028</v>
      </c>
      <c r="U4" s="3484"/>
      <c r="V4" s="3459" t="s">
        <v>1029</v>
      </c>
      <c r="W4" s="3459"/>
      <c r="X4" s="1177"/>
      <c r="Y4" s="3483" t="s">
        <v>1031</v>
      </c>
      <c r="Z4" s="3484"/>
      <c r="AA4" s="3474" t="s">
        <v>1027</v>
      </c>
      <c r="AB4" s="3475" t="s">
        <v>1028</v>
      </c>
      <c r="AC4" s="3474" t="s">
        <v>1029</v>
      </c>
    </row>
    <row r="5" spans="1:29" ht="15">
      <c r="A5" s="991"/>
      <c r="B5" s="992"/>
      <c r="C5" s="3447" t="s">
        <v>1032</v>
      </c>
      <c r="D5" s="3448"/>
      <c r="E5" s="3449" t="s">
        <v>1469</v>
      </c>
      <c r="F5" s="3450"/>
      <c r="G5" s="3447" t="s">
        <v>1470</v>
      </c>
      <c r="H5" s="3448"/>
      <c r="I5" s="3447" t="s">
        <v>1471</v>
      </c>
      <c r="J5" s="3448"/>
      <c r="K5" s="1133"/>
      <c r="L5" s="1134"/>
      <c r="M5" s="1135"/>
      <c r="N5" s="1135"/>
      <c r="O5" s="1135"/>
      <c r="P5" s="3479"/>
      <c r="Q5" s="3480"/>
      <c r="R5" s="3485"/>
      <c r="S5" s="3486"/>
      <c r="T5" s="3485"/>
      <c r="U5" s="3486"/>
      <c r="V5" s="3459"/>
      <c r="W5" s="3459"/>
      <c r="X5" s="1177"/>
      <c r="Y5" s="3485"/>
      <c r="Z5" s="3486"/>
      <c r="AA5" s="3475"/>
      <c r="AB5" s="3475"/>
      <c r="AC5" s="3475"/>
    </row>
    <row r="6" spans="1:29" ht="15">
      <c r="A6" s="993"/>
      <c r="B6" s="994"/>
      <c r="C6" s="3451" t="s">
        <v>1033</v>
      </c>
      <c r="D6" s="3452"/>
      <c r="E6" s="3453" t="s">
        <v>1033</v>
      </c>
      <c r="F6" s="3454"/>
      <c r="G6" s="3451" t="s">
        <v>1033</v>
      </c>
      <c r="H6" s="3452"/>
      <c r="I6" s="3451" t="s">
        <v>1033</v>
      </c>
      <c r="J6" s="3452"/>
      <c r="K6" s="1133" t="s">
        <v>1034</v>
      </c>
      <c r="L6" s="1134"/>
      <c r="M6" s="1135"/>
      <c r="N6" s="1135"/>
      <c r="O6" s="1135"/>
      <c r="P6" s="3481"/>
      <c r="Q6" s="3482"/>
      <c r="R6" s="3485"/>
      <c r="S6" s="3486"/>
      <c r="T6" s="3487"/>
      <c r="U6" s="3488"/>
      <c r="V6" s="3459"/>
      <c r="W6" s="3459"/>
      <c r="X6" s="1177"/>
      <c r="Y6" s="3487"/>
      <c r="Z6" s="3488"/>
      <c r="AA6" s="3476"/>
      <c r="AB6" s="3476"/>
      <c r="AC6" s="3476"/>
    </row>
    <row r="7" spans="1:29" s="970" customFormat="1" ht="15">
      <c r="A7" s="995" t="s">
        <v>1035</v>
      </c>
      <c r="B7" s="996"/>
      <c r="C7" s="997">
        <f>'数据-取费表'!B2</f>
        <v>44347</v>
      </c>
      <c r="D7" s="998">
        <v>100</v>
      </c>
      <c r="E7" s="999"/>
      <c r="F7" s="1000">
        <f>SUMIF(48:48,YEAR(E7)&amp;"-"&amp;MONTH(E7),49:49)</f>
        <v>0</v>
      </c>
      <c r="G7" s="999"/>
      <c r="H7" s="998">
        <f>SUMIF(48:48,YEAR(G7)&amp;"-"&amp;MONTH(G7),49:49)</f>
        <v>0</v>
      </c>
      <c r="I7" s="999"/>
      <c r="J7" s="998">
        <f>SUMIF(48:48,YEAR(I7)&amp;"-"&amp;MONTH(I7),49:49)</f>
        <v>0</v>
      </c>
      <c r="K7" s="1136"/>
      <c r="L7" s="1137"/>
      <c r="M7" s="1138"/>
      <c r="N7" s="1138"/>
      <c r="O7" s="1138"/>
      <c r="P7" s="3455" t="s">
        <v>1036</v>
      </c>
      <c r="Q7" s="3456"/>
      <c r="R7" s="1178" t="s">
        <v>1037</v>
      </c>
      <c r="S7" s="1179">
        <f t="shared" ref="S7:S14" si="0">F7</f>
        <v>0</v>
      </c>
      <c r="T7" s="1178" t="s">
        <v>1037</v>
      </c>
      <c r="U7" s="1179">
        <f t="shared" ref="U7:U14" si="1">H7</f>
        <v>0</v>
      </c>
      <c r="V7" s="1178" t="s">
        <v>1037</v>
      </c>
      <c r="W7" s="1179">
        <f t="shared" ref="W7:W14" si="2">J7</f>
        <v>0</v>
      </c>
      <c r="X7" s="1180"/>
      <c r="Y7" s="3455" t="s">
        <v>1036</v>
      </c>
      <c r="Z7" s="3457"/>
      <c r="AA7" s="1192" t="e">
        <f>D7/F7</f>
        <v>#DIV/0!</v>
      </c>
      <c r="AB7" s="1192" t="e">
        <f>D7/H7</f>
        <v>#DIV/0!</v>
      </c>
      <c r="AC7" s="1192" t="e">
        <f>D7/J7</f>
        <v>#DIV/0!</v>
      </c>
    </row>
    <row r="8" spans="1:29" s="970" customFormat="1" ht="15">
      <c r="A8" s="995" t="s">
        <v>1038</v>
      </c>
      <c r="B8" s="996"/>
      <c r="C8" s="1002" t="s">
        <v>1039</v>
      </c>
      <c r="D8" s="998">
        <v>100</v>
      </c>
      <c r="E8" s="1002"/>
      <c r="F8" s="1000">
        <f>SUMIF(51:51,E8,52:52)-SUMIF(51:51,C8,52:52)+100</f>
        <v>0</v>
      </c>
      <c r="G8" s="1002"/>
      <c r="H8" s="998">
        <f>SUMIF(51:51,G8,52:52)-SUMIF(51:51,C8,52:52)+100</f>
        <v>0</v>
      </c>
      <c r="I8" s="1002"/>
      <c r="J8" s="998">
        <f>SUMIF(51:51,I8,52:52)-SUMIF(51:51,C8,52:52)+100</f>
        <v>0</v>
      </c>
      <c r="K8" s="1136"/>
      <c r="L8" s="1137"/>
      <c r="M8" s="1138"/>
      <c r="N8" s="1138"/>
      <c r="O8" s="1138"/>
      <c r="P8" s="3455" t="s">
        <v>1041</v>
      </c>
      <c r="Q8" s="3457"/>
      <c r="R8" s="1178" t="s">
        <v>1037</v>
      </c>
      <c r="S8" s="1179">
        <f t="shared" si="0"/>
        <v>0</v>
      </c>
      <c r="T8" s="1178" t="s">
        <v>1037</v>
      </c>
      <c r="U8" s="1179">
        <f t="shared" si="1"/>
        <v>0</v>
      </c>
      <c r="V8" s="1178" t="s">
        <v>1037</v>
      </c>
      <c r="W8" s="1179">
        <f t="shared" si="2"/>
        <v>0</v>
      </c>
      <c r="X8" s="1180"/>
      <c r="Y8" s="3455" t="s">
        <v>1041</v>
      </c>
      <c r="Z8" s="3457"/>
      <c r="AA8" s="1192" t="e">
        <f t="shared" ref="AA8:AA36" si="3">D8/F8</f>
        <v>#DIV/0!</v>
      </c>
      <c r="AB8" s="1192" t="e">
        <f t="shared" ref="AB8:AB36" si="4">D8/H8</f>
        <v>#DIV/0!</v>
      </c>
      <c r="AC8" s="1192" t="e">
        <f t="shared" ref="AC8:AC36" si="5">D8/J8</f>
        <v>#DIV/0!</v>
      </c>
    </row>
    <row r="9" spans="1:29" s="970" customFormat="1">
      <c r="A9" s="1444" t="s">
        <v>1042</v>
      </c>
      <c r="B9" s="1445" t="s">
        <v>1043</v>
      </c>
      <c r="C9" s="1377"/>
      <c r="D9" s="1006">
        <v>100</v>
      </c>
      <c r="E9" s="1378"/>
      <c r="F9" s="1006">
        <f>SUMIF(53:53,E9,54:54)-SUMIF(53:53,C9,54:54)+100</f>
        <v>100</v>
      </c>
      <c r="G9" s="1446"/>
      <c r="H9" s="1006">
        <f>SUMIF(53:53,G9,54:54)-SUMIF(53:53,C9,54:54)+100</f>
        <v>100</v>
      </c>
      <c r="I9" s="1446"/>
      <c r="J9" s="1006">
        <f>SUMIF(53:53,I9,54:54)-SUMIF(53:53,C9,54:54)+100</f>
        <v>100</v>
      </c>
      <c r="K9" s="1136"/>
      <c r="L9" s="1137"/>
      <c r="M9" s="1138"/>
      <c r="N9" s="1138"/>
      <c r="O9" s="1138"/>
      <c r="P9" s="3458" t="s">
        <v>1045</v>
      </c>
      <c r="Q9" s="1182" t="str">
        <f t="shared" ref="Q9:Q14" si="6">B9</f>
        <v>用途</v>
      </c>
      <c r="R9" s="1178" t="s">
        <v>1037</v>
      </c>
      <c r="S9" s="1179">
        <f t="shared" si="0"/>
        <v>100</v>
      </c>
      <c r="T9" s="1178" t="s">
        <v>1037</v>
      </c>
      <c r="U9" s="1179">
        <f t="shared" si="1"/>
        <v>100</v>
      </c>
      <c r="V9" s="1178" t="s">
        <v>1037</v>
      </c>
      <c r="W9" s="1179">
        <f t="shared" si="2"/>
        <v>100</v>
      </c>
      <c r="X9" s="1180"/>
      <c r="Y9" s="3411" t="s">
        <v>1046</v>
      </c>
      <c r="Z9" s="1193" t="str">
        <f t="shared" ref="Z9:Z14" si="7">Q9</f>
        <v>用途</v>
      </c>
      <c r="AA9" s="1192">
        <f t="shared" si="3"/>
        <v>1</v>
      </c>
      <c r="AB9" s="1192">
        <f t="shared" si="4"/>
        <v>1</v>
      </c>
      <c r="AC9" s="1192">
        <f t="shared" si="5"/>
        <v>1</v>
      </c>
    </row>
    <row r="10" spans="1:29" s="971" customFormat="1" ht="27">
      <c r="A10" s="1447"/>
      <c r="B10" s="1448" t="s">
        <v>1047</v>
      </c>
      <c r="C10" s="1380"/>
      <c r="D10" s="1010">
        <v>100</v>
      </c>
      <c r="E10" s="1380"/>
      <c r="F10" s="1010">
        <f>SUMIF(55:55,E10,56:56)-SUMIF(55:55,C10,56:56)+100</f>
        <v>100</v>
      </c>
      <c r="G10" s="1449"/>
      <c r="H10" s="1010">
        <f>SUMIF(55:55,G10,56:56)-SUMIF(55:55,C10,56:56)+100</f>
        <v>100</v>
      </c>
      <c r="I10" s="1380"/>
      <c r="J10" s="1010">
        <f>SUMIF(55:55,I10,56:56)-SUMIF(55:55,C10,56:56)+100</f>
        <v>100</v>
      </c>
      <c r="K10" s="1153"/>
      <c r="L10" s="1141"/>
      <c r="M10" s="1142"/>
      <c r="N10" s="1142"/>
      <c r="O10" s="1142"/>
      <c r="P10" s="3458"/>
      <c r="Q10" s="1182" t="str">
        <f t="shared" si="6"/>
        <v>土地使用年限（年）</v>
      </c>
      <c r="R10" s="1178" t="s">
        <v>1037</v>
      </c>
      <c r="S10" s="1179">
        <f t="shared" si="0"/>
        <v>100</v>
      </c>
      <c r="T10" s="1178" t="s">
        <v>1037</v>
      </c>
      <c r="U10" s="1179">
        <f t="shared" si="1"/>
        <v>100</v>
      </c>
      <c r="V10" s="1178" t="s">
        <v>1037</v>
      </c>
      <c r="W10" s="1179">
        <f t="shared" si="2"/>
        <v>100</v>
      </c>
      <c r="X10" s="1180"/>
      <c r="Y10" s="3411"/>
      <c r="Z10" s="1193" t="str">
        <f t="shared" si="7"/>
        <v>土地使用年限（年）</v>
      </c>
      <c r="AA10" s="1192">
        <f t="shared" si="3"/>
        <v>1</v>
      </c>
      <c r="AB10" s="1192">
        <f t="shared" si="4"/>
        <v>1</v>
      </c>
      <c r="AC10" s="1192">
        <f t="shared" si="5"/>
        <v>1</v>
      </c>
    </row>
    <row r="11" spans="1:29" ht="15">
      <c r="A11" s="1450"/>
      <c r="B11" s="1451">
        <v>111</v>
      </c>
      <c r="C11" s="1009"/>
      <c r="D11" s="1010">
        <v>100</v>
      </c>
      <c r="E11" s="1009"/>
      <c r="F11" s="1010">
        <f>SUMIF(57:57,E11,58:58)-SUMIF(57:57,C11,58:58)+100</f>
        <v>100</v>
      </c>
      <c r="G11" s="1009"/>
      <c r="H11" s="1010">
        <f>SUMIF(57:57,G11,58:58)-SUMIF(57:57,C11,58:58)+100</f>
        <v>100</v>
      </c>
      <c r="I11" s="1009"/>
      <c r="J11" s="1010">
        <f>SUMIF(57:57,I11,58:58)-SUMIF(57:57,C11,58:58)+100</f>
        <v>100</v>
      </c>
      <c r="K11" s="1152"/>
      <c r="L11" s="1145"/>
      <c r="M11" s="1135"/>
      <c r="N11" s="1135"/>
      <c r="O11" s="1135"/>
      <c r="P11" s="3458"/>
      <c r="Q11" s="1182">
        <f t="shared" si="6"/>
        <v>111</v>
      </c>
      <c r="R11" s="1178" t="s">
        <v>1037</v>
      </c>
      <c r="S11" s="1179">
        <f t="shared" si="0"/>
        <v>100</v>
      </c>
      <c r="T11" s="1178" t="s">
        <v>1037</v>
      </c>
      <c r="U11" s="1179">
        <f t="shared" si="1"/>
        <v>100</v>
      </c>
      <c r="V11" s="1178" t="s">
        <v>1037</v>
      </c>
      <c r="W11" s="1179">
        <f t="shared" si="2"/>
        <v>100</v>
      </c>
      <c r="X11" s="1180"/>
      <c r="Y11" s="3411"/>
      <c r="Z11" s="1193">
        <f t="shared" si="7"/>
        <v>111</v>
      </c>
      <c r="AA11" s="1192">
        <f t="shared" si="3"/>
        <v>1</v>
      </c>
      <c r="AB11" s="1192">
        <f t="shared" si="4"/>
        <v>1</v>
      </c>
      <c r="AC11" s="1192">
        <f t="shared" si="5"/>
        <v>1</v>
      </c>
    </row>
    <row r="12" spans="1:29" s="970" customFormat="1" ht="15">
      <c r="A12" s="1452"/>
      <c r="B12" s="1451">
        <v>111</v>
      </c>
      <c r="C12" s="1009"/>
      <c r="D12" s="1016">
        <v>100</v>
      </c>
      <c r="E12" s="1009"/>
      <c r="F12" s="1010">
        <f>SUMIF(59:59,E12,60:60)-SUMIF(59:59,C12,60:60)+100</f>
        <v>100</v>
      </c>
      <c r="G12" s="1009"/>
      <c r="H12" s="1010">
        <f>SUMIF(59:59,G12,60:60)-SUMIF(59:59,C12,60:60)+100</f>
        <v>100</v>
      </c>
      <c r="I12" s="1009"/>
      <c r="J12" s="1010">
        <f>SUMIF(59:59,I12,60:60)-SUMIF(59:59,C12,60:60)+100</f>
        <v>100</v>
      </c>
      <c r="K12" s="1152"/>
      <c r="L12" s="1137"/>
      <c r="M12" s="1138"/>
      <c r="N12" s="1138"/>
      <c r="O12" s="1138"/>
      <c r="P12" s="3458"/>
      <c r="Q12" s="1182">
        <f t="shared" si="6"/>
        <v>111</v>
      </c>
      <c r="R12" s="1178" t="s">
        <v>1037</v>
      </c>
      <c r="S12" s="1179">
        <f t="shared" si="0"/>
        <v>100</v>
      </c>
      <c r="T12" s="1178" t="s">
        <v>1037</v>
      </c>
      <c r="U12" s="1179">
        <f t="shared" si="1"/>
        <v>100</v>
      </c>
      <c r="V12" s="1178" t="s">
        <v>1037</v>
      </c>
      <c r="W12" s="1179">
        <f t="shared" si="2"/>
        <v>100</v>
      </c>
      <c r="X12" s="1180"/>
      <c r="Y12" s="3411"/>
      <c r="Z12" s="1193">
        <f t="shared" si="7"/>
        <v>111</v>
      </c>
      <c r="AA12" s="1192">
        <f t="shared" si="3"/>
        <v>1</v>
      </c>
      <c r="AB12" s="1192">
        <f t="shared" si="4"/>
        <v>1</v>
      </c>
      <c r="AC12" s="1192">
        <f t="shared" si="5"/>
        <v>1</v>
      </c>
    </row>
    <row r="13" spans="1:29" ht="15">
      <c r="A13" s="1453"/>
      <c r="B13" s="1451">
        <v>111</v>
      </c>
      <c r="C13" s="1019"/>
      <c r="D13" s="1020">
        <v>100</v>
      </c>
      <c r="E13" s="1009"/>
      <c r="F13" s="1010">
        <f>SUMIF(61:61,E13,62:62)-SUMIF(61:61,C13,62:62)+100</f>
        <v>100</v>
      </c>
      <c r="G13" s="1009"/>
      <c r="H13" s="1020">
        <f>SUMIF(61:61,G13,62:62)-SUMIF(61:61,C13,62:62)+100</f>
        <v>100</v>
      </c>
      <c r="I13" s="1009"/>
      <c r="J13" s="1020">
        <f>SUMIF(61:61,I13,62:62)-SUMIF(61:61,C13,62:62)+100</f>
        <v>100</v>
      </c>
      <c r="K13" s="1152"/>
      <c r="L13" s="1147"/>
      <c r="M13" s="1135"/>
      <c r="N13" s="1135"/>
      <c r="O13" s="1135"/>
      <c r="P13" s="3458"/>
      <c r="Q13" s="1182">
        <f t="shared" si="6"/>
        <v>111</v>
      </c>
      <c r="R13" s="1178" t="s">
        <v>1037</v>
      </c>
      <c r="S13" s="1179">
        <f t="shared" si="0"/>
        <v>100</v>
      </c>
      <c r="T13" s="1178" t="s">
        <v>1037</v>
      </c>
      <c r="U13" s="1179">
        <f t="shared" si="1"/>
        <v>100</v>
      </c>
      <c r="V13" s="1178" t="s">
        <v>1037</v>
      </c>
      <c r="W13" s="1179">
        <f t="shared" si="2"/>
        <v>100</v>
      </c>
      <c r="X13" s="1180"/>
      <c r="Y13" s="3411"/>
      <c r="Z13" s="1193">
        <f t="shared" si="7"/>
        <v>111</v>
      </c>
      <c r="AA13" s="1192">
        <f t="shared" si="3"/>
        <v>1</v>
      </c>
      <c r="AB13" s="1192">
        <f t="shared" si="4"/>
        <v>1</v>
      </c>
      <c r="AC13" s="1192">
        <f t="shared" si="5"/>
        <v>1</v>
      </c>
    </row>
    <row r="14" spans="1:29" ht="156.75">
      <c r="A14" s="989" t="s">
        <v>1051</v>
      </c>
      <c r="B14" s="1026" t="s">
        <v>1056</v>
      </c>
      <c r="C14" s="1027"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1028">
        <v>100</v>
      </c>
      <c r="E14" s="1029"/>
      <c r="F14" s="1384">
        <f>SUMIF(63:63,E15,64:64)-SUMIF(63:63,C15,64:64)+100</f>
        <v>100</v>
      </c>
      <c r="G14" s="1148"/>
      <c r="H14" s="1028">
        <f>SUMIF(63:63,G15,64:64)-SUMIF(63:63,C15,64:64)+100</f>
        <v>100</v>
      </c>
      <c r="I14" s="1029"/>
      <c r="J14" s="1028">
        <f>SUMIF(63:63,I15,64:64)-SUMIF(63:63,C15,64:64)+100</f>
        <v>100</v>
      </c>
      <c r="K14" s="1423"/>
      <c r="L14" s="1147"/>
      <c r="M14" s="1135"/>
      <c r="N14" s="1135"/>
      <c r="O14" s="1135"/>
      <c r="P14" s="3466" t="s">
        <v>1053</v>
      </c>
      <c r="Q14" s="746" t="str">
        <f t="shared" si="6"/>
        <v>交通便捷度</v>
      </c>
      <c r="R14" s="1183" t="s">
        <v>1037</v>
      </c>
      <c r="S14" s="1184">
        <f t="shared" si="0"/>
        <v>100</v>
      </c>
      <c r="T14" s="1183" t="s">
        <v>1037</v>
      </c>
      <c r="U14" s="1184">
        <f t="shared" si="1"/>
        <v>100</v>
      </c>
      <c r="V14" s="1183" t="s">
        <v>1037</v>
      </c>
      <c r="W14" s="1184">
        <f t="shared" si="2"/>
        <v>100</v>
      </c>
      <c r="X14" s="1177"/>
      <c r="Y14" s="3466" t="s">
        <v>1053</v>
      </c>
      <c r="Z14" s="1167" t="str">
        <f t="shared" si="7"/>
        <v>交通便捷度</v>
      </c>
      <c r="AA14" s="1194">
        <f t="shared" si="3"/>
        <v>1</v>
      </c>
      <c r="AB14" s="1194">
        <f t="shared" si="4"/>
        <v>1</v>
      </c>
      <c r="AC14" s="1194">
        <f t="shared" si="5"/>
        <v>1</v>
      </c>
    </row>
    <row r="15" spans="1:29" ht="15">
      <c r="A15" s="991"/>
      <c r="B15" s="1454"/>
      <c r="C15" s="1031"/>
      <c r="D15" s="1032"/>
      <c r="E15" s="1031"/>
      <c r="F15" s="1385"/>
      <c r="G15" s="1031"/>
      <c r="H15" s="1034"/>
      <c r="I15" s="1031"/>
      <c r="J15" s="1032"/>
      <c r="K15" s="1424"/>
      <c r="L15" s="1147"/>
      <c r="M15" s="1135"/>
      <c r="N15" s="1135"/>
      <c r="O15" s="1135"/>
      <c r="P15" s="3467"/>
      <c r="Q15" s="746"/>
      <c r="R15" s="1183"/>
      <c r="S15" s="1184"/>
      <c r="T15" s="1183"/>
      <c r="U15" s="1184"/>
      <c r="V15" s="1183"/>
      <c r="W15" s="1184"/>
      <c r="X15" s="1177"/>
      <c r="Y15" s="3467"/>
      <c r="Z15" s="1167"/>
      <c r="AA15" s="1194">
        <v>1</v>
      </c>
      <c r="AB15" s="1194">
        <v>1</v>
      </c>
      <c r="AC15" s="1194">
        <v>1</v>
      </c>
    </row>
    <row r="16" spans="1:29" ht="199.5">
      <c r="A16" s="991"/>
      <c r="B16" s="1035" t="s">
        <v>1057</v>
      </c>
      <c r="C16" s="1036"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1038">
        <v>100</v>
      </c>
      <c r="E16" s="1324"/>
      <c r="F16" s="1386">
        <f>SUMIF(65:65,E17,66:66)-SUMIF(65:65,C17,66:66)+100</f>
        <v>100</v>
      </c>
      <c r="G16" s="1340"/>
      <c r="H16" s="1038">
        <f>SUMIF(65:65,G17,66:66)-SUMIF(65:65,C17,66:66)+100</f>
        <v>100</v>
      </c>
      <c r="I16" s="1324"/>
      <c r="J16" s="1038">
        <f>SUMIF(65:65,I17,66:66)-SUMIF(65:65,C17,66:66)+100</f>
        <v>100</v>
      </c>
      <c r="K16" s="1423"/>
      <c r="L16" s="1147"/>
      <c r="M16" s="1135"/>
      <c r="N16" s="1135"/>
      <c r="O16" s="1135"/>
      <c r="P16" s="3467"/>
      <c r="Q16" s="746" t="str">
        <f>B16</f>
        <v>公共配套设施</v>
      </c>
      <c r="R16" s="1183" t="s">
        <v>1037</v>
      </c>
      <c r="S16" s="1184">
        <f>F16</f>
        <v>100</v>
      </c>
      <c r="T16" s="1183" t="s">
        <v>1037</v>
      </c>
      <c r="U16" s="1184">
        <f>H16</f>
        <v>100</v>
      </c>
      <c r="V16" s="1183" t="s">
        <v>1037</v>
      </c>
      <c r="W16" s="1184">
        <f>J16</f>
        <v>100</v>
      </c>
      <c r="X16" s="1177"/>
      <c r="Y16" s="3467"/>
      <c r="Z16" s="1167" t="str">
        <f>Q16</f>
        <v>公共配套设施</v>
      </c>
      <c r="AA16" s="1194">
        <f t="shared" si="3"/>
        <v>1</v>
      </c>
      <c r="AB16" s="1194">
        <f t="shared" si="4"/>
        <v>1</v>
      </c>
      <c r="AC16" s="1194">
        <f t="shared" si="5"/>
        <v>1</v>
      </c>
    </row>
    <row r="17" spans="1:29" ht="15">
      <c r="A17" s="991"/>
      <c r="B17" s="1039"/>
      <c r="C17" s="1322"/>
      <c r="D17" s="1032"/>
      <c r="E17" s="1031"/>
      <c r="F17" s="1385"/>
      <c r="G17" s="1031"/>
      <c r="H17" s="1032"/>
      <c r="I17" s="1031"/>
      <c r="J17" s="1032"/>
      <c r="K17" s="1424"/>
      <c r="L17" s="1147"/>
      <c r="M17" s="1135"/>
      <c r="N17" s="1135"/>
      <c r="O17" s="1135"/>
      <c r="P17" s="3467"/>
      <c r="Q17" s="746"/>
      <c r="R17" s="1183"/>
      <c r="S17" s="1184"/>
      <c r="T17" s="1183"/>
      <c r="U17" s="1184"/>
      <c r="V17" s="1183"/>
      <c r="W17" s="1184"/>
      <c r="X17" s="1177"/>
      <c r="Y17" s="3467"/>
      <c r="Z17" s="1167"/>
      <c r="AA17" s="1194">
        <v>1</v>
      </c>
      <c r="AB17" s="1194">
        <v>1</v>
      </c>
      <c r="AC17" s="1194">
        <v>1</v>
      </c>
    </row>
    <row r="18" spans="1:29" ht="42.75">
      <c r="A18" s="991"/>
      <c r="B18" s="1042" t="s">
        <v>1058</v>
      </c>
      <c r="C18" s="1036" t="str">
        <f>IF(B1="工业",估价对象房地状况!G6,估价对象房地状况!C8)</f>
        <v>估价对象所在区域基础设施水平为七通一平</v>
      </c>
      <c r="D18" s="1034">
        <v>100</v>
      </c>
      <c r="E18" s="1037"/>
      <c r="F18" s="1386">
        <f>SUMIF(67:67,E19,68:68)-SUMIF(67:67,C19,68:68)+100</f>
        <v>100</v>
      </c>
      <c r="G18" s="1149"/>
      <c r="H18" s="1038">
        <f>SUMIF(67:67,G19,68:68)-SUMIF(67:67,C19,68:68)+100</f>
        <v>100</v>
      </c>
      <c r="I18" s="1037"/>
      <c r="J18" s="1038">
        <f>SUMIF(67:67,I19,68:68)-SUMIF(67:67,C19,68:68)+100</f>
        <v>100</v>
      </c>
      <c r="K18" s="1423"/>
      <c r="L18" s="1147"/>
      <c r="M18" s="1135"/>
      <c r="N18" s="1135"/>
      <c r="O18" s="1135"/>
      <c r="P18" s="3467"/>
      <c r="Q18" s="746" t="str">
        <f>B18</f>
        <v>基础设施水平</v>
      </c>
      <c r="R18" s="1183" t="s">
        <v>1037</v>
      </c>
      <c r="S18" s="1184">
        <f>F18</f>
        <v>100</v>
      </c>
      <c r="T18" s="1183" t="s">
        <v>1037</v>
      </c>
      <c r="U18" s="1184">
        <f>H18</f>
        <v>100</v>
      </c>
      <c r="V18" s="1183" t="s">
        <v>1037</v>
      </c>
      <c r="W18" s="1184">
        <f>J18</f>
        <v>100</v>
      </c>
      <c r="X18" s="1177"/>
      <c r="Y18" s="3467"/>
      <c r="Z18" s="1167" t="str">
        <f>Q18</f>
        <v>基础设施水平</v>
      </c>
      <c r="AA18" s="1194">
        <f t="shared" ref="AA18" si="8">D18/F18</f>
        <v>1</v>
      </c>
      <c r="AB18" s="1194">
        <f t="shared" ref="AB18" si="9">D18/H18</f>
        <v>1</v>
      </c>
      <c r="AC18" s="1194">
        <f t="shared" ref="AC18" si="10">D18/J18</f>
        <v>1</v>
      </c>
    </row>
    <row r="19" spans="1:29" ht="15">
      <c r="A19" s="991"/>
      <c r="B19" s="1042"/>
      <c r="C19" s="1322"/>
      <c r="D19" s="1034"/>
      <c r="E19" s="1322"/>
      <c r="F19" s="1387"/>
      <c r="G19" s="1322"/>
      <c r="H19" s="1032"/>
      <c r="I19" s="1031"/>
      <c r="J19" s="1032"/>
      <c r="K19" s="1425"/>
      <c r="L19" s="1147"/>
      <c r="M19" s="1135"/>
      <c r="N19" s="1135"/>
      <c r="O19" s="1135"/>
      <c r="P19" s="3467"/>
      <c r="Q19" s="746"/>
      <c r="R19" s="1183"/>
      <c r="S19" s="1184"/>
      <c r="T19" s="1183"/>
      <c r="U19" s="1184"/>
      <c r="V19" s="1183"/>
      <c r="W19" s="1184"/>
      <c r="X19" s="1177"/>
      <c r="Y19" s="3467"/>
      <c r="Z19" s="1167"/>
      <c r="AA19" s="1194">
        <v>1</v>
      </c>
      <c r="AB19" s="1194">
        <v>1</v>
      </c>
      <c r="AC19" s="1194">
        <v>1</v>
      </c>
    </row>
    <row r="20" spans="1:29" ht="114">
      <c r="A20" s="991"/>
      <c r="B20" s="1035" t="s">
        <v>1059</v>
      </c>
      <c r="C20" s="1036" t="str">
        <f>IF(B1="工业",估价对象房地状况!G7,估价对象房地状况!C9)</f>
        <v>估计对象周边有昌平公园、学府等自然环境景观，有北京昌平卫生学校、中国石油大学等人文环境；综合评价环境状况较好。</v>
      </c>
      <c r="D20" s="1038">
        <v>100</v>
      </c>
      <c r="E20" s="1324"/>
      <c r="F20" s="1386">
        <f>SUMIF(69:69,E21,70:70)-SUMIF(69:69,C21,70:70)+100</f>
        <v>100</v>
      </c>
      <c r="G20" s="1340"/>
      <c r="H20" s="1034">
        <f>SUMIF(69:69,G21,70:70)-SUMIF(69:69,C21,70:70)+100</f>
        <v>100</v>
      </c>
      <c r="I20" s="1037"/>
      <c r="J20" s="1034">
        <f>SUMIF(69:69,I21,70:70)-SUMIF(69:69,C21,70:70)+100</f>
        <v>100</v>
      </c>
      <c r="K20" s="1423"/>
      <c r="L20" s="1147"/>
      <c r="M20" s="1135"/>
      <c r="N20" s="1135"/>
      <c r="O20" s="1135"/>
      <c r="P20" s="3467"/>
      <c r="Q20" s="746" t="str">
        <f>B20</f>
        <v>自然及人文环境</v>
      </c>
      <c r="R20" s="1183" t="s">
        <v>1037</v>
      </c>
      <c r="S20" s="1184">
        <f>F20</f>
        <v>100</v>
      </c>
      <c r="T20" s="1183" t="s">
        <v>1037</v>
      </c>
      <c r="U20" s="1184">
        <f>H20</f>
        <v>100</v>
      </c>
      <c r="V20" s="1183" t="s">
        <v>1037</v>
      </c>
      <c r="W20" s="1184">
        <f>J20</f>
        <v>100</v>
      </c>
      <c r="X20" s="1177"/>
      <c r="Y20" s="3467"/>
      <c r="Z20" s="1167" t="str">
        <f>Q20</f>
        <v>自然及人文环境</v>
      </c>
      <c r="AA20" s="1194">
        <f t="shared" si="3"/>
        <v>1</v>
      </c>
      <c r="AB20" s="1194">
        <f t="shared" si="4"/>
        <v>1</v>
      </c>
      <c r="AC20" s="1194">
        <f t="shared" si="5"/>
        <v>1</v>
      </c>
    </row>
    <row r="21" spans="1:29" ht="15">
      <c r="A21" s="991"/>
      <c r="B21" s="1039"/>
      <c r="C21" s="1031"/>
      <c r="D21" s="1032"/>
      <c r="E21" s="1031"/>
      <c r="F21" s="1385"/>
      <c r="G21" s="1031"/>
      <c r="H21" s="1032"/>
      <c r="I21" s="1031"/>
      <c r="J21" s="1032"/>
      <c r="K21" s="1424"/>
      <c r="L21" s="1147"/>
      <c r="M21" s="1135"/>
      <c r="N21" s="1135"/>
      <c r="O21" s="1135"/>
      <c r="P21" s="3467"/>
      <c r="Q21" s="746"/>
      <c r="R21" s="1183"/>
      <c r="S21" s="1184"/>
      <c r="T21" s="1183"/>
      <c r="U21" s="1184"/>
      <c r="V21" s="1183"/>
      <c r="W21" s="1184"/>
      <c r="X21" s="1177"/>
      <c r="Y21" s="3467"/>
      <c r="Z21" s="1167"/>
      <c r="AA21" s="1194">
        <v>1</v>
      </c>
      <c r="AB21" s="1194">
        <v>1</v>
      </c>
      <c r="AC21" s="1194">
        <v>1</v>
      </c>
    </row>
    <row r="22" spans="1:29" ht="15">
      <c r="A22" s="991"/>
      <c r="B22" s="1035" t="s">
        <v>1476</v>
      </c>
      <c r="C22" s="1045"/>
      <c r="D22" s="1034">
        <v>100</v>
      </c>
      <c r="E22" s="1045"/>
      <c r="F22" s="1388">
        <f>SUMIF(71:71,E22,72:72)-SUMIF(71:71,C22,72:72)+100</f>
        <v>100</v>
      </c>
      <c r="G22" s="1045"/>
      <c r="H22" s="1020">
        <f>SUMIF(71:71,G22,72:72)-SUMIF(71:71,C22,72:72)+100</f>
        <v>100</v>
      </c>
      <c r="I22" s="1045"/>
      <c r="J22" s="1020">
        <f>SUMIF(71:71,I22,72:72)-SUMIF(71:71,C22,72:72)+100</f>
        <v>100</v>
      </c>
      <c r="K22" s="1153"/>
      <c r="L22" s="1147"/>
      <c r="M22" s="1135"/>
      <c r="N22" s="1135"/>
      <c r="O22" s="1135"/>
      <c r="P22" s="3467"/>
      <c r="Q22" s="746" t="str">
        <f>B22</f>
        <v>楼层</v>
      </c>
      <c r="R22" s="1183" t="s">
        <v>1037</v>
      </c>
      <c r="S22" s="1184">
        <f>F22</f>
        <v>100</v>
      </c>
      <c r="T22" s="1183" t="s">
        <v>1037</v>
      </c>
      <c r="U22" s="1184">
        <f>H22</f>
        <v>100</v>
      </c>
      <c r="V22" s="1183" t="s">
        <v>1037</v>
      </c>
      <c r="W22" s="1184">
        <f>J22</f>
        <v>100</v>
      </c>
      <c r="X22" s="1177"/>
      <c r="Y22" s="3467"/>
      <c r="Z22" s="1167" t="str">
        <f>Q22</f>
        <v>楼层</v>
      </c>
      <c r="AA22" s="1194">
        <f t="shared" si="3"/>
        <v>1</v>
      </c>
      <c r="AB22" s="1194">
        <f t="shared" si="4"/>
        <v>1</v>
      </c>
      <c r="AC22" s="1194">
        <f t="shared" si="5"/>
        <v>1</v>
      </c>
    </row>
    <row r="23" spans="1:29" ht="15">
      <c r="A23" s="991"/>
      <c r="B23" s="1455">
        <v>111</v>
      </c>
      <c r="C23" s="1009"/>
      <c r="D23" s="1020">
        <v>100</v>
      </c>
      <c r="E23" s="1009"/>
      <c r="F23" s="1388">
        <f>SUMIF(73:73,E23,74:74)-SUMIF(73:73,C23,74:74)+100</f>
        <v>100</v>
      </c>
      <c r="G23" s="1009"/>
      <c r="H23" s="1020">
        <f>SUMIF(73:73,G23,74:74)-SUMIF(73:73,C23,74:74)+100</f>
        <v>100</v>
      </c>
      <c r="I23" s="1009"/>
      <c r="J23" s="1020">
        <f>SUMIF(73:73,I23,74:74)-SUMIF(73:73,C23,74:74)+100</f>
        <v>100</v>
      </c>
      <c r="K23" s="1152"/>
      <c r="L23" s="1147"/>
      <c r="M23" s="1135"/>
      <c r="N23" s="1135"/>
      <c r="O23" s="1135"/>
      <c r="P23" s="3467"/>
      <c r="Q23" s="746">
        <f>B23</f>
        <v>111</v>
      </c>
      <c r="R23" s="1183" t="s">
        <v>1037</v>
      </c>
      <c r="S23" s="1184">
        <f>F23</f>
        <v>100</v>
      </c>
      <c r="T23" s="1183" t="s">
        <v>1037</v>
      </c>
      <c r="U23" s="1184">
        <f>H23</f>
        <v>100</v>
      </c>
      <c r="V23" s="1183" t="s">
        <v>1037</v>
      </c>
      <c r="W23" s="1184">
        <f>J23</f>
        <v>100</v>
      </c>
      <c r="X23" s="1177"/>
      <c r="Y23" s="3467"/>
      <c r="Z23" s="1167">
        <f>Q23</f>
        <v>111</v>
      </c>
      <c r="AA23" s="1194">
        <f t="shared" si="3"/>
        <v>1</v>
      </c>
      <c r="AB23" s="1194">
        <f t="shared" si="4"/>
        <v>1</v>
      </c>
      <c r="AC23" s="1194">
        <f t="shared" si="5"/>
        <v>1</v>
      </c>
    </row>
    <row r="24" spans="1:29" ht="15">
      <c r="A24" s="991"/>
      <c r="B24" s="1455">
        <v>111</v>
      </c>
      <c r="C24" s="1009"/>
      <c r="D24" s="1020">
        <v>100</v>
      </c>
      <c r="E24" s="1009"/>
      <c r="F24" s="1388">
        <f>SUMIF(75:75,E24,76:76)-SUMIF(75:75,C24,76:76)+100</f>
        <v>100</v>
      </c>
      <c r="G24" s="1009"/>
      <c r="H24" s="1020">
        <f>SUMIF(75:75,G24,76:76)-SUMIF(75:75,C24,76:76)+100</f>
        <v>100</v>
      </c>
      <c r="I24" s="1009"/>
      <c r="J24" s="1020">
        <f>SUMIF(75:75,I24,76:76)-SUMIF(75:75,C24,76:76)+100</f>
        <v>100</v>
      </c>
      <c r="K24" s="1152"/>
      <c r="L24" s="1147"/>
      <c r="M24" s="1135"/>
      <c r="N24" s="1135"/>
      <c r="O24" s="1135"/>
      <c r="P24" s="3467"/>
      <c r="Q24" s="746">
        <f t="shared" ref="Q24:Q36" si="11">B24</f>
        <v>111</v>
      </c>
      <c r="R24" s="1183" t="s">
        <v>1037</v>
      </c>
      <c r="S24" s="1184">
        <f>F24</f>
        <v>100</v>
      </c>
      <c r="T24" s="1183" t="s">
        <v>1037</v>
      </c>
      <c r="U24" s="1184">
        <f>H24</f>
        <v>100</v>
      </c>
      <c r="V24" s="1183" t="s">
        <v>1037</v>
      </c>
      <c r="W24" s="1184">
        <f>J24</f>
        <v>100</v>
      </c>
      <c r="X24" s="1177"/>
      <c r="Y24" s="3467"/>
      <c r="Z24" s="1167">
        <f>Q24</f>
        <v>111</v>
      </c>
      <c r="AA24" s="1194">
        <f t="shared" si="3"/>
        <v>1</v>
      </c>
      <c r="AB24" s="1194">
        <f t="shared" si="4"/>
        <v>1</v>
      </c>
      <c r="AC24" s="1194">
        <f t="shared" si="5"/>
        <v>1</v>
      </c>
    </row>
    <row r="25" spans="1:29" s="970" customFormat="1" ht="15">
      <c r="A25" s="1041"/>
      <c r="B25" s="1456">
        <v>111</v>
      </c>
      <c r="C25" s="1023"/>
      <c r="D25" s="1457">
        <v>100</v>
      </c>
      <c r="E25" s="1458"/>
      <c r="F25" s="1459">
        <f>SUMIF(77:77,E25,78:78)-SUMIF(77:77,C25,78:78)+100</f>
        <v>100</v>
      </c>
      <c r="G25" s="1458"/>
      <c r="H25" s="1457">
        <f>SUMIF(77:77,G25,78:78)-SUMIF(77:77,C25,78:78)+100</f>
        <v>100</v>
      </c>
      <c r="I25" s="1458"/>
      <c r="J25" s="1457">
        <f>SUMIF(77:77,I25,78:78)-SUMIF(77:77,C25,78:78)+100</f>
        <v>100</v>
      </c>
      <c r="K25" s="1152"/>
      <c r="L25" s="1137"/>
      <c r="M25" s="1138"/>
      <c r="N25" s="1138"/>
      <c r="O25" s="1138"/>
      <c r="P25" s="3467"/>
      <c r="Q25" s="1182">
        <f t="shared" si="11"/>
        <v>111</v>
      </c>
      <c r="R25" s="1178" t="s">
        <v>1037</v>
      </c>
      <c r="S25" s="1179">
        <f>F25</f>
        <v>100</v>
      </c>
      <c r="T25" s="1178" t="s">
        <v>1037</v>
      </c>
      <c r="U25" s="1179">
        <f>H25</f>
        <v>100</v>
      </c>
      <c r="V25" s="1178" t="s">
        <v>1037</v>
      </c>
      <c r="W25" s="1179">
        <f>J25</f>
        <v>100</v>
      </c>
      <c r="X25" s="1180"/>
      <c r="Y25" s="3467"/>
      <c r="Z25" s="1193">
        <f>Q25</f>
        <v>111</v>
      </c>
      <c r="AA25" s="1194">
        <f t="shared" si="3"/>
        <v>1</v>
      </c>
      <c r="AB25" s="1194">
        <f t="shared" si="4"/>
        <v>1</v>
      </c>
      <c r="AC25" s="1194">
        <f t="shared" si="5"/>
        <v>1</v>
      </c>
    </row>
    <row r="26" spans="1:29" ht="28.5">
      <c r="A26" s="1460" t="s">
        <v>1065</v>
      </c>
      <c r="B26" s="1461" t="s">
        <v>1497</v>
      </c>
      <c r="C26" s="1462">
        <f>B1</f>
        <v>0</v>
      </c>
      <c r="D26" s="1032">
        <v>100</v>
      </c>
      <c r="E26" s="1031"/>
      <c r="F26" s="1385">
        <f>SUMIF(79:79,E26,80:80)-SUMIF(79:79,C26,80:80)+100</f>
        <v>100</v>
      </c>
      <c r="G26" s="1031"/>
      <c r="H26" s="1032">
        <f>SUMIF(79:79,G26,80:80)-SUMIF(79:79,C26,80:80)+100</f>
        <v>100</v>
      </c>
      <c r="I26" s="1031"/>
      <c r="J26" s="1032">
        <f>SUMIF(79:79,I26,80:80)-SUMIF(79:79,C26,80:80)+100</f>
        <v>100</v>
      </c>
      <c r="K26" s="1153"/>
      <c r="L26" s="1147"/>
      <c r="M26" s="1135"/>
      <c r="N26" s="1135"/>
      <c r="O26" s="1135"/>
      <c r="P26" s="3504" t="s">
        <v>1068</v>
      </c>
      <c r="Q26" s="746" t="str">
        <f t="shared" si="11"/>
        <v>配套类型</v>
      </c>
      <c r="R26" s="1183" t="s">
        <v>1037</v>
      </c>
      <c r="S26" s="1184">
        <f t="shared" ref="S26:S36" si="12">F26</f>
        <v>100</v>
      </c>
      <c r="T26" s="1183" t="s">
        <v>1037</v>
      </c>
      <c r="U26" s="1184">
        <f t="shared" ref="U26:U36" si="13">H26</f>
        <v>100</v>
      </c>
      <c r="V26" s="1183" t="s">
        <v>1037</v>
      </c>
      <c r="W26" s="1184">
        <f t="shared" ref="W26:W36" si="14">J26</f>
        <v>100</v>
      </c>
      <c r="X26" s="1177"/>
      <c r="Y26" s="3468" t="s">
        <v>1068</v>
      </c>
      <c r="Z26" s="1167" t="str">
        <f t="shared" ref="Z26:Z36" si="15">Q26</f>
        <v>配套类型</v>
      </c>
      <c r="AA26" s="1194">
        <f t="shared" si="3"/>
        <v>1</v>
      </c>
      <c r="AB26" s="1194">
        <f t="shared" si="4"/>
        <v>1</v>
      </c>
      <c r="AC26" s="1194">
        <f t="shared" si="5"/>
        <v>1</v>
      </c>
    </row>
    <row r="27" spans="1:29" s="972" customFormat="1" ht="15">
      <c r="A27" s="1463"/>
      <c r="B27" s="1048" t="s">
        <v>1498</v>
      </c>
      <c r="C27" s="1464"/>
      <c r="D27" s="1010">
        <v>100</v>
      </c>
      <c r="E27" s="1464"/>
      <c r="F27" s="1388">
        <f>SUMIF(81:81,E27,82:82)-SUMIF(81:81,C27,82:82)+100</f>
        <v>100</v>
      </c>
      <c r="G27" s="1464"/>
      <c r="H27" s="1020">
        <f>SUMIF(81:81,G27,82:82)-SUMIF(81:81,C27,82:82)+100</f>
        <v>100</v>
      </c>
      <c r="I27" s="1464"/>
      <c r="J27" s="1020">
        <f>SUMIF(81:81,I27,82:82)-SUMIF(81:81,C27,82:82)+100</f>
        <v>100</v>
      </c>
      <c r="K27" s="1152"/>
      <c r="L27" s="1145"/>
      <c r="M27" s="1154"/>
      <c r="N27" s="1154"/>
      <c r="O27" s="1154"/>
      <c r="P27" s="3468"/>
      <c r="Q27" s="1427" t="str">
        <f t="shared" si="11"/>
        <v>项目停车位配比</v>
      </c>
      <c r="R27" s="1185" t="s">
        <v>1037</v>
      </c>
      <c r="S27" s="1186">
        <f t="shared" si="12"/>
        <v>100</v>
      </c>
      <c r="T27" s="1185" t="s">
        <v>1037</v>
      </c>
      <c r="U27" s="1186">
        <f t="shared" si="13"/>
        <v>100</v>
      </c>
      <c r="V27" s="1185" t="s">
        <v>1037</v>
      </c>
      <c r="W27" s="1186">
        <f t="shared" si="14"/>
        <v>100</v>
      </c>
      <c r="X27" s="1187"/>
      <c r="Y27" s="3468"/>
      <c r="Z27" s="1195" t="str">
        <f t="shared" si="15"/>
        <v>项目停车位配比</v>
      </c>
      <c r="AA27" s="1194">
        <f t="shared" si="3"/>
        <v>1</v>
      </c>
      <c r="AB27" s="1194">
        <f t="shared" si="4"/>
        <v>1</v>
      </c>
      <c r="AC27" s="1194">
        <f t="shared" si="5"/>
        <v>1</v>
      </c>
    </row>
    <row r="28" spans="1:29" ht="15">
      <c r="A28" s="1465"/>
      <c r="B28" s="1048" t="s">
        <v>1073</v>
      </c>
      <c r="C28" s="1398"/>
      <c r="D28" s="1020">
        <v>100</v>
      </c>
      <c r="E28" s="1398"/>
      <c r="F28" s="1388">
        <f>SUMIF(83:83,E28,84:84)-SUMIF(83:83,C28,84:84)+100</f>
        <v>100</v>
      </c>
      <c r="G28" s="1398"/>
      <c r="H28" s="1020">
        <f>SUMIF(83:83,G28,84:84)-SUMIF(83:83,C28,84:84)+100</f>
        <v>100</v>
      </c>
      <c r="I28" s="1398"/>
      <c r="J28" s="1020">
        <f>SUMIF(83:83,I28,84:84)-SUMIF(83:83,C28,84:84)+100</f>
        <v>100</v>
      </c>
      <c r="K28" s="1153"/>
      <c r="L28" s="1147"/>
      <c r="M28" s="1135"/>
      <c r="N28" s="1135"/>
      <c r="O28" s="1135"/>
      <c r="P28" s="3468"/>
      <c r="Q28" s="746" t="str">
        <f t="shared" si="11"/>
        <v>公共部分装修</v>
      </c>
      <c r="R28" s="1183" t="s">
        <v>1037</v>
      </c>
      <c r="S28" s="1184">
        <f t="shared" si="12"/>
        <v>100</v>
      </c>
      <c r="T28" s="1183" t="s">
        <v>1037</v>
      </c>
      <c r="U28" s="1184">
        <f t="shared" si="13"/>
        <v>100</v>
      </c>
      <c r="V28" s="1183" t="s">
        <v>1037</v>
      </c>
      <c r="W28" s="1184">
        <f t="shared" si="14"/>
        <v>100</v>
      </c>
      <c r="X28" s="1177"/>
      <c r="Y28" s="3468"/>
      <c r="Z28" s="1167" t="str">
        <f t="shared" si="15"/>
        <v>公共部分装修</v>
      </c>
      <c r="AA28" s="1194">
        <f t="shared" si="3"/>
        <v>1</v>
      </c>
      <c r="AB28" s="1194">
        <f t="shared" si="4"/>
        <v>1</v>
      </c>
      <c r="AC28" s="1194">
        <f t="shared" si="5"/>
        <v>1</v>
      </c>
    </row>
    <row r="29" spans="1:29" ht="15">
      <c r="A29" s="1465"/>
      <c r="B29" s="1048" t="s">
        <v>1499</v>
      </c>
      <c r="C29" s="1382"/>
      <c r="D29" s="1020">
        <v>100</v>
      </c>
      <c r="E29" s="1395"/>
      <c r="F29" s="1388" t="e">
        <f>LOOKUP(E29,86:86,87:87)-LOOKUP(C29,86:86,87:87)+100</f>
        <v>#N/A</v>
      </c>
      <c r="G29" s="1395"/>
      <c r="H29" s="1388" t="e">
        <f>LOOKUP(G29,86:86,87:87)-LOOKUP(C29,86:86,87:87)+100</f>
        <v>#N/A</v>
      </c>
      <c r="I29" s="1395"/>
      <c r="J29" s="1020" t="e">
        <f>LOOKUP(I29,86:86,87:87)-LOOKUP(C29,86:86,87:87)+100</f>
        <v>#N/A</v>
      </c>
      <c r="K29" s="1153"/>
      <c r="L29" s="1147"/>
      <c r="M29" s="1135"/>
      <c r="N29" s="1135"/>
      <c r="O29" s="1135"/>
      <c r="P29" s="3468"/>
      <c r="Q29" s="746" t="str">
        <f t="shared" si="11"/>
        <v>成新率</v>
      </c>
      <c r="R29" s="1183" t="s">
        <v>1037</v>
      </c>
      <c r="S29" s="1184" t="e">
        <f t="shared" si="12"/>
        <v>#N/A</v>
      </c>
      <c r="T29" s="1183" t="s">
        <v>1037</v>
      </c>
      <c r="U29" s="1184" t="e">
        <f t="shared" si="13"/>
        <v>#N/A</v>
      </c>
      <c r="V29" s="1183" t="s">
        <v>1037</v>
      </c>
      <c r="W29" s="1184" t="e">
        <f t="shared" si="14"/>
        <v>#N/A</v>
      </c>
      <c r="X29" s="1177"/>
      <c r="Y29" s="3468"/>
      <c r="Z29" s="1167" t="str">
        <f t="shared" si="15"/>
        <v>成新率</v>
      </c>
      <c r="AA29" s="1194" t="e">
        <f t="shared" si="3"/>
        <v>#N/A</v>
      </c>
      <c r="AB29" s="1194" t="e">
        <f t="shared" si="4"/>
        <v>#N/A</v>
      </c>
      <c r="AC29" s="1194" t="e">
        <f t="shared" si="5"/>
        <v>#N/A</v>
      </c>
    </row>
    <row r="30" spans="1:29" ht="15">
      <c r="A30" s="1465"/>
      <c r="B30" s="1048" t="s">
        <v>1500</v>
      </c>
      <c r="C30" s="1399"/>
      <c r="D30" s="1020">
        <v>100</v>
      </c>
      <c r="E30" s="1399"/>
      <c r="F30" s="1388">
        <f>SUMIF(88:88,E30,89:89)-SUMIF(88:88,C30,89:89)+100</f>
        <v>100</v>
      </c>
      <c r="G30" s="1399"/>
      <c r="H30" s="1020">
        <f>SUMIF(88:88,E30,89:89)-SUMIF(88:88,C30,89:89)+100</f>
        <v>100</v>
      </c>
      <c r="I30" s="1399"/>
      <c r="J30" s="1020">
        <f>SUMIF(88:88,E30,89:89)-SUMIF(88:88,C30,89:89)+100</f>
        <v>100</v>
      </c>
      <c r="K30" s="1153"/>
      <c r="L30" s="1147"/>
      <c r="M30" s="1135"/>
      <c r="N30" s="1135"/>
      <c r="O30" s="1135"/>
      <c r="P30" s="3468"/>
      <c r="Q30" s="746" t="str">
        <f t="shared" si="11"/>
        <v>物业等级</v>
      </c>
      <c r="R30" s="1183" t="s">
        <v>1037</v>
      </c>
      <c r="S30" s="1184">
        <f t="shared" si="12"/>
        <v>100</v>
      </c>
      <c r="T30" s="1183" t="s">
        <v>1037</v>
      </c>
      <c r="U30" s="1184">
        <f t="shared" si="13"/>
        <v>100</v>
      </c>
      <c r="V30" s="1183" t="s">
        <v>1037</v>
      </c>
      <c r="W30" s="1184">
        <f t="shared" si="14"/>
        <v>100</v>
      </c>
      <c r="X30" s="1177"/>
      <c r="Y30" s="3468"/>
      <c r="Z30" s="1167" t="str">
        <f t="shared" si="15"/>
        <v>物业等级</v>
      </c>
      <c r="AA30" s="1194">
        <f t="shared" si="3"/>
        <v>1</v>
      </c>
      <c r="AB30" s="1194">
        <f t="shared" si="4"/>
        <v>1</v>
      </c>
      <c r="AC30" s="1194">
        <f t="shared" si="5"/>
        <v>1</v>
      </c>
    </row>
    <row r="31" spans="1:29" s="970" customFormat="1" ht="15">
      <c r="A31" s="1466"/>
      <c r="B31" s="1048" t="s">
        <v>1501</v>
      </c>
      <c r="C31" s="1382"/>
      <c r="D31" s="1010">
        <v>100</v>
      </c>
      <c r="E31" s="1382"/>
      <c r="F31" s="1388" t="e">
        <f>LOOKUP(E31,91:91,92:92)-LOOKUP(C31,91:91,92:92)+100</f>
        <v>#N/A</v>
      </c>
      <c r="G31" s="1382"/>
      <c r="H31" s="1020" t="e">
        <f>LOOKUP(G31,91:91,92:92)-LOOKUP(C31,91:91,92:92)+100</f>
        <v>#N/A</v>
      </c>
      <c r="I31" s="1382"/>
      <c r="J31" s="1020" t="e">
        <f>LOOKUP(I31,91:91,92:92)-LOOKUP(C31,91:91,92:92)+100</f>
        <v>#N/A</v>
      </c>
      <c r="K31" s="1153"/>
      <c r="L31" s="1137"/>
      <c r="M31" s="1138"/>
      <c r="N31" s="1138"/>
      <c r="O31" s="1138"/>
      <c r="P31" s="3468"/>
      <c r="Q31" s="1182" t="str">
        <f t="shared" si="11"/>
        <v>停车位面积</v>
      </c>
      <c r="R31" s="1178" t="s">
        <v>1037</v>
      </c>
      <c r="S31" s="1179" t="e">
        <f t="shared" si="12"/>
        <v>#N/A</v>
      </c>
      <c r="T31" s="1178" t="s">
        <v>1037</v>
      </c>
      <c r="U31" s="1179" t="e">
        <f t="shared" si="13"/>
        <v>#N/A</v>
      </c>
      <c r="V31" s="1178" t="s">
        <v>1037</v>
      </c>
      <c r="W31" s="1179" t="e">
        <f t="shared" si="14"/>
        <v>#N/A</v>
      </c>
      <c r="X31" s="1180"/>
      <c r="Y31" s="3468"/>
      <c r="Z31" s="1193" t="str">
        <f t="shared" si="15"/>
        <v>停车位面积</v>
      </c>
      <c r="AA31" s="1192" t="e">
        <f t="shared" si="3"/>
        <v>#N/A</v>
      </c>
      <c r="AB31" s="1192" t="e">
        <f t="shared" si="4"/>
        <v>#N/A</v>
      </c>
      <c r="AC31" s="1192" t="e">
        <f t="shared" si="5"/>
        <v>#N/A</v>
      </c>
    </row>
    <row r="32" spans="1:29" ht="15">
      <c r="A32" s="1465"/>
      <c r="B32" s="1048" t="s">
        <v>1502</v>
      </c>
      <c r="C32" s="1398"/>
      <c r="D32" s="1020">
        <v>100</v>
      </c>
      <c r="E32" s="1398"/>
      <c r="F32" s="1388">
        <f>SUMIF(93:93,E32,94:94)-SUMIF(93:93,C32,94:94)+100</f>
        <v>100</v>
      </c>
      <c r="G32" s="1398"/>
      <c r="H32" s="1020">
        <f>SUMIF(93:93,G32,94:94)-SUMIF(93:93,C32,94:94)+100</f>
        <v>100</v>
      </c>
      <c r="I32" s="1398"/>
      <c r="J32" s="1020">
        <f>SUMIF(93:93,I32,94:94)-SUMIF(93:93,C32,94:94)+100</f>
        <v>100</v>
      </c>
      <c r="K32" s="1153"/>
      <c r="L32" s="1147"/>
      <c r="M32" s="1135"/>
      <c r="N32" s="1135"/>
      <c r="O32" s="1135"/>
      <c r="P32" s="3468" t="s">
        <v>1068</v>
      </c>
      <c r="Q32" s="746" t="str">
        <f t="shared" si="11"/>
        <v>车位类型</v>
      </c>
      <c r="R32" s="1183" t="s">
        <v>1037</v>
      </c>
      <c r="S32" s="1184">
        <f t="shared" si="12"/>
        <v>100</v>
      </c>
      <c r="T32" s="1183" t="s">
        <v>1037</v>
      </c>
      <c r="U32" s="1184">
        <f t="shared" si="13"/>
        <v>100</v>
      </c>
      <c r="V32" s="1183" t="s">
        <v>1037</v>
      </c>
      <c r="W32" s="1184">
        <f t="shared" si="14"/>
        <v>100</v>
      </c>
      <c r="X32" s="1177"/>
      <c r="Y32" s="3468" t="s">
        <v>1068</v>
      </c>
      <c r="Z32" s="1167" t="str">
        <f t="shared" si="15"/>
        <v>车位类型</v>
      </c>
      <c r="AA32" s="1194">
        <f t="shared" si="3"/>
        <v>1</v>
      </c>
      <c r="AB32" s="1194">
        <f t="shared" si="4"/>
        <v>1</v>
      </c>
      <c r="AC32" s="1194">
        <f t="shared" si="5"/>
        <v>1</v>
      </c>
    </row>
    <row r="33" spans="1:29" ht="15">
      <c r="A33" s="1465"/>
      <c r="B33" s="1048" t="s">
        <v>1503</v>
      </c>
      <c r="C33" s="1398"/>
      <c r="D33" s="1020">
        <v>100</v>
      </c>
      <c r="E33" s="1398"/>
      <c r="F33" s="1388">
        <f>SUMIF(95:95,E33,96:96)-SUMIF(95:95,C33,96:96)+100</f>
        <v>100</v>
      </c>
      <c r="G33" s="1398"/>
      <c r="H33" s="1020">
        <f>SUMIF(95:95,G33,96:96)-SUMIF(95:95,C33,96:96)+100</f>
        <v>100</v>
      </c>
      <c r="I33" s="1398"/>
      <c r="J33" s="1020">
        <f>SUMIF(95:95,I33,96:96)-SUMIF(95:95,C33,96:96)+100</f>
        <v>100</v>
      </c>
      <c r="K33" s="1153"/>
      <c r="L33" s="1147"/>
      <c r="M33" s="1135"/>
      <c r="N33" s="1135"/>
      <c r="O33" s="1135"/>
      <c r="P33" s="3468"/>
      <c r="Q33" s="746" t="str">
        <f t="shared" si="11"/>
        <v>是否直接入户</v>
      </c>
      <c r="R33" s="1183" t="s">
        <v>1037</v>
      </c>
      <c r="S33" s="1184">
        <f t="shared" si="12"/>
        <v>100</v>
      </c>
      <c r="T33" s="1183" t="s">
        <v>1037</v>
      </c>
      <c r="U33" s="1184">
        <f t="shared" si="13"/>
        <v>100</v>
      </c>
      <c r="V33" s="1183" t="s">
        <v>1037</v>
      </c>
      <c r="W33" s="1184">
        <f t="shared" si="14"/>
        <v>100</v>
      </c>
      <c r="X33" s="1177"/>
      <c r="Y33" s="3468"/>
      <c r="Z33" s="1167" t="str">
        <f t="shared" si="15"/>
        <v>是否直接入户</v>
      </c>
      <c r="AA33" s="1194">
        <f t="shared" si="3"/>
        <v>1</v>
      </c>
      <c r="AB33" s="1194">
        <f t="shared" si="4"/>
        <v>1</v>
      </c>
      <c r="AC33" s="1194">
        <f t="shared" si="5"/>
        <v>1</v>
      </c>
    </row>
    <row r="34" spans="1:29" ht="15">
      <c r="A34" s="1465"/>
      <c r="B34" s="1455">
        <v>111</v>
      </c>
      <c r="C34" s="1009"/>
      <c r="D34" s="1020">
        <v>100</v>
      </c>
      <c r="E34" s="1009"/>
      <c r="F34" s="1388">
        <f>SUMIF(97:97,E34,98:98)-SUMIF(97:97,C34,98:98)+100</f>
        <v>100</v>
      </c>
      <c r="G34" s="1009"/>
      <c r="H34" s="1020">
        <f>SUMIF(97:97,G34,98:98)-SUMIF(97:97,C34,98:98)+100</f>
        <v>100</v>
      </c>
      <c r="I34" s="1009"/>
      <c r="J34" s="1020">
        <f>SUMIF(97:97,I34,98:98)-SUMIF(97:97,C34,98:98)+100</f>
        <v>100</v>
      </c>
      <c r="K34" s="1152"/>
      <c r="L34" s="1147"/>
      <c r="M34" s="1135"/>
      <c r="N34" s="1135"/>
      <c r="O34" s="1135"/>
      <c r="P34" s="3468"/>
      <c r="Q34" s="746">
        <f t="shared" si="11"/>
        <v>111</v>
      </c>
      <c r="R34" s="1183" t="s">
        <v>1037</v>
      </c>
      <c r="S34" s="1184">
        <f t="shared" si="12"/>
        <v>100</v>
      </c>
      <c r="T34" s="1183" t="s">
        <v>1037</v>
      </c>
      <c r="U34" s="1184">
        <f t="shared" si="13"/>
        <v>100</v>
      </c>
      <c r="V34" s="1183" t="s">
        <v>1037</v>
      </c>
      <c r="W34" s="1184">
        <f t="shared" si="14"/>
        <v>100</v>
      </c>
      <c r="X34" s="1177"/>
      <c r="Y34" s="3468"/>
      <c r="Z34" s="1167">
        <f t="shared" si="15"/>
        <v>111</v>
      </c>
      <c r="AA34" s="1194">
        <f t="shared" si="3"/>
        <v>1</v>
      </c>
      <c r="AB34" s="1194">
        <f t="shared" si="4"/>
        <v>1</v>
      </c>
      <c r="AC34" s="1194">
        <f t="shared" si="5"/>
        <v>1</v>
      </c>
    </row>
    <row r="35" spans="1:29" s="972" customFormat="1" ht="15">
      <c r="A35" s="1463"/>
      <c r="B35" s="1455">
        <v>111</v>
      </c>
      <c r="C35" s="1009"/>
      <c r="D35" s="1020">
        <v>100</v>
      </c>
      <c r="E35" s="1009"/>
      <c r="F35" s="1388">
        <f>SUMIF(99:99,E35,100:100)-SUMIF(99:99,C35,100:100)+100</f>
        <v>100</v>
      </c>
      <c r="G35" s="1009"/>
      <c r="H35" s="1020">
        <f>SUMIF(99:99,G35,100:100)-SUMIF(99:99,C35,100:100)+100</f>
        <v>100</v>
      </c>
      <c r="I35" s="1009"/>
      <c r="J35" s="1020">
        <f>SUMIF(99:99,I35,100:100)-SUMIF(99:99,C35,100:100)+100</f>
        <v>100</v>
      </c>
      <c r="K35" s="1152"/>
      <c r="L35" s="1145"/>
      <c r="M35" s="1154"/>
      <c r="N35" s="1154"/>
      <c r="O35" s="1154"/>
      <c r="P35" s="3468"/>
      <c r="Q35" s="1427">
        <f t="shared" si="11"/>
        <v>111</v>
      </c>
      <c r="R35" s="1185" t="s">
        <v>1037</v>
      </c>
      <c r="S35" s="1186">
        <f t="shared" si="12"/>
        <v>100</v>
      </c>
      <c r="T35" s="1185" t="s">
        <v>1037</v>
      </c>
      <c r="U35" s="1186">
        <f t="shared" si="13"/>
        <v>100</v>
      </c>
      <c r="V35" s="1185" t="s">
        <v>1037</v>
      </c>
      <c r="W35" s="1186">
        <f t="shared" si="14"/>
        <v>100</v>
      </c>
      <c r="X35" s="1187"/>
      <c r="Y35" s="3468"/>
      <c r="Z35" s="1195">
        <f t="shared" si="15"/>
        <v>111</v>
      </c>
      <c r="AA35" s="1194">
        <f t="shared" si="3"/>
        <v>1</v>
      </c>
      <c r="AB35" s="1194">
        <f t="shared" si="4"/>
        <v>1</v>
      </c>
      <c r="AC35" s="1194">
        <f t="shared" si="5"/>
        <v>1</v>
      </c>
    </row>
    <row r="36" spans="1:29" ht="15">
      <c r="A36" s="1467"/>
      <c r="B36" s="1456">
        <v>111</v>
      </c>
      <c r="C36" s="1019"/>
      <c r="D36" s="1020">
        <v>100</v>
      </c>
      <c r="E36" s="1009"/>
      <c r="F36" s="1388">
        <f>SUMIF(101:101,E36,102:102)-SUMIF(101:101,C36,102:102)+100</f>
        <v>100</v>
      </c>
      <c r="G36" s="1009"/>
      <c r="H36" s="1020">
        <f>SUMIF(101:101,G36,102:102)-SUMIF(101:101,C36,102:102)+100</f>
        <v>100</v>
      </c>
      <c r="I36" s="1009"/>
      <c r="J36" s="1020">
        <f>SUMIF(101:101,I36,102:102)-SUMIF(101:101,C36,102:102)+100</f>
        <v>100</v>
      </c>
      <c r="K36" s="1152"/>
      <c r="L36" s="1147"/>
      <c r="M36" s="1135"/>
      <c r="N36" s="1135"/>
      <c r="O36" s="1135"/>
      <c r="P36" s="3468"/>
      <c r="Q36" s="746">
        <f t="shared" si="11"/>
        <v>111</v>
      </c>
      <c r="R36" s="1183" t="s">
        <v>1037</v>
      </c>
      <c r="S36" s="1184">
        <f t="shared" si="12"/>
        <v>100</v>
      </c>
      <c r="T36" s="1183" t="s">
        <v>1037</v>
      </c>
      <c r="U36" s="1184">
        <f t="shared" si="13"/>
        <v>100</v>
      </c>
      <c r="V36" s="1183" t="s">
        <v>1037</v>
      </c>
      <c r="W36" s="1184">
        <f t="shared" si="14"/>
        <v>100</v>
      </c>
      <c r="X36" s="1177"/>
      <c r="Y36" s="3468"/>
      <c r="Z36" s="1167">
        <f t="shared" si="15"/>
        <v>111</v>
      </c>
      <c r="AA36" s="1194">
        <f t="shared" si="3"/>
        <v>1</v>
      </c>
      <c r="AB36" s="1194">
        <f t="shared" si="4"/>
        <v>1</v>
      </c>
      <c r="AC36" s="1194">
        <f t="shared" si="5"/>
        <v>1</v>
      </c>
    </row>
    <row r="37" spans="1:29" ht="15">
      <c r="A37" s="1069" t="s">
        <v>1504</v>
      </c>
      <c r="B37" s="1468" t="s">
        <v>1505</v>
      </c>
      <c r="C37" s="1403" t="s">
        <v>124</v>
      </c>
      <c r="D37" s="1404"/>
      <c r="E37" s="1405"/>
      <c r="F37" s="1406"/>
      <c r="G37" s="1407"/>
      <c r="H37" s="1408"/>
      <c r="I37" s="1405"/>
      <c r="J37" s="1408"/>
      <c r="K37" s="1477"/>
      <c r="L37" s="1159"/>
      <c r="M37" s="1086"/>
      <c r="N37" s="1135"/>
      <c r="O37" s="1086"/>
      <c r="P37" s="3458" t="str">
        <f>A37</f>
        <v>成交单价</v>
      </c>
      <c r="Q37" s="3458"/>
      <c r="R37" s="3470">
        <f>E37</f>
        <v>0</v>
      </c>
      <c r="S37" s="3470"/>
      <c r="T37" s="3470">
        <f>G37</f>
        <v>0</v>
      </c>
      <c r="U37" s="3470"/>
      <c r="V37" s="3470">
        <f>I37</f>
        <v>0</v>
      </c>
      <c r="W37" s="3470"/>
      <c r="X37" s="1123"/>
      <c r="Y37" s="1196"/>
      <c r="Z37" s="1123"/>
      <c r="AA37" s="1123"/>
      <c r="AB37" s="1123"/>
      <c r="AC37" s="1123"/>
    </row>
    <row r="38" spans="1:29" ht="15">
      <c r="A38" s="1077" t="s">
        <v>1088</v>
      </c>
      <c r="B38" s="1409" t="str">
        <f>B37</f>
        <v>元/车位</v>
      </c>
      <c r="C38" s="1410" t="e">
        <f>R39</f>
        <v>#DIV/0!</v>
      </c>
      <c r="D38" s="1080" t="s">
        <v>1089</v>
      </c>
      <c r="E38" s="1411" t="e">
        <f>R38</f>
        <v>#DIV/0!</v>
      </c>
      <c r="F38" s="1081"/>
      <c r="G38" s="1410" t="e">
        <f>T38</f>
        <v>#DIV/0!</v>
      </c>
      <c r="H38" s="1081"/>
      <c r="I38" s="1411" t="e">
        <f>V38</f>
        <v>#DIV/0!</v>
      </c>
      <c r="J38" s="1081"/>
      <c r="K38" s="1160">
        <f>F38+H38+J38</f>
        <v>0</v>
      </c>
      <c r="L38" s="1159"/>
      <c r="M38" s="1086"/>
      <c r="N38" s="1086"/>
      <c r="O38" s="1086"/>
      <c r="P38" s="3458" t="str">
        <f>A38</f>
        <v>比较价值（元/平方米）</v>
      </c>
      <c r="Q38" s="3458"/>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123"/>
      <c r="Y38" s="1123"/>
      <c r="Z38" s="1123"/>
      <c r="AA38" s="1123"/>
      <c r="AB38" s="1123"/>
      <c r="AC38" s="1123"/>
    </row>
    <row r="39" spans="1:29" ht="15">
      <c r="A39" s="1083" t="s">
        <v>1506</v>
      </c>
      <c r="B39" s="1084"/>
      <c r="C39" s="1412" t="e">
        <f>R39</f>
        <v>#DIV/0!</v>
      </c>
      <c r="D39" s="1412"/>
      <c r="E39" s="1412"/>
      <c r="F39" s="1412"/>
      <c r="G39" s="1412"/>
      <c r="H39" s="1412"/>
      <c r="I39" s="1412"/>
      <c r="J39" s="1412"/>
      <c r="K39" s="1478"/>
      <c r="L39" s="1159"/>
      <c r="M39" s="1086"/>
      <c r="N39" s="1086"/>
      <c r="O39" s="1086"/>
      <c r="P39" s="3471" t="str">
        <f>A39</f>
        <v>估价对象XX用房的比较价值（楼面单价，元/平方米）</v>
      </c>
      <c r="Q39" s="3472"/>
      <c r="R39" s="3505" t="e">
        <f>IF(F1="售价",ROUND(IF(D38="简单平均",AVERAGE(R38:W38),R38*F38+T38*H38+V38*J38),0),ROUND(IF(D38="简单平均",AVERAGE(R38:V38),R38*F38+T38*H38+V38*J38),1))</f>
        <v>#DIV/0!</v>
      </c>
      <c r="S39" s="3505"/>
      <c r="T39" s="3505"/>
      <c r="U39" s="3505"/>
      <c r="V39" s="3505"/>
      <c r="W39" s="3505"/>
      <c r="X39" s="1123"/>
      <c r="Y39" s="1123"/>
      <c r="Z39" s="1123"/>
      <c r="AA39" s="1123"/>
      <c r="AB39" s="1123"/>
      <c r="AC39" s="1123"/>
    </row>
    <row r="40" spans="1:29">
      <c r="A40" s="1086"/>
      <c r="B40" s="1086"/>
      <c r="C40" s="1086"/>
      <c r="D40" s="1086"/>
      <c r="E40" s="1086"/>
      <c r="F40" s="1086"/>
      <c r="G40" s="1087"/>
      <c r="H40" s="1086"/>
      <c r="I40" s="1086"/>
      <c r="J40" s="1086"/>
      <c r="K40" s="1163"/>
      <c r="L40" s="1164"/>
      <c r="M40" s="1086"/>
      <c r="N40" s="1086"/>
      <c r="O40" s="1086"/>
      <c r="P40" s="1479"/>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163"/>
      <c r="L41" s="1164"/>
      <c r="M41" s="1086"/>
      <c r="N41" s="1086"/>
      <c r="O41" s="1086"/>
      <c r="P41" s="1479"/>
      <c r="Q41" s="1086"/>
      <c r="R41" s="1086"/>
      <c r="S41" s="1086"/>
      <c r="T41" s="1086"/>
      <c r="U41" s="1086"/>
      <c r="V41" s="1086"/>
      <c r="W41" s="1086"/>
      <c r="X41" s="1086"/>
      <c r="Y41" s="1086"/>
      <c r="Z41" s="1086"/>
      <c r="AA41" s="1086"/>
      <c r="AB41" s="1086"/>
      <c r="AC41" s="1086"/>
    </row>
    <row r="42" spans="1:29" ht="13.5" customHeight="1">
      <c r="A42" s="1086"/>
      <c r="B42" s="1086"/>
      <c r="C42" s="1088" t="s">
        <v>1091</v>
      </c>
      <c r="D42" s="788"/>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163"/>
      <c r="L42" s="1164"/>
      <c r="M42" s="1086"/>
      <c r="N42" s="1086"/>
      <c r="O42" s="1086"/>
      <c r="P42" s="1479"/>
      <c r="Q42" s="1086"/>
      <c r="R42" s="1086"/>
      <c r="S42" s="1086"/>
      <c r="T42" s="1086"/>
      <c r="U42" s="1086"/>
      <c r="V42" s="1086"/>
      <c r="W42" s="1086"/>
      <c r="X42" s="1086"/>
      <c r="Y42" s="1086"/>
      <c r="Z42" s="1086"/>
      <c r="AA42" s="1086"/>
      <c r="AB42" s="1086"/>
      <c r="AC42" s="1086"/>
    </row>
    <row r="43" spans="1:29" ht="13.5" customHeight="1">
      <c r="A43" s="1086"/>
      <c r="B43" s="1086"/>
      <c r="C43" s="1088" t="s">
        <v>1092</v>
      </c>
      <c r="D43" s="787"/>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163"/>
      <c r="L43" s="1164"/>
      <c r="M43" s="1086"/>
      <c r="N43" s="1086"/>
      <c r="O43" s="1086"/>
      <c r="P43" s="1479"/>
      <c r="Q43" s="1086"/>
      <c r="R43" s="1086"/>
      <c r="S43" s="1086"/>
      <c r="T43" s="1086"/>
      <c r="U43" s="1086"/>
      <c r="V43" s="1086"/>
      <c r="W43" s="1086"/>
      <c r="X43" s="1086"/>
      <c r="Y43" s="1086"/>
      <c r="Z43" s="1086"/>
      <c r="AA43" s="1086"/>
      <c r="AB43" s="1086"/>
      <c r="AC43" s="1086"/>
    </row>
    <row r="44" spans="1:29" s="973" customFormat="1" ht="13.5" customHeight="1">
      <c r="A44" s="1091"/>
      <c r="B44" s="1091"/>
      <c r="C44" s="1088" t="s">
        <v>1093</v>
      </c>
      <c r="D44" s="787"/>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165"/>
      <c r="L44" s="1166"/>
      <c r="M44" s="1091"/>
      <c r="N44" s="1091"/>
      <c r="O44" s="1091"/>
      <c r="P44" s="1480"/>
      <c r="Q44" s="1091"/>
      <c r="R44" s="1091"/>
      <c r="S44" s="1091"/>
      <c r="T44" s="1091"/>
      <c r="U44" s="1091"/>
      <c r="V44" s="1091"/>
      <c r="W44" s="1091"/>
      <c r="X44" s="1091"/>
      <c r="Y44" s="1091"/>
      <c r="Z44" s="1091"/>
      <c r="AA44" s="1091"/>
      <c r="AB44" s="1091"/>
      <c r="AC44" s="1091"/>
    </row>
    <row r="45" spans="1:29" s="973" customFormat="1">
      <c r="A45" s="1091"/>
      <c r="B45" s="1092"/>
      <c r="C45" s="1413"/>
      <c r="D45" s="1091"/>
      <c r="E45" s="1091"/>
      <c r="F45" s="1091"/>
      <c r="G45" s="1091"/>
      <c r="H45" s="1091"/>
      <c r="I45" s="1091"/>
      <c r="J45" s="1091"/>
      <c r="K45" s="1165"/>
      <c r="L45" s="1166"/>
      <c r="M45" s="1091"/>
      <c r="N45" s="1091"/>
      <c r="O45" s="1091"/>
      <c r="P45" s="1480"/>
      <c r="Q45" s="1091"/>
      <c r="R45" s="1091"/>
      <c r="S45" s="1091"/>
      <c r="T45" s="1091"/>
      <c r="U45" s="1091"/>
      <c r="V45" s="1091"/>
      <c r="W45" s="1091"/>
      <c r="X45" s="1091"/>
      <c r="Y45" s="1091"/>
      <c r="Z45" s="1091"/>
      <c r="AA45" s="1091"/>
      <c r="AB45" s="1091"/>
      <c r="AC45" s="1091"/>
    </row>
    <row r="46" spans="1:29">
      <c r="A46" s="1086"/>
      <c r="B46" s="1092"/>
      <c r="C46" s="1413"/>
      <c r="D46" s="1086"/>
      <c r="E46" s="1086"/>
      <c r="F46" s="1086"/>
      <c r="G46" s="1086"/>
      <c r="H46" s="1086"/>
      <c r="I46" s="1086"/>
      <c r="J46" s="1086"/>
      <c r="K46" s="1163"/>
      <c r="L46" s="1164"/>
      <c r="M46" s="1086"/>
      <c r="N46" s="1086"/>
      <c r="O46" s="1086"/>
      <c r="P46" s="1479"/>
      <c r="Q46" s="1086"/>
      <c r="R46" s="1086"/>
      <c r="S46" s="1086"/>
      <c r="T46" s="1086"/>
      <c r="U46" s="1086"/>
      <c r="V46" s="1086"/>
      <c r="W46" s="1086"/>
      <c r="X46" s="1086"/>
      <c r="Y46" s="1086"/>
      <c r="Z46" s="1086"/>
      <c r="AA46" s="1086"/>
      <c r="AB46" s="1086"/>
      <c r="AC46" s="1086"/>
    </row>
    <row r="47" spans="1:29" ht="21">
      <c r="A47" s="1469" t="s">
        <v>1094</v>
      </c>
      <c r="B47" s="1118"/>
      <c r="C47" s="1175"/>
      <c r="D47" s="1175"/>
      <c r="E47" s="1175"/>
      <c r="F47" s="1470"/>
      <c r="G47" s="1470"/>
      <c r="H47" s="1175"/>
      <c r="I47" s="1175"/>
      <c r="J47" s="1175"/>
      <c r="K47" s="1358"/>
      <c r="L47" s="1359"/>
      <c r="M47" s="1175"/>
      <c r="N47" s="1176"/>
      <c r="O47" s="1176"/>
      <c r="P47" s="1481"/>
      <c r="Q47" s="1188"/>
      <c r="R47" s="1086"/>
      <c r="S47" s="1086"/>
      <c r="T47" s="1086"/>
      <c r="U47" s="1086"/>
      <c r="V47" s="1086"/>
      <c r="W47" s="1086"/>
      <c r="X47" s="1086"/>
      <c r="Y47" s="1086"/>
      <c r="Z47" s="1086"/>
      <c r="AA47" s="1086"/>
      <c r="AB47" s="1086"/>
      <c r="AC47" s="1086"/>
    </row>
    <row r="48" spans="1:29" s="975" customFormat="1" ht="15">
      <c r="A48" s="1414" t="s">
        <v>1035</v>
      </c>
      <c r="B48" s="1415"/>
      <c r="C48" s="1416" t="str">
        <f>YEAR(C7)&amp;"-"&amp;MONTH(C7)</f>
        <v>2021-5</v>
      </c>
      <c r="D48" s="1417">
        <f>EDATE(C48,-1)</f>
        <v>44287</v>
      </c>
      <c r="E48" s="1417">
        <f t="shared" ref="E48:O48" si="16">EDATE(D48,-1)</f>
        <v>44256</v>
      </c>
      <c r="F48" s="1417">
        <f t="shared" si="16"/>
        <v>44228</v>
      </c>
      <c r="G48" s="1417">
        <f t="shared" si="16"/>
        <v>44197</v>
      </c>
      <c r="H48" s="1417">
        <f t="shared" si="16"/>
        <v>44166</v>
      </c>
      <c r="I48" s="1417">
        <f t="shared" si="16"/>
        <v>44136</v>
      </c>
      <c r="J48" s="1417">
        <f t="shared" si="16"/>
        <v>44105</v>
      </c>
      <c r="K48" s="1417">
        <f t="shared" si="16"/>
        <v>44075</v>
      </c>
      <c r="L48" s="1417">
        <f t="shared" si="16"/>
        <v>44044</v>
      </c>
      <c r="M48" s="1417">
        <f t="shared" si="16"/>
        <v>44013</v>
      </c>
      <c r="N48" s="1417">
        <f t="shared" si="16"/>
        <v>43983</v>
      </c>
      <c r="O48" s="1417">
        <f t="shared" si="16"/>
        <v>43952</v>
      </c>
      <c r="P48" s="1482"/>
      <c r="Q48" s="1307"/>
      <c r="R48" s="1307"/>
      <c r="S48" s="1307"/>
      <c r="T48" s="1307"/>
      <c r="U48" s="1307"/>
      <c r="V48" s="1307"/>
      <c r="W48" s="1307"/>
      <c r="X48" s="1307"/>
      <c r="Y48" s="1307"/>
      <c r="Z48" s="1307"/>
      <c r="AA48" s="1307"/>
      <c r="AB48" s="1307"/>
      <c r="AC48" s="1307"/>
    </row>
    <row r="49" spans="1:29" s="970" customFormat="1" ht="15">
      <c r="A49" s="1418"/>
      <c r="B49" s="1208"/>
      <c r="C49" s="1471">
        <v>100</v>
      </c>
      <c r="D49" s="1212"/>
      <c r="E49" s="1212"/>
      <c r="F49" s="1212"/>
      <c r="G49" s="1212"/>
      <c r="H49" s="1212"/>
      <c r="I49" s="1212"/>
      <c r="J49" s="1212"/>
      <c r="K49" s="1212"/>
      <c r="L49" s="1212"/>
      <c r="M49" s="1426"/>
      <c r="N49" s="1212"/>
      <c r="O49" s="1426"/>
      <c r="P49" s="1483"/>
      <c r="Q49" s="1308"/>
      <c r="R49" s="1308"/>
      <c r="S49" s="1308"/>
      <c r="T49" s="1308"/>
      <c r="U49" s="1308"/>
      <c r="V49" s="1308"/>
      <c r="W49" s="1308"/>
      <c r="X49" s="1308"/>
      <c r="Y49" s="1308"/>
      <c r="Z49" s="1308"/>
      <c r="AA49" s="1308"/>
      <c r="AB49" s="1308"/>
      <c r="AC49" s="1308"/>
    </row>
    <row r="50" spans="1:29" s="970" customFormat="1" ht="15">
      <c r="A50" s="1203" t="s">
        <v>1095</v>
      </c>
      <c r="B50" s="1204"/>
      <c r="C50" s="1205"/>
      <c r="D50" s="1206"/>
      <c r="E50" s="1206"/>
      <c r="F50" s="1206"/>
      <c r="G50" s="1206"/>
      <c r="H50" s="1206"/>
      <c r="I50" s="1206"/>
      <c r="J50" s="1206"/>
      <c r="K50" s="1206"/>
      <c r="L50" s="1206"/>
      <c r="M50" s="1254"/>
      <c r="N50" s="1206"/>
      <c r="O50" s="1254"/>
      <c r="P50" s="1483"/>
      <c r="Q50" s="1188"/>
      <c r="R50" s="1308"/>
      <c r="S50" s="1308"/>
      <c r="T50" s="1308"/>
      <c r="U50" s="1308"/>
      <c r="V50" s="1308"/>
      <c r="W50" s="1308"/>
      <c r="X50" s="1308"/>
      <c r="Y50" s="1308"/>
      <c r="Z50" s="1308"/>
      <c r="AA50" s="1308"/>
      <c r="AB50" s="1308"/>
      <c r="AC50" s="1308"/>
    </row>
    <row r="51" spans="1:29" s="970" customFormat="1" ht="15">
      <c r="A51" s="1207" t="s">
        <v>1038</v>
      </c>
      <c r="B51" s="1208"/>
      <c r="C51" s="1209" t="s">
        <v>1039</v>
      </c>
      <c r="D51" s="1210"/>
      <c r="E51" s="1210"/>
      <c r="F51" s="1210"/>
      <c r="G51" s="1210"/>
      <c r="H51" s="1210"/>
      <c r="I51" s="1210"/>
      <c r="J51" s="1210"/>
      <c r="K51" s="1210"/>
      <c r="L51" s="1256"/>
      <c r="M51" s="1257"/>
      <c r="N51" s="1258"/>
      <c r="O51" s="1258"/>
      <c r="P51" s="1484"/>
      <c r="Q51" s="1188"/>
      <c r="R51" s="1308"/>
      <c r="S51" s="1308"/>
      <c r="T51" s="1308"/>
      <c r="U51" s="1308"/>
      <c r="V51" s="1308"/>
      <c r="W51" s="1308"/>
      <c r="X51" s="1308"/>
      <c r="Y51" s="1308"/>
      <c r="Z51" s="1308"/>
      <c r="AA51" s="1308"/>
      <c r="AB51" s="1308"/>
      <c r="AC51" s="1308"/>
    </row>
    <row r="52" spans="1:29" s="970" customFormat="1" ht="15">
      <c r="A52" s="1207"/>
      <c r="B52" s="1208"/>
      <c r="C52" s="1211">
        <v>100</v>
      </c>
      <c r="D52" s="1212"/>
      <c r="E52" s="1212"/>
      <c r="F52" s="1212"/>
      <c r="G52" s="1212"/>
      <c r="H52" s="1212"/>
      <c r="I52" s="1212"/>
      <c r="J52" s="1212"/>
      <c r="K52" s="1212"/>
      <c r="L52" s="1212"/>
      <c r="M52" s="1260"/>
      <c r="N52" s="1258"/>
      <c r="O52" s="1258"/>
      <c r="P52" s="1483"/>
      <c r="Q52" s="1188"/>
      <c r="R52" s="1308"/>
      <c r="S52" s="1308"/>
      <c r="T52" s="1308"/>
      <c r="U52" s="1308"/>
      <c r="V52" s="1308"/>
      <c r="W52" s="1308"/>
      <c r="X52" s="1308"/>
      <c r="Y52" s="1308"/>
      <c r="Z52" s="1308"/>
      <c r="AA52" s="1308"/>
      <c r="AB52" s="1308"/>
      <c r="AC52" s="1308"/>
    </row>
    <row r="53" spans="1:29">
      <c r="A53" s="1213" t="s">
        <v>1096</v>
      </c>
      <c r="B53" s="1214" t="s">
        <v>1043</v>
      </c>
      <c r="C53" s="1236">
        <f>C9</f>
        <v>0</v>
      </c>
      <c r="D53" s="1156"/>
      <c r="E53" s="1156"/>
      <c r="F53" s="1156"/>
      <c r="G53" s="1156"/>
      <c r="H53" s="1156"/>
      <c r="I53" s="1156"/>
      <c r="J53" s="1156"/>
      <c r="K53" s="1261"/>
      <c r="L53" s="1262"/>
      <c r="M53" s="1263"/>
      <c r="N53" s="1264"/>
      <c r="O53" s="1264"/>
      <c r="P53" s="1485"/>
      <c r="Q53" s="1188"/>
      <c r="R53" s="1086"/>
      <c r="S53" s="1086"/>
      <c r="T53" s="1086"/>
      <c r="U53" s="1086"/>
      <c r="V53" s="1086"/>
      <c r="W53" s="1086"/>
      <c r="X53" s="1086"/>
      <c r="Y53" s="1086"/>
      <c r="Z53" s="1086"/>
      <c r="AA53" s="1086"/>
      <c r="AB53" s="1086"/>
      <c r="AC53" s="1086"/>
    </row>
    <row r="54" spans="1:29" ht="15">
      <c r="A54" s="1215"/>
      <c r="B54" s="1216"/>
      <c r="C54" s="1217">
        <v>100</v>
      </c>
      <c r="D54" s="1217"/>
      <c r="E54" s="1217"/>
      <c r="F54" s="1217"/>
      <c r="G54" s="1217"/>
      <c r="H54" s="1217"/>
      <c r="I54" s="1217"/>
      <c r="J54" s="1217"/>
      <c r="K54" s="1217"/>
      <c r="L54" s="1217"/>
      <c r="M54" s="1266"/>
      <c r="N54" s="1267"/>
      <c r="O54" s="1267"/>
      <c r="P54" s="1485"/>
      <c r="Q54" s="1188"/>
      <c r="R54" s="1086"/>
      <c r="S54" s="1086"/>
      <c r="T54" s="1086"/>
      <c r="U54" s="1086"/>
      <c r="V54" s="1086"/>
      <c r="W54" s="1086"/>
      <c r="X54" s="1086"/>
      <c r="Y54" s="1086"/>
      <c r="Z54" s="1086"/>
      <c r="AA54" s="1086"/>
      <c r="AB54" s="1086"/>
      <c r="AC54" s="1086"/>
    </row>
    <row r="55" spans="1:29" ht="27">
      <c r="A55" s="1215"/>
      <c r="B55" s="1218" t="s">
        <v>1047</v>
      </c>
      <c r="C55" s="1219" t="s">
        <v>1097</v>
      </c>
      <c r="D55" s="1219" t="s">
        <v>1098</v>
      </c>
      <c r="E55" s="1219" t="s">
        <v>1099</v>
      </c>
      <c r="F55" s="1219" t="s">
        <v>1100</v>
      </c>
      <c r="G55" s="1219" t="s">
        <v>1101</v>
      </c>
      <c r="H55" s="1219" t="s">
        <v>1102</v>
      </c>
      <c r="I55" s="1219" t="s">
        <v>1103</v>
      </c>
      <c r="J55" s="1219"/>
      <c r="K55" s="1268"/>
      <c r="L55" s="1269"/>
      <c r="M55" s="1270"/>
      <c r="N55" s="1264"/>
      <c r="O55" s="1264"/>
      <c r="P55" s="1485"/>
      <c r="Q55" s="1188"/>
      <c r="R55" s="1086"/>
      <c r="S55" s="1086"/>
      <c r="T55" s="1086"/>
      <c r="U55" s="1086"/>
      <c r="V55" s="1086"/>
      <c r="W55" s="1086"/>
      <c r="X55" s="1086"/>
      <c r="Y55" s="1086"/>
      <c r="Z55" s="1086"/>
      <c r="AA55" s="1086"/>
      <c r="AB55" s="1086"/>
      <c r="AC55" s="1086"/>
    </row>
    <row r="56" spans="1:29" ht="15">
      <c r="A56" s="1215"/>
      <c r="B56" s="1220"/>
      <c r="C56" s="1221" t="s">
        <v>1482</v>
      </c>
      <c r="D56" s="1221" t="s">
        <v>1482</v>
      </c>
      <c r="E56" s="1221">
        <v>100</v>
      </c>
      <c r="F56" s="1221">
        <f>E56-$K10</f>
        <v>100</v>
      </c>
      <c r="G56" s="1221">
        <f>F56-$K10</f>
        <v>100</v>
      </c>
      <c r="H56" s="1221">
        <f>G56-$K10</f>
        <v>100</v>
      </c>
      <c r="I56" s="1221">
        <f>H56-$K10</f>
        <v>100</v>
      </c>
      <c r="J56" s="1221"/>
      <c r="K56" s="1221"/>
      <c r="L56" s="1221"/>
      <c r="M56" s="1271"/>
      <c r="N56" s="1267"/>
      <c r="O56" s="1267"/>
      <c r="P56" s="1485"/>
      <c r="Q56" s="1188"/>
      <c r="R56" s="1086"/>
      <c r="S56" s="1086"/>
      <c r="T56" s="1086"/>
      <c r="U56" s="1086"/>
      <c r="V56" s="1086"/>
      <c r="W56" s="1086"/>
      <c r="X56" s="1086"/>
      <c r="Y56" s="1086"/>
      <c r="Z56" s="1086"/>
      <c r="AA56" s="1086"/>
      <c r="AB56" s="1086"/>
      <c r="AC56" s="1086"/>
    </row>
    <row r="57" spans="1:29" ht="15">
      <c r="A57" s="1215"/>
      <c r="B57" s="1242">
        <f>B11</f>
        <v>111</v>
      </c>
      <c r="C57" s="1017"/>
      <c r="D57" s="1017"/>
      <c r="E57" s="1017"/>
      <c r="F57" s="1017"/>
      <c r="G57" s="1017"/>
      <c r="H57" s="1017"/>
      <c r="I57" s="1017"/>
      <c r="J57" s="1017"/>
      <c r="K57" s="1272"/>
      <c r="L57" s="1273"/>
      <c r="M57" s="1274"/>
      <c r="N57" s="1264"/>
      <c r="O57" s="1264"/>
      <c r="P57" s="1485"/>
      <c r="Q57" s="1188"/>
      <c r="R57" s="1086"/>
      <c r="S57" s="1086"/>
      <c r="T57" s="1086"/>
      <c r="U57" s="1086"/>
      <c r="V57" s="1086"/>
      <c r="W57" s="1086"/>
      <c r="X57" s="1086"/>
      <c r="Y57" s="1086"/>
      <c r="Z57" s="1086"/>
      <c r="AA57" s="1086"/>
      <c r="AB57" s="1086"/>
      <c r="AC57" s="1086"/>
    </row>
    <row r="58" spans="1:29" ht="15">
      <c r="A58" s="1215"/>
      <c r="B58" s="1216"/>
      <c r="C58" s="1228"/>
      <c r="D58" s="1217"/>
      <c r="E58" s="1217"/>
      <c r="F58" s="1217"/>
      <c r="G58" s="1217"/>
      <c r="H58" s="1217"/>
      <c r="I58" s="1217"/>
      <c r="J58" s="1217"/>
      <c r="K58" s="1217"/>
      <c r="L58" s="1217"/>
      <c r="M58" s="1266"/>
      <c r="N58" s="1267"/>
      <c r="O58" s="1267"/>
      <c r="P58" s="1485"/>
      <c r="Q58" s="1188"/>
      <c r="R58" s="1086"/>
      <c r="S58" s="1086"/>
      <c r="T58" s="1086"/>
      <c r="U58" s="1086"/>
      <c r="V58" s="1086"/>
      <c r="W58" s="1086"/>
      <c r="X58" s="1086"/>
      <c r="Y58" s="1086"/>
      <c r="Z58" s="1086"/>
      <c r="AA58" s="1086"/>
      <c r="AB58" s="1086"/>
      <c r="AC58" s="1086"/>
    </row>
    <row r="59" spans="1:29" s="972" customFormat="1" ht="15">
      <c r="A59" s="1225"/>
      <c r="B59" s="1218">
        <f>B12</f>
        <v>111</v>
      </c>
      <c r="C59" s="1017"/>
      <c r="D59" s="1017"/>
      <c r="E59" s="1017"/>
      <c r="F59" s="1017"/>
      <c r="G59" s="1226"/>
      <c r="H59" s="1227"/>
      <c r="I59" s="1227"/>
      <c r="J59" s="1227"/>
      <c r="K59" s="1227"/>
      <c r="L59" s="1275"/>
      <c r="M59" s="1276"/>
      <c r="N59" s="1277"/>
      <c r="O59" s="1277"/>
      <c r="P59" s="1486"/>
      <c r="Q59" s="1309"/>
      <c r="R59" s="1310"/>
      <c r="S59" s="1310"/>
      <c r="T59" s="1310"/>
      <c r="U59" s="1310"/>
      <c r="V59" s="1310"/>
      <c r="W59" s="1310"/>
      <c r="X59" s="1310"/>
      <c r="Y59" s="1310"/>
      <c r="Z59" s="1310"/>
      <c r="AA59" s="1310"/>
      <c r="AB59" s="1310"/>
      <c r="AC59" s="1310"/>
    </row>
    <row r="60" spans="1:29" s="972" customFormat="1" ht="15">
      <c r="A60" s="1225"/>
      <c r="B60" s="1220"/>
      <c r="C60" s="1228"/>
      <c r="D60" s="1217"/>
      <c r="E60" s="1217"/>
      <c r="F60" s="1217"/>
      <c r="G60" s="1217"/>
      <c r="H60" s="1217"/>
      <c r="I60" s="1217"/>
      <c r="J60" s="1217"/>
      <c r="K60" s="1217"/>
      <c r="L60" s="1217"/>
      <c r="M60" s="1266"/>
      <c r="N60" s="1267"/>
      <c r="O60" s="1267"/>
      <c r="P60" s="1486"/>
      <c r="Q60" s="1309"/>
      <c r="R60" s="1310"/>
      <c r="S60" s="1310"/>
      <c r="T60" s="1310"/>
      <c r="U60" s="1310"/>
      <c r="V60" s="1310"/>
      <c r="W60" s="1310"/>
      <c r="X60" s="1310"/>
      <c r="Y60" s="1310"/>
      <c r="Z60" s="1310"/>
      <c r="AA60" s="1310"/>
      <c r="AB60" s="1310"/>
      <c r="AC60" s="1310"/>
    </row>
    <row r="61" spans="1:29" s="972" customFormat="1" ht="15">
      <c r="A61" s="1225"/>
      <c r="B61" s="1218">
        <f>B13</f>
        <v>111</v>
      </c>
      <c r="C61" s="1226"/>
      <c r="D61" s="1226"/>
      <c r="E61" s="1226"/>
      <c r="F61" s="1226"/>
      <c r="G61" s="1226"/>
      <c r="H61" s="1227"/>
      <c r="I61" s="1227"/>
      <c r="J61" s="1227"/>
      <c r="K61" s="1227"/>
      <c r="L61" s="1275"/>
      <c r="M61" s="1276"/>
      <c r="N61" s="1277"/>
      <c r="O61" s="1277"/>
      <c r="P61" s="1487"/>
      <c r="Q61" s="1311"/>
      <c r="R61" s="1310"/>
      <c r="S61" s="1310"/>
      <c r="T61" s="1310"/>
      <c r="U61" s="1310"/>
      <c r="V61" s="1310"/>
      <c r="W61" s="1310"/>
      <c r="X61" s="1310"/>
      <c r="Y61" s="1310"/>
      <c r="Z61" s="1310"/>
      <c r="AA61" s="1310"/>
      <c r="AB61" s="1310"/>
      <c r="AC61" s="1310"/>
    </row>
    <row r="62" spans="1:29" s="972" customFormat="1" ht="15">
      <c r="A62" s="1225"/>
      <c r="B62" s="1220"/>
      <c r="C62" s="1228"/>
      <c r="D62" s="1228"/>
      <c r="E62" s="1228"/>
      <c r="F62" s="1228"/>
      <c r="G62" s="1228"/>
      <c r="H62" s="1229"/>
      <c r="I62" s="1229"/>
      <c r="J62" s="1229"/>
      <c r="K62" s="1229"/>
      <c r="L62" s="1229"/>
      <c r="M62" s="1279"/>
      <c r="N62" s="1277"/>
      <c r="O62" s="1277"/>
      <c r="P62" s="1486"/>
      <c r="Q62" s="1309"/>
      <c r="R62" s="1310"/>
      <c r="S62" s="1310"/>
      <c r="T62" s="1310"/>
      <c r="U62" s="1310"/>
      <c r="V62" s="1310"/>
      <c r="W62" s="1310"/>
      <c r="X62" s="1310"/>
      <c r="Y62" s="1310"/>
      <c r="Z62" s="1310"/>
      <c r="AA62" s="1310"/>
      <c r="AB62" s="1310"/>
      <c r="AC62" s="1310"/>
    </row>
    <row r="63" spans="1:29">
      <c r="A63" s="1213" t="s">
        <v>1051</v>
      </c>
      <c r="B63" s="1214" t="s">
        <v>1056</v>
      </c>
      <c r="C63" s="1235" t="s">
        <v>1104</v>
      </c>
      <c r="D63" s="1235" t="s">
        <v>1105</v>
      </c>
      <c r="E63" s="1235" t="s">
        <v>1106</v>
      </c>
      <c r="F63" s="1235" t="s">
        <v>1107</v>
      </c>
      <c r="G63" s="1235" t="s">
        <v>1108</v>
      </c>
      <c r="H63" s="1236"/>
      <c r="I63" s="1236"/>
      <c r="J63" s="1236"/>
      <c r="K63" s="1284"/>
      <c r="L63" s="1285"/>
      <c r="M63" s="1286"/>
      <c r="N63" s="1264"/>
      <c r="O63" s="1264"/>
      <c r="P63" s="1488"/>
      <c r="Q63" s="1188"/>
      <c r="R63" s="1086"/>
      <c r="S63" s="1086"/>
      <c r="T63" s="1086"/>
      <c r="U63" s="1086"/>
      <c r="V63" s="1086"/>
      <c r="W63" s="1086"/>
      <c r="X63" s="1086"/>
      <c r="Y63" s="1086"/>
      <c r="Z63" s="1086"/>
      <c r="AA63" s="1086"/>
      <c r="AB63" s="1086"/>
      <c r="AC63" s="1086"/>
    </row>
    <row r="64" spans="1:29" ht="15">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85"/>
      <c r="Q64" s="1188"/>
      <c r="R64" s="1086"/>
      <c r="S64" s="1086"/>
      <c r="T64" s="1086"/>
      <c r="U64" s="1086"/>
      <c r="V64" s="1086"/>
      <c r="W64" s="1086"/>
      <c r="X64" s="1086"/>
      <c r="Y64" s="1086"/>
      <c r="Z64" s="1086"/>
      <c r="AA64" s="1086"/>
      <c r="AB64" s="1086"/>
      <c r="AC64" s="1086"/>
    </row>
    <row r="65" spans="1:29" ht="15">
      <c r="A65" s="1215"/>
      <c r="B65" s="1218" t="s">
        <v>1057</v>
      </c>
      <c r="C65" s="1237" t="s">
        <v>1104</v>
      </c>
      <c r="D65" s="1237" t="s">
        <v>1105</v>
      </c>
      <c r="E65" s="1237" t="s">
        <v>1106</v>
      </c>
      <c r="F65" s="1237" t="s">
        <v>1107</v>
      </c>
      <c r="G65" s="1237" t="s">
        <v>1108</v>
      </c>
      <c r="H65" s="1219"/>
      <c r="I65" s="1219"/>
      <c r="J65" s="1219"/>
      <c r="K65" s="1268"/>
      <c r="L65" s="1269"/>
      <c r="M65" s="1270"/>
      <c r="N65" s="1264"/>
      <c r="O65" s="1264"/>
      <c r="P65" s="1485"/>
      <c r="Q65" s="1188"/>
      <c r="R65" s="1086"/>
      <c r="S65" s="1086"/>
      <c r="T65" s="1086"/>
      <c r="U65" s="1086"/>
      <c r="V65" s="1086"/>
      <c r="W65" s="1086"/>
      <c r="X65" s="1086"/>
      <c r="Y65" s="1086"/>
      <c r="Z65" s="1086"/>
      <c r="AA65" s="1086"/>
      <c r="AB65" s="1086"/>
      <c r="AC65" s="1086"/>
    </row>
    <row r="66" spans="1:29" ht="15">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85"/>
      <c r="Q66" s="1188"/>
      <c r="R66" s="1086"/>
      <c r="S66" s="1086"/>
      <c r="T66" s="1086"/>
      <c r="U66" s="1086"/>
      <c r="V66" s="1086"/>
      <c r="W66" s="1086"/>
      <c r="X66" s="1086"/>
      <c r="Y66" s="1086"/>
      <c r="Z66" s="1086"/>
      <c r="AA66" s="1086"/>
      <c r="AB66" s="1086"/>
      <c r="AC66" s="1086"/>
    </row>
    <row r="67" spans="1:29" ht="15">
      <c r="A67" s="1215"/>
      <c r="B67" s="1222" t="s">
        <v>1058</v>
      </c>
      <c r="C67" s="1242" t="s">
        <v>1109</v>
      </c>
      <c r="D67" s="1242" t="s">
        <v>1110</v>
      </c>
      <c r="E67" s="1242" t="s">
        <v>1111</v>
      </c>
      <c r="F67" s="1242" t="s">
        <v>1112</v>
      </c>
      <c r="G67" s="1242" t="s">
        <v>1113</v>
      </c>
      <c r="H67" s="1219"/>
      <c r="I67" s="1219"/>
      <c r="J67" s="1219"/>
      <c r="K67" s="1219"/>
      <c r="L67" s="1219"/>
      <c r="M67" s="1431"/>
      <c r="N67" s="1267"/>
      <c r="O67" s="1267"/>
      <c r="P67" s="1485"/>
      <c r="Q67" s="1188"/>
      <c r="R67" s="1086"/>
      <c r="S67" s="1086"/>
      <c r="T67" s="1086"/>
      <c r="U67" s="1086"/>
      <c r="V67" s="1086"/>
      <c r="W67" s="1086"/>
      <c r="X67" s="1086"/>
      <c r="Y67" s="1086"/>
      <c r="Z67" s="1086"/>
      <c r="AA67" s="1086"/>
      <c r="AB67" s="1086"/>
      <c r="AC67" s="1086"/>
    </row>
    <row r="68" spans="1:29" ht="15">
      <c r="A68" s="1215"/>
      <c r="B68" s="1222"/>
      <c r="C68" s="1221">
        <v>100</v>
      </c>
      <c r="D68" s="1221">
        <f>C68-$K18</f>
        <v>100</v>
      </c>
      <c r="E68" s="1221">
        <f>D68-$K18</f>
        <v>100</v>
      </c>
      <c r="F68" s="1221">
        <f>E68-$K18</f>
        <v>100</v>
      </c>
      <c r="G68" s="1221">
        <f>F68-$K18</f>
        <v>100</v>
      </c>
      <c r="H68" s="1242"/>
      <c r="I68" s="1242"/>
      <c r="J68" s="1242"/>
      <c r="K68" s="1242"/>
      <c r="L68" s="1242"/>
      <c r="M68" s="1034"/>
      <c r="N68" s="1267"/>
      <c r="O68" s="1267"/>
      <c r="P68" s="1485"/>
      <c r="Q68" s="1188"/>
      <c r="R68" s="1086"/>
      <c r="S68" s="1086"/>
      <c r="T68" s="1086"/>
      <c r="U68" s="1086"/>
      <c r="V68" s="1086"/>
      <c r="W68" s="1086"/>
      <c r="X68" s="1086"/>
      <c r="Y68" s="1086"/>
      <c r="Z68" s="1086"/>
      <c r="AA68" s="1086"/>
      <c r="AB68" s="1086"/>
      <c r="AC68" s="1086"/>
    </row>
    <row r="69" spans="1:29" ht="15">
      <c r="A69" s="1215"/>
      <c r="B69" s="1218" t="s">
        <v>1059</v>
      </c>
      <c r="C69" s="1237" t="s">
        <v>1104</v>
      </c>
      <c r="D69" s="1237" t="s">
        <v>1105</v>
      </c>
      <c r="E69" s="1237" t="s">
        <v>1106</v>
      </c>
      <c r="F69" s="1237" t="s">
        <v>1107</v>
      </c>
      <c r="G69" s="1237" t="s">
        <v>1108</v>
      </c>
      <c r="H69" s="1219"/>
      <c r="I69" s="1219"/>
      <c r="J69" s="1219"/>
      <c r="K69" s="1268"/>
      <c r="L69" s="1269"/>
      <c r="M69" s="1270"/>
      <c r="N69" s="1264"/>
      <c r="O69" s="1264"/>
      <c r="P69" s="1485"/>
      <c r="Q69" s="1188"/>
      <c r="R69" s="1086"/>
      <c r="S69" s="1086"/>
      <c r="T69" s="1086"/>
      <c r="U69" s="1086"/>
      <c r="V69" s="1086"/>
      <c r="W69" s="1086"/>
      <c r="X69" s="1086"/>
      <c r="Y69" s="1086"/>
      <c r="Z69" s="1086"/>
      <c r="AA69" s="1086"/>
      <c r="AB69" s="1086"/>
      <c r="AC69" s="1086"/>
    </row>
    <row r="70" spans="1:29" ht="15">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85"/>
      <c r="Q70" s="1188"/>
      <c r="R70" s="1086"/>
      <c r="S70" s="1086"/>
      <c r="T70" s="1086"/>
      <c r="U70" s="1086"/>
      <c r="V70" s="1086"/>
      <c r="W70" s="1086"/>
      <c r="X70" s="1086"/>
      <c r="Y70" s="1086"/>
      <c r="Z70" s="1086"/>
      <c r="AA70" s="1086"/>
      <c r="AB70" s="1086"/>
      <c r="AC70" s="1086"/>
    </row>
    <row r="71" spans="1:29" ht="15">
      <c r="A71" s="1215"/>
      <c r="B71" s="1218" t="s">
        <v>1476</v>
      </c>
      <c r="C71" s="1226"/>
      <c r="D71" s="1226"/>
      <c r="E71" s="1226"/>
      <c r="F71" s="1226"/>
      <c r="G71" s="1226"/>
      <c r="H71" s="1243"/>
      <c r="I71" s="1243"/>
      <c r="J71" s="1243"/>
      <c r="K71" s="1294"/>
      <c r="L71" s="1295"/>
      <c r="M71" s="1296"/>
      <c r="N71" s="1264"/>
      <c r="O71" s="1264"/>
      <c r="P71" s="1485"/>
      <c r="Q71" s="1188"/>
      <c r="R71" s="1086"/>
      <c r="S71" s="1086"/>
      <c r="T71" s="1086"/>
      <c r="U71" s="1086"/>
      <c r="V71" s="1086"/>
      <c r="W71" s="1086"/>
      <c r="X71" s="1086"/>
      <c r="Y71" s="1086"/>
      <c r="Z71" s="1086"/>
      <c r="AA71" s="1086"/>
      <c r="AB71" s="1086"/>
      <c r="AC71" s="1086"/>
    </row>
    <row r="72" spans="1:29" ht="15">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85"/>
      <c r="Q72" s="1188"/>
      <c r="R72" s="1086"/>
      <c r="S72" s="1086"/>
      <c r="T72" s="1086"/>
      <c r="U72" s="1086"/>
      <c r="V72" s="1086"/>
      <c r="W72" s="1086"/>
      <c r="X72" s="1086"/>
      <c r="Y72" s="1086"/>
      <c r="Z72" s="1086"/>
      <c r="AA72" s="1086"/>
      <c r="AB72" s="1086"/>
      <c r="AC72" s="1086"/>
    </row>
    <row r="73" spans="1:29" s="970" customFormat="1" ht="15">
      <c r="A73" s="1238"/>
      <c r="B73" s="1218">
        <f>B23</f>
        <v>111</v>
      </c>
      <c r="C73" s="1017"/>
      <c r="D73" s="1017"/>
      <c r="E73" s="1017"/>
      <c r="F73" s="1017"/>
      <c r="G73" s="1226"/>
      <c r="H73" s="1226"/>
      <c r="I73" s="1226"/>
      <c r="J73" s="1226"/>
      <c r="K73" s="1226"/>
      <c r="L73" s="1432"/>
      <c r="M73" s="1433"/>
      <c r="N73" s="1258"/>
      <c r="O73" s="1258"/>
      <c r="P73" s="1485"/>
      <c r="Q73" s="1188"/>
      <c r="R73" s="1308"/>
      <c r="S73" s="1308"/>
      <c r="T73" s="1308"/>
      <c r="U73" s="1308"/>
      <c r="V73" s="1308"/>
      <c r="W73" s="1308"/>
      <c r="X73" s="1308"/>
      <c r="Y73" s="1308"/>
      <c r="Z73" s="1308"/>
      <c r="AA73" s="1308"/>
      <c r="AB73" s="1308"/>
      <c r="AC73" s="1308"/>
    </row>
    <row r="74" spans="1:29" s="970" customFormat="1" ht="15">
      <c r="A74" s="1238"/>
      <c r="B74" s="1220"/>
      <c r="C74" s="1228"/>
      <c r="D74" s="1217"/>
      <c r="E74" s="1217"/>
      <c r="F74" s="1217"/>
      <c r="G74" s="1217"/>
      <c r="H74" s="1217"/>
      <c r="I74" s="1217"/>
      <c r="J74" s="1217"/>
      <c r="K74" s="1217"/>
      <c r="L74" s="1217"/>
      <c r="M74" s="1266"/>
      <c r="N74" s="1267"/>
      <c r="O74" s="1267"/>
      <c r="P74" s="1485"/>
      <c r="Q74" s="1188"/>
      <c r="R74" s="1308"/>
      <c r="S74" s="1308"/>
      <c r="T74" s="1308"/>
      <c r="U74" s="1308"/>
      <c r="V74" s="1308"/>
      <c r="W74" s="1308"/>
      <c r="X74" s="1308"/>
      <c r="Y74" s="1308"/>
      <c r="Z74" s="1308"/>
      <c r="AA74" s="1308"/>
      <c r="AB74" s="1308"/>
      <c r="AC74" s="1308"/>
    </row>
    <row r="75" spans="1:29" s="970" customFormat="1" ht="15">
      <c r="A75" s="1238"/>
      <c r="B75" s="1218">
        <f>B24</f>
        <v>111</v>
      </c>
      <c r="C75" s="1017"/>
      <c r="D75" s="1017"/>
      <c r="E75" s="1017"/>
      <c r="F75" s="1017"/>
      <c r="G75" s="1226"/>
      <c r="H75" s="1226"/>
      <c r="I75" s="1226"/>
      <c r="J75" s="1226"/>
      <c r="K75" s="1226"/>
      <c r="L75" s="1226"/>
      <c r="M75" s="1433"/>
      <c r="N75" s="1258"/>
      <c r="O75" s="1258"/>
      <c r="P75" s="1485"/>
      <c r="Q75" s="1188"/>
      <c r="R75" s="1308"/>
      <c r="S75" s="1308"/>
      <c r="T75" s="1308"/>
      <c r="U75" s="1308"/>
      <c r="V75" s="1308"/>
      <c r="W75" s="1308"/>
      <c r="X75" s="1308"/>
      <c r="Y75" s="1308"/>
      <c r="Z75" s="1308"/>
      <c r="AA75" s="1308"/>
      <c r="AB75" s="1308"/>
      <c r="AC75" s="1308"/>
    </row>
    <row r="76" spans="1:29" s="970" customFormat="1" ht="15">
      <c r="A76" s="1238"/>
      <c r="B76" s="1220"/>
      <c r="C76" s="1228"/>
      <c r="D76" s="1217"/>
      <c r="E76" s="1217"/>
      <c r="F76" s="1217"/>
      <c r="G76" s="1217"/>
      <c r="H76" s="1217"/>
      <c r="I76" s="1217"/>
      <c r="J76" s="1217"/>
      <c r="K76" s="1217"/>
      <c r="L76" s="1217"/>
      <c r="M76" s="1266"/>
      <c r="N76" s="1267"/>
      <c r="O76" s="1267"/>
      <c r="P76" s="1485"/>
      <c r="Q76" s="1188"/>
      <c r="R76" s="1308"/>
      <c r="S76" s="1308"/>
      <c r="T76" s="1308"/>
      <c r="U76" s="1308"/>
      <c r="V76" s="1308"/>
      <c r="W76" s="1308"/>
      <c r="X76" s="1308"/>
      <c r="Y76" s="1308"/>
      <c r="Z76" s="1308"/>
      <c r="AA76" s="1308"/>
      <c r="AB76" s="1308"/>
      <c r="AC76" s="1308"/>
    </row>
    <row r="77" spans="1:29" s="972" customFormat="1" ht="15">
      <c r="A77" s="1225"/>
      <c r="B77" s="1218">
        <f>B25</f>
        <v>111</v>
      </c>
      <c r="C77" s="1226"/>
      <c r="D77" s="1226"/>
      <c r="E77" s="1226"/>
      <c r="F77" s="1226"/>
      <c r="G77" s="1226"/>
      <c r="H77" s="1227"/>
      <c r="I77" s="1227"/>
      <c r="J77" s="1227"/>
      <c r="K77" s="1227"/>
      <c r="L77" s="1275"/>
      <c r="M77" s="1276"/>
      <c r="N77" s="1277"/>
      <c r="O77" s="1277"/>
      <c r="P77" s="1486"/>
      <c r="Q77" s="1309"/>
      <c r="R77" s="1310"/>
      <c r="S77" s="1310"/>
      <c r="T77" s="1310"/>
      <c r="U77" s="1310"/>
      <c r="V77" s="1310"/>
      <c r="W77" s="1310"/>
      <c r="X77" s="1310"/>
      <c r="Y77" s="1310"/>
      <c r="Z77" s="1310"/>
      <c r="AA77" s="1310"/>
      <c r="AB77" s="1310"/>
      <c r="AC77" s="1310"/>
    </row>
    <row r="78" spans="1:29" s="972" customFormat="1" ht="15">
      <c r="A78" s="1225"/>
      <c r="B78" s="1220"/>
      <c r="C78" s="1228"/>
      <c r="D78" s="1228"/>
      <c r="E78" s="1228"/>
      <c r="F78" s="1228"/>
      <c r="G78" s="1217"/>
      <c r="H78" s="1217"/>
      <c r="I78" s="1217"/>
      <c r="J78" s="1217"/>
      <c r="K78" s="1217"/>
      <c r="L78" s="1217"/>
      <c r="M78" s="1266"/>
      <c r="N78" s="1277"/>
      <c r="O78" s="1277"/>
      <c r="P78" s="1486"/>
      <c r="Q78" s="1309"/>
      <c r="R78" s="1310"/>
      <c r="S78" s="1310"/>
      <c r="T78" s="1310"/>
      <c r="U78" s="1310"/>
      <c r="V78" s="1310"/>
      <c r="W78" s="1310"/>
      <c r="X78" s="1310"/>
      <c r="Y78" s="1310"/>
      <c r="Z78" s="1310"/>
      <c r="AA78" s="1310"/>
      <c r="AB78" s="1310"/>
      <c r="AC78" s="1310"/>
    </row>
    <row r="79" spans="1:29" ht="27">
      <c r="A79" s="1213" t="s">
        <v>1065</v>
      </c>
      <c r="B79" s="1214" t="s">
        <v>1507</v>
      </c>
      <c r="C79" s="1236">
        <f>C26</f>
        <v>0</v>
      </c>
      <c r="D79" s="1156"/>
      <c r="E79" s="1156"/>
      <c r="F79" s="1156"/>
      <c r="G79" s="1156"/>
      <c r="H79" s="1156"/>
      <c r="I79" s="1156"/>
      <c r="J79" s="1156"/>
      <c r="K79" s="1261"/>
      <c r="L79" s="1262"/>
      <c r="M79" s="1263"/>
      <c r="N79" s="1264"/>
      <c r="O79" s="1264"/>
      <c r="P79" s="1485"/>
      <c r="Q79" s="1188"/>
      <c r="R79" s="1086"/>
      <c r="S79" s="1086"/>
      <c r="T79" s="1086"/>
      <c r="U79" s="1086"/>
      <c r="V79" s="1086"/>
      <c r="W79" s="1086"/>
      <c r="X79" s="1086"/>
      <c r="Y79" s="1086"/>
      <c r="Z79" s="1086"/>
      <c r="AA79" s="1086"/>
      <c r="AB79" s="1086"/>
      <c r="AC79" s="1086"/>
    </row>
    <row r="80" spans="1:29" ht="15">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85"/>
      <c r="Q80" s="1188"/>
      <c r="R80" s="1086"/>
      <c r="S80" s="1086"/>
      <c r="T80" s="1086"/>
      <c r="U80" s="1086"/>
      <c r="V80" s="1086"/>
      <c r="W80" s="1086"/>
      <c r="X80" s="1086"/>
      <c r="Y80" s="1086"/>
      <c r="Z80" s="1086"/>
      <c r="AA80" s="1086"/>
      <c r="AB80" s="1086"/>
      <c r="AC80" s="1086"/>
    </row>
    <row r="81" spans="1:29" ht="15">
      <c r="A81" s="1215"/>
      <c r="B81" s="1218" t="s">
        <v>1498</v>
      </c>
      <c r="C81" s="1489"/>
      <c r="D81" s="1489"/>
      <c r="E81" s="1489"/>
      <c r="F81" s="1489"/>
      <c r="G81" s="1489"/>
      <c r="H81" s="1489"/>
      <c r="I81" s="1489"/>
      <c r="J81" s="1489"/>
      <c r="K81" s="1490"/>
      <c r="L81" s="1491"/>
      <c r="M81" s="1492"/>
      <c r="N81" s="1258"/>
      <c r="O81" s="1258"/>
      <c r="P81" s="1485"/>
      <c r="Q81" s="1188"/>
      <c r="R81" s="1086"/>
      <c r="S81" s="1086"/>
      <c r="T81" s="1086"/>
      <c r="U81" s="1086"/>
      <c r="V81" s="1086"/>
      <c r="W81" s="1086"/>
      <c r="X81" s="1086"/>
      <c r="Y81" s="1086"/>
      <c r="Z81" s="1086"/>
      <c r="AA81" s="1086"/>
      <c r="AB81" s="1086"/>
      <c r="AC81" s="1086"/>
    </row>
    <row r="82" spans="1:29" s="972" customFormat="1" ht="15">
      <c r="A82" s="1225"/>
      <c r="B82" s="1220"/>
      <c r="C82" s="1228"/>
      <c r="D82" s="1217"/>
      <c r="E82" s="1217"/>
      <c r="F82" s="1217"/>
      <c r="G82" s="1217"/>
      <c r="H82" s="1217"/>
      <c r="I82" s="1217"/>
      <c r="J82" s="1217"/>
      <c r="K82" s="1217"/>
      <c r="L82" s="1217"/>
      <c r="M82" s="1266"/>
      <c r="N82" s="1267"/>
      <c r="O82" s="1267"/>
      <c r="P82" s="1486"/>
      <c r="Q82" s="1309"/>
      <c r="R82" s="1310"/>
      <c r="S82" s="1310"/>
      <c r="T82" s="1310"/>
      <c r="U82" s="1310"/>
      <c r="V82" s="1310"/>
      <c r="W82" s="1310"/>
      <c r="X82" s="1310"/>
      <c r="Y82" s="1310"/>
      <c r="Z82" s="1310"/>
      <c r="AA82" s="1310"/>
      <c r="AB82" s="1310"/>
      <c r="AC82" s="1310"/>
    </row>
    <row r="83" spans="1:29">
      <c r="A83" s="1249"/>
      <c r="B83" s="1218" t="s">
        <v>1073</v>
      </c>
      <c r="C83" s="1226"/>
      <c r="D83" s="1226"/>
      <c r="E83" s="1243"/>
      <c r="F83" s="1243"/>
      <c r="G83" s="1243"/>
      <c r="H83" s="1243"/>
      <c r="I83" s="1243"/>
      <c r="J83" s="1243"/>
      <c r="K83" s="1294"/>
      <c r="L83" s="1295"/>
      <c r="M83" s="1296"/>
      <c r="N83" s="1264"/>
      <c r="O83" s="1264"/>
      <c r="P83" s="1485"/>
      <c r="Q83" s="1188"/>
      <c r="R83" s="1086"/>
      <c r="S83" s="1086"/>
      <c r="T83" s="1086"/>
      <c r="U83" s="1086"/>
      <c r="V83" s="1086"/>
      <c r="W83" s="1086"/>
      <c r="X83" s="1086"/>
      <c r="Y83" s="1086"/>
      <c r="Z83" s="1086"/>
      <c r="AA83" s="1086"/>
      <c r="AB83" s="1086"/>
      <c r="AC83" s="1086"/>
    </row>
    <row r="84" spans="1:29" ht="15">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85"/>
      <c r="Q84" s="1188"/>
      <c r="R84" s="1086"/>
      <c r="S84" s="1086"/>
      <c r="T84" s="1086"/>
      <c r="U84" s="1086"/>
      <c r="V84" s="1086"/>
      <c r="W84" s="1086"/>
      <c r="X84" s="1086"/>
      <c r="Y84" s="1086"/>
      <c r="Z84" s="1086"/>
      <c r="AA84" s="1086"/>
      <c r="AB84" s="1086"/>
      <c r="AC84" s="1086"/>
    </row>
    <row r="85" spans="1:29">
      <c r="A85" s="1249"/>
      <c r="B85" s="1218" t="s">
        <v>1499</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85"/>
      <c r="Q85" s="1188"/>
      <c r="R85" s="1086"/>
      <c r="S85" s="1086"/>
      <c r="T85" s="1086"/>
      <c r="U85" s="1086"/>
      <c r="V85" s="1086"/>
      <c r="W85" s="1086"/>
      <c r="X85" s="1086"/>
      <c r="Y85" s="1086"/>
      <c r="Z85" s="1086"/>
      <c r="AA85" s="1086"/>
      <c r="AB85" s="1086"/>
      <c r="AC85" s="1086"/>
    </row>
    <row r="86" spans="1:29">
      <c r="A86" s="1249"/>
      <c r="B86" s="1222"/>
      <c r="C86" s="905">
        <v>0.5</v>
      </c>
      <c r="D86" s="905">
        <v>0.6</v>
      </c>
      <c r="E86" s="905">
        <v>0.7</v>
      </c>
      <c r="F86" s="905">
        <v>0.8</v>
      </c>
      <c r="G86" s="905">
        <v>0.9</v>
      </c>
      <c r="H86" s="905">
        <v>1.0001</v>
      </c>
      <c r="I86" s="1493"/>
      <c r="J86" s="1493"/>
      <c r="K86" s="1494"/>
      <c r="L86" s="1495"/>
      <c r="M86" s="1496"/>
      <c r="N86" s="1264"/>
      <c r="O86" s="1264"/>
      <c r="P86" s="1485"/>
      <c r="Q86" s="1188"/>
      <c r="R86" s="1086"/>
      <c r="S86" s="1086"/>
      <c r="T86" s="1086"/>
      <c r="U86" s="1086"/>
      <c r="V86" s="1086"/>
      <c r="W86" s="1086"/>
      <c r="X86" s="1086"/>
      <c r="Y86" s="1086"/>
      <c r="Z86" s="1086"/>
      <c r="AA86" s="1086"/>
      <c r="AB86" s="1086"/>
      <c r="AC86" s="1086"/>
    </row>
    <row r="87" spans="1:29" ht="15">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85"/>
      <c r="Q87" s="1188"/>
      <c r="R87" s="1086"/>
      <c r="S87" s="1086"/>
      <c r="T87" s="1086"/>
      <c r="U87" s="1086"/>
      <c r="V87" s="1086"/>
      <c r="W87" s="1086"/>
      <c r="X87" s="1086"/>
      <c r="Y87" s="1086"/>
      <c r="Z87" s="1086"/>
      <c r="AA87" s="1086"/>
      <c r="AB87" s="1086"/>
      <c r="AC87" s="1086"/>
    </row>
    <row r="88" spans="1:29">
      <c r="A88" s="1249"/>
      <c r="B88" s="1222" t="s">
        <v>1500</v>
      </c>
      <c r="C88" s="1156"/>
      <c r="D88" s="1156"/>
      <c r="E88" s="1156"/>
      <c r="F88" s="1156"/>
      <c r="G88" s="1156"/>
      <c r="H88" s="1156"/>
      <c r="I88" s="1156"/>
      <c r="J88" s="1156"/>
      <c r="K88" s="1261"/>
      <c r="L88" s="1262"/>
      <c r="M88" s="1263"/>
      <c r="N88" s="1264"/>
      <c r="O88" s="1264"/>
      <c r="P88" s="1485"/>
      <c r="Q88" s="1188"/>
      <c r="R88" s="1086"/>
      <c r="S88" s="1086"/>
      <c r="T88" s="1086"/>
      <c r="U88" s="1086"/>
      <c r="V88" s="1086"/>
      <c r="W88" s="1086"/>
      <c r="X88" s="1086"/>
      <c r="Y88" s="1086"/>
      <c r="Z88" s="1086"/>
      <c r="AA88" s="1086"/>
      <c r="AB88" s="1086"/>
      <c r="AC88" s="1086"/>
    </row>
    <row r="89" spans="1:29" ht="15">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85"/>
      <c r="Q89" s="1188"/>
      <c r="R89" s="1086"/>
      <c r="S89" s="1086"/>
      <c r="T89" s="1086"/>
      <c r="U89" s="1086"/>
      <c r="V89" s="1086"/>
      <c r="W89" s="1086"/>
      <c r="X89" s="1086"/>
      <c r="Y89" s="1086"/>
      <c r="Z89" s="1086"/>
      <c r="AA89" s="1086"/>
      <c r="AB89" s="1086"/>
      <c r="AC89" s="1086"/>
    </row>
    <row r="90" spans="1:29" s="972" customFormat="1">
      <c r="A90" s="1246"/>
      <c r="B90" s="1218" t="s">
        <v>1501</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86"/>
      <c r="Q90" s="1309"/>
      <c r="R90" s="1310"/>
      <c r="S90" s="1310"/>
      <c r="T90" s="1310"/>
      <c r="U90" s="1310"/>
      <c r="V90" s="1310"/>
      <c r="W90" s="1310"/>
      <c r="X90" s="1310"/>
      <c r="Y90" s="1310"/>
      <c r="Z90" s="1310"/>
      <c r="AA90" s="1310"/>
      <c r="AB90" s="1310"/>
      <c r="AC90" s="1310"/>
    </row>
    <row r="91" spans="1:29" s="972" customFormat="1">
      <c r="A91" s="1246"/>
      <c r="B91" s="1222"/>
      <c r="C91" s="1202"/>
      <c r="D91" s="1202"/>
      <c r="E91" s="1202"/>
      <c r="F91" s="1202"/>
      <c r="G91" s="1202"/>
      <c r="H91" s="1202"/>
      <c r="I91" s="1202"/>
      <c r="J91" s="1301"/>
      <c r="K91" s="1301"/>
      <c r="L91" s="1302"/>
      <c r="M91" s="1303"/>
      <c r="N91" s="1277"/>
      <c r="O91" s="1277"/>
      <c r="P91" s="1486"/>
      <c r="Q91" s="1309"/>
      <c r="R91" s="1310"/>
      <c r="S91" s="1310"/>
      <c r="T91" s="1310"/>
      <c r="U91" s="1310"/>
      <c r="V91" s="1310"/>
      <c r="W91" s="1310"/>
      <c r="X91" s="1310"/>
      <c r="Y91" s="1310"/>
      <c r="Z91" s="1310"/>
      <c r="AA91" s="1310"/>
      <c r="AB91" s="1310"/>
      <c r="AC91" s="1310"/>
    </row>
    <row r="92" spans="1:29" s="972" customFormat="1" ht="15">
      <c r="A92" s="1225"/>
      <c r="B92" s="1220"/>
      <c r="C92" s="1228"/>
      <c r="D92" s="1217"/>
      <c r="E92" s="1217"/>
      <c r="F92" s="1217"/>
      <c r="G92" s="1217"/>
      <c r="H92" s="1217"/>
      <c r="I92" s="1217"/>
      <c r="J92" s="1217"/>
      <c r="K92" s="1217"/>
      <c r="L92" s="1217"/>
      <c r="M92" s="1266"/>
      <c r="N92" s="1277"/>
      <c r="O92" s="1277"/>
      <c r="P92" s="1486"/>
      <c r="Q92" s="1309"/>
      <c r="R92" s="1310"/>
      <c r="S92" s="1310"/>
      <c r="T92" s="1310"/>
      <c r="U92" s="1310"/>
      <c r="V92" s="1310"/>
      <c r="W92" s="1310"/>
      <c r="X92" s="1310"/>
      <c r="Y92" s="1310"/>
      <c r="Z92" s="1310"/>
      <c r="AA92" s="1310"/>
      <c r="AB92" s="1310"/>
      <c r="AC92" s="1310"/>
    </row>
    <row r="93" spans="1:29">
      <c r="A93" s="1249"/>
      <c r="B93" s="1218" t="s">
        <v>1502</v>
      </c>
      <c r="C93" s="1226"/>
      <c r="D93" s="1226"/>
      <c r="E93" s="1243"/>
      <c r="F93" s="1243"/>
      <c r="G93" s="1243"/>
      <c r="H93" s="1243"/>
      <c r="I93" s="1243"/>
      <c r="J93" s="1243"/>
      <c r="K93" s="1294"/>
      <c r="L93" s="1295"/>
      <c r="M93" s="1296"/>
      <c r="N93" s="1264"/>
      <c r="O93" s="1264"/>
      <c r="P93" s="1485"/>
      <c r="Q93" s="1188"/>
      <c r="R93" s="1086"/>
      <c r="S93" s="1086"/>
      <c r="T93" s="1086"/>
      <c r="U93" s="1086"/>
      <c r="V93" s="1086"/>
      <c r="W93" s="1086"/>
      <c r="X93" s="1086"/>
      <c r="Y93" s="1086"/>
      <c r="Z93" s="1086"/>
      <c r="AA93" s="1086"/>
      <c r="AB93" s="1086"/>
      <c r="AC93" s="1086"/>
    </row>
    <row r="94" spans="1:29" ht="15">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85"/>
      <c r="Q94" s="1188"/>
      <c r="R94" s="1086"/>
      <c r="S94" s="1086"/>
      <c r="T94" s="1086"/>
      <c r="U94" s="1086"/>
      <c r="V94" s="1086"/>
      <c r="W94" s="1086"/>
      <c r="X94" s="1086"/>
      <c r="Y94" s="1086"/>
      <c r="Z94" s="1086"/>
      <c r="AA94" s="1086"/>
      <c r="AB94" s="1086"/>
      <c r="AC94" s="1086"/>
    </row>
    <row r="95" spans="1:29">
      <c r="A95" s="1249"/>
      <c r="B95" s="1218" t="s">
        <v>1503</v>
      </c>
      <c r="C95" s="1156"/>
      <c r="D95" s="1156"/>
      <c r="E95" s="1156"/>
      <c r="F95" s="1156"/>
      <c r="G95" s="1156"/>
      <c r="H95" s="1156"/>
      <c r="I95" s="1156"/>
      <c r="J95" s="1156"/>
      <c r="K95" s="1261"/>
      <c r="L95" s="1262"/>
      <c r="M95" s="1263"/>
      <c r="N95" s="1264"/>
      <c r="O95" s="1264"/>
      <c r="P95" s="1485"/>
      <c r="Q95" s="1188"/>
      <c r="R95" s="1086"/>
      <c r="S95" s="1086"/>
      <c r="T95" s="1086"/>
      <c r="U95" s="1086"/>
      <c r="V95" s="1086"/>
      <c r="W95" s="1086"/>
      <c r="X95" s="1086"/>
      <c r="Y95" s="1086"/>
      <c r="Z95" s="1086"/>
      <c r="AA95" s="1086"/>
      <c r="AB95" s="1086"/>
      <c r="AC95" s="1086"/>
    </row>
    <row r="96" spans="1:29" ht="15">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85"/>
      <c r="Q96" s="1188"/>
      <c r="R96" s="1086"/>
      <c r="S96" s="1086"/>
      <c r="T96" s="1086"/>
      <c r="U96" s="1086"/>
      <c r="V96" s="1086"/>
      <c r="W96" s="1086"/>
      <c r="X96" s="1086"/>
      <c r="Y96" s="1086"/>
      <c r="Z96" s="1086"/>
      <c r="AA96" s="1086"/>
      <c r="AB96" s="1086"/>
      <c r="AC96" s="1086"/>
    </row>
    <row r="97" spans="1:29">
      <c r="A97" s="1249"/>
      <c r="B97" s="1429">
        <f>B34</f>
        <v>111</v>
      </c>
      <c r="C97" s="1017"/>
      <c r="D97" s="1017"/>
      <c r="E97" s="1017"/>
      <c r="F97" s="1017"/>
      <c r="G97" s="1226"/>
      <c r="H97" s="1227"/>
      <c r="I97" s="1227"/>
      <c r="J97" s="1227"/>
      <c r="K97" s="1227"/>
      <c r="L97" s="1275"/>
      <c r="M97" s="1276"/>
      <c r="N97" s="1267"/>
      <c r="O97" s="1267"/>
      <c r="P97" s="1497"/>
      <c r="Q97" s="1440"/>
      <c r="R97" s="1086"/>
      <c r="S97" s="1086"/>
      <c r="T97" s="1086"/>
      <c r="U97" s="1086"/>
      <c r="V97" s="1086"/>
      <c r="W97" s="1086"/>
      <c r="X97" s="1086"/>
      <c r="Y97" s="1086"/>
      <c r="Z97" s="1086"/>
      <c r="AA97" s="1086"/>
      <c r="AB97" s="1086"/>
      <c r="AC97" s="1086"/>
    </row>
    <row r="98" spans="1:29" ht="15">
      <c r="A98" s="1215"/>
      <c r="B98" s="1220"/>
      <c r="C98" s="1228"/>
      <c r="D98" s="1217"/>
      <c r="E98" s="1217"/>
      <c r="F98" s="1217"/>
      <c r="G98" s="1228"/>
      <c r="H98" s="1229"/>
      <c r="I98" s="1229"/>
      <c r="J98" s="1229"/>
      <c r="K98" s="1229"/>
      <c r="L98" s="1229"/>
      <c r="M98" s="1279"/>
      <c r="N98" s="1267"/>
      <c r="O98" s="1267"/>
      <c r="P98" s="1485"/>
      <c r="Q98" s="1188"/>
      <c r="R98" s="1086"/>
      <c r="S98" s="1086"/>
      <c r="T98" s="1086"/>
      <c r="U98" s="1086"/>
      <c r="V98" s="1086"/>
      <c r="W98" s="1086"/>
      <c r="X98" s="1086"/>
      <c r="Y98" s="1086"/>
      <c r="Z98" s="1086"/>
      <c r="AA98" s="1086"/>
      <c r="AB98" s="1086"/>
      <c r="AC98" s="1086"/>
    </row>
    <row r="99" spans="1:29" s="972" customFormat="1">
      <c r="A99" s="1246"/>
      <c r="B99" s="1218">
        <f>B35</f>
        <v>111</v>
      </c>
      <c r="C99" s="1017"/>
      <c r="D99" s="1017"/>
      <c r="E99" s="1017"/>
      <c r="F99" s="1017"/>
      <c r="G99" s="1226"/>
      <c r="H99" s="1227"/>
      <c r="I99" s="1227"/>
      <c r="J99" s="1227"/>
      <c r="K99" s="1227"/>
      <c r="L99" s="1275"/>
      <c r="M99" s="1276"/>
      <c r="N99" s="1277"/>
      <c r="O99" s="1277"/>
      <c r="P99" s="1486"/>
      <c r="Q99" s="1309"/>
      <c r="R99" s="1310"/>
      <c r="S99" s="1310"/>
      <c r="T99" s="1310"/>
      <c r="U99" s="1310"/>
      <c r="V99" s="1310"/>
      <c r="W99" s="1310"/>
      <c r="X99" s="1310"/>
      <c r="Y99" s="1310"/>
      <c r="Z99" s="1310"/>
      <c r="AA99" s="1310"/>
      <c r="AB99" s="1310"/>
      <c r="AC99" s="1310"/>
    </row>
    <row r="100" spans="1:29" s="972" customFormat="1" ht="15">
      <c r="A100" s="1225"/>
      <c r="B100" s="1216"/>
      <c r="C100" s="1228"/>
      <c r="D100" s="1217"/>
      <c r="E100" s="1217"/>
      <c r="F100" s="1217"/>
      <c r="G100" s="1228"/>
      <c r="H100" s="1229"/>
      <c r="I100" s="1229"/>
      <c r="J100" s="1229"/>
      <c r="K100" s="1229"/>
      <c r="L100" s="1229"/>
      <c r="M100" s="1279"/>
      <c r="N100" s="1277"/>
      <c r="O100" s="1277"/>
      <c r="P100" s="1486"/>
      <c r="Q100" s="1309"/>
      <c r="R100" s="1310"/>
      <c r="S100" s="1310"/>
      <c r="T100" s="1310"/>
      <c r="U100" s="1310"/>
      <c r="V100" s="1310"/>
      <c r="W100" s="1310"/>
      <c r="X100" s="1310"/>
      <c r="Y100" s="1310"/>
      <c r="Z100" s="1310"/>
      <c r="AA100" s="1310"/>
      <c r="AB100" s="1310"/>
      <c r="AC100" s="1310"/>
    </row>
    <row r="101" spans="1:29">
      <c r="A101" s="1249"/>
      <c r="B101" s="1218">
        <f>B36</f>
        <v>111</v>
      </c>
      <c r="C101" s="1226"/>
      <c r="D101" s="1226"/>
      <c r="E101" s="1226"/>
      <c r="F101" s="1226"/>
      <c r="G101" s="1226"/>
      <c r="H101" s="1227"/>
      <c r="I101" s="1227"/>
      <c r="J101" s="1227"/>
      <c r="K101" s="1227"/>
      <c r="L101" s="1275"/>
      <c r="M101" s="1276"/>
      <c r="N101" s="1264"/>
      <c r="O101" s="1264"/>
      <c r="P101" s="1485"/>
      <c r="Q101" s="1188"/>
      <c r="R101" s="1086"/>
      <c r="S101" s="1086"/>
      <c r="T101" s="1086"/>
      <c r="U101" s="1086"/>
      <c r="V101" s="1086"/>
      <c r="W101" s="1086"/>
      <c r="X101" s="1086"/>
      <c r="Y101" s="1086"/>
      <c r="Z101" s="1086"/>
      <c r="AA101" s="1086"/>
      <c r="AB101" s="1086"/>
      <c r="AC101" s="1086"/>
    </row>
    <row r="102" spans="1:29" ht="15">
      <c r="A102" s="1215"/>
      <c r="B102" s="1220"/>
      <c r="C102" s="1228"/>
      <c r="D102" s="1228"/>
      <c r="E102" s="1228"/>
      <c r="F102" s="1228"/>
      <c r="G102" s="1228"/>
      <c r="H102" s="1229"/>
      <c r="I102" s="1229"/>
      <c r="J102" s="1229"/>
      <c r="K102" s="1229"/>
      <c r="L102" s="1229"/>
      <c r="M102" s="1279"/>
      <c r="N102" s="1267"/>
      <c r="O102" s="1267"/>
      <c r="P102" s="1485"/>
      <c r="Q102" s="1188"/>
      <c r="R102" s="1086"/>
      <c r="S102" s="1086"/>
      <c r="T102" s="1086"/>
      <c r="U102" s="1086"/>
      <c r="V102" s="1086"/>
      <c r="W102" s="1086"/>
      <c r="X102" s="1086"/>
      <c r="Y102" s="1086"/>
      <c r="Z102" s="1086"/>
      <c r="AA102" s="1086"/>
      <c r="AB102" s="1086"/>
      <c r="AC102" s="1086"/>
    </row>
    <row r="103" spans="1:29">
      <c r="N103" s="1086"/>
      <c r="O103" s="1086"/>
      <c r="P103" s="1479"/>
      <c r="Q103" s="1086"/>
      <c r="R103" s="1086"/>
      <c r="S103" s="1086"/>
      <c r="T103" s="1086"/>
      <c r="U103" s="1086"/>
      <c r="V103" s="1086"/>
      <c r="W103" s="1086"/>
      <c r="X103" s="1086"/>
      <c r="Y103" s="1086"/>
      <c r="Z103" s="1086"/>
      <c r="AA103" s="1086"/>
      <c r="AB103" s="1086"/>
      <c r="AC103" s="10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95" priority="4">
      <formula>$D$38="简单平均"</formula>
    </cfRule>
  </conditionalFormatting>
  <conditionalFormatting sqref="H38">
    <cfRule type="expression" dxfId="94" priority="3">
      <formula>$D$38="简单平均"</formula>
    </cfRule>
  </conditionalFormatting>
  <conditionalFormatting sqref="J38">
    <cfRule type="expression" dxfId="93" priority="2">
      <formula>$D$38="简单平均"</formula>
    </cfRule>
  </conditionalFormatting>
  <conditionalFormatting sqref="E42">
    <cfRule type="expression" dxfId="92" priority="13" stopIfTrue="1">
      <formula>$F$42="超过30%"</formula>
    </cfRule>
  </conditionalFormatting>
  <conditionalFormatting sqref="G42">
    <cfRule type="expression" dxfId="91" priority="9" stopIfTrue="1">
      <formula>$H$52+$H$42="超过30%"</formula>
    </cfRule>
  </conditionalFormatting>
  <conditionalFormatting sqref="I42">
    <cfRule type="expression" dxfId="90" priority="7" stopIfTrue="1">
      <formula>$J$52+$J$42="超过30%"</formula>
    </cfRule>
  </conditionalFormatting>
  <conditionalFormatting sqref="E43">
    <cfRule type="expression" dxfId="89" priority="11" stopIfTrue="1">
      <formula>$F$43="超过20%"</formula>
    </cfRule>
  </conditionalFormatting>
  <conditionalFormatting sqref="G43">
    <cfRule type="expression" dxfId="88" priority="8" stopIfTrue="1">
      <formula>$H$43="超过20%"</formula>
    </cfRule>
  </conditionalFormatting>
  <conditionalFormatting sqref="I43">
    <cfRule type="expression" dxfId="87" priority="6" stopIfTrue="1">
      <formula>$J$53+$J$43="超过20%"</formula>
    </cfRule>
  </conditionalFormatting>
  <conditionalFormatting sqref="E44">
    <cfRule type="expression" dxfId="86" priority="10" stopIfTrue="1">
      <formula>$F$44="超过30%"</formula>
    </cfRule>
  </conditionalFormatting>
  <conditionalFormatting sqref="F44">
    <cfRule type="containsText" dxfId="85" priority="15" stopIfTrue="1" operator="containsText" text="超过">
      <formula>NOT(ISERROR(SEARCH("超过",F44)))</formula>
    </cfRule>
  </conditionalFormatting>
  <conditionalFormatting sqref="G44">
    <cfRule type="expression" dxfId="84" priority="12" stopIfTrue="1">
      <formula>$H$54+$H$44="超过30%"</formula>
    </cfRule>
  </conditionalFormatting>
  <conditionalFormatting sqref="H44">
    <cfRule type="containsText" dxfId="83" priority="16" stopIfTrue="1" operator="containsText" text="超过">
      <formula>NOT(ISERROR(SEARCH("超过",H44)))</formula>
    </cfRule>
  </conditionalFormatting>
  <conditionalFormatting sqref="I44">
    <cfRule type="expression" dxfId="82" priority="5" stopIfTrue="1">
      <formula>$J$44="超过30%"</formula>
    </cfRule>
  </conditionalFormatting>
  <conditionalFormatting sqref="J44">
    <cfRule type="containsText" dxfId="81" priority="17" stopIfTrue="1" operator="containsText" text="超过">
      <formula>NOT(ISERROR(SEARCH("超过",J44)))</formula>
    </cfRule>
  </conditionalFormatting>
  <conditionalFormatting sqref="F7:F36 H7:H36 J7:J36">
    <cfRule type="cellIs" dxfId="80" priority="1" operator="notEqual">
      <formula>100</formula>
    </cfRule>
  </conditionalFormatting>
  <conditionalFormatting sqref="F42 H42 J42">
    <cfRule type="containsText" dxfId="79" priority="18" stopIfTrue="1" operator="containsText" text="超过">
      <formula>NOT(ISERROR(SEARCH("超过",F42)))</formula>
    </cfRule>
  </conditionalFormatting>
  <conditionalFormatting sqref="F43 H43 J43">
    <cfRule type="containsText" dxfId="7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81" customWidth="1"/>
    <col min="2" max="16384" width="9" style="581"/>
  </cols>
  <sheetData>
    <row r="1" spans="1:1" ht="23.25">
      <c r="A1" s="3134" t="s">
        <v>82</v>
      </c>
    </row>
    <row r="2" spans="1:1">
      <c r="A2" s="3135"/>
    </row>
    <row r="3" spans="1:1" ht="18">
      <c r="A3" s="3136" t="str">
        <f>项目基本情况!B5&amp;"："</f>
        <v>：</v>
      </c>
    </row>
    <row r="4" spans="1:1" ht="18">
      <c r="A4" s="3137" t="str">
        <f>"受贵公司委托，我公司对"&amp;项目基本情况!S1&amp;"进行了预评估。"</f>
        <v>受贵公司委托，我公司对北京市房地产市场价值进行了预评估。</v>
      </c>
    </row>
    <row r="5" spans="1:1" ht="18.75">
      <c r="A5" s="3138" t="s">
        <v>83</v>
      </c>
    </row>
    <row r="6" spans="1:1" ht="18.75">
      <c r="A6" s="3139" t="s">
        <v>84</v>
      </c>
    </row>
    <row r="7" spans="1:1" ht="36">
      <c r="A7" s="31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估价对象为北京市房地产，为所有。根据《国有土地使用证》[]，估价对象（分摊）出让国有建设用地使用权面积为0.39平方米，建筑面积为1平方米。</v>
      </c>
    </row>
    <row r="8" spans="1:1" ht="57.75">
      <c r="A8" s="3140" t="s">
        <v>85</v>
      </c>
    </row>
    <row r="9" spans="1:1" ht="18.75">
      <c r="A9" s="3139" t="s">
        <v>86</v>
      </c>
    </row>
    <row r="10" spans="1:1" ht="54">
      <c r="A10" s="31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估价对象为北京市房地产,为开发建设的居住项目，该项目尚在开发建设中。根据《国有土地使用证》[]，估价对象（分摊）出让国有建设用地使用权面积为0.39平方米，规划建筑面积为1平方米。</v>
      </c>
    </row>
    <row r="11" spans="1:1" ht="76.5">
      <c r="A11" s="3140" t="s">
        <v>87</v>
      </c>
    </row>
    <row r="12" spans="1:1" ht="18.75">
      <c r="A12" s="3138" t="s">
        <v>88</v>
      </c>
    </row>
    <row r="13" spans="1:1" ht="38.25" customHeight="1">
      <c r="A13" s="3141" t="str">
        <f>IF(项目基本情况!B8="抵押",IF(项目基本情况!B5=项目基本情况!B6,定义!C51,定义!B51),定义!D51)</f>
        <v>为估价委托人了解估价对象房地产市场价值提供参考依据。</v>
      </c>
    </row>
    <row r="14" spans="1:1" ht="18.75">
      <c r="A14" s="3142" t="s">
        <v>89</v>
      </c>
    </row>
    <row r="15" spans="1:1" ht="18">
      <c r="A15" s="3143" t="str">
        <f>TEXT(项目基本情况!D3,"yyyy年m月d日;;")&amp;IF(项目基本情况!D3=项目基本情况!B3,"（评估专业人员实地查勘之日）","")</f>
        <v>2021年5月31日（评估专业人员实地查勘之日）</v>
      </c>
    </row>
    <row r="16" spans="1:1" ht="18.75">
      <c r="A16" s="3142" t="s">
        <v>90</v>
      </c>
    </row>
    <row r="17" spans="1:1" ht="75">
      <c r="A17" s="3137" t="s">
        <v>91</v>
      </c>
    </row>
    <row r="18" spans="1:1" ht="54">
      <c r="A18" s="31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本次估价的“房地产价值”是指在正常市场情况下，在价值时点2021年5月31日，估价对象规划用途为，土地取得方式为划拨，假定未设立法定优先受偿款下的房地产市场价值。</v>
      </c>
    </row>
    <row r="19" spans="1:1" ht="157.5" customHeight="1">
      <c r="A19" s="31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37" t="str">
        <f>IF(项目基本情况!B9="房地产市场价值","——",IF(项目基本情况!E8="房地产抵押价值",定义!C54,IF(项目基本情况!E8="已注销",定义!C55,定义!C56)))</f>
        <v>——</v>
      </c>
    </row>
    <row r="21" spans="1:1" ht="18">
      <c r="A21" s="31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37" t="str">
        <f>IF(项目基本情况!B9="房地产市场价值","——",IF(项目基本情况!E9="——","",定义!C57))</f>
        <v>——</v>
      </c>
    </row>
    <row r="23" spans="1:1" ht="18.75">
      <c r="A23" s="3142" t="s">
        <v>92</v>
      </c>
    </row>
    <row r="24" spans="1:1" ht="18">
      <c r="A24" s="3109" t="str">
        <f>"本次评估采用的主估价方法为"&amp;结果表!K4&amp;"和"&amp;结果表!L4&amp;"。"</f>
        <v>本次评估采用的主估价方法为成本法和比较法。</v>
      </c>
    </row>
    <row r="25" spans="1:1" ht="18">
      <c r="A25" s="3109"/>
    </row>
    <row r="26" spans="1:1" ht="18.75">
      <c r="A26" s="3144"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1495</v>
      </c>
      <c r="B1" s="1364"/>
      <c r="C1" s="1365" t="s">
        <v>1021</v>
      </c>
      <c r="D1" s="1366"/>
      <c r="E1" s="1367"/>
      <c r="F1" s="1368"/>
      <c r="G1" s="1369" t="s">
        <v>1023</v>
      </c>
      <c r="H1" s="1367"/>
      <c r="I1" s="1367"/>
      <c r="J1" s="1367"/>
      <c r="K1" s="1420"/>
      <c r="L1" s="1421"/>
      <c r="M1" s="1422"/>
      <c r="N1" s="1422"/>
      <c r="O1" s="1422"/>
      <c r="P1" s="1365"/>
      <c r="Q1" s="1365"/>
      <c r="R1" s="1365"/>
      <c r="S1" s="1365"/>
      <c r="T1" s="1365"/>
      <c r="U1" s="1365"/>
      <c r="V1" s="1365"/>
      <c r="W1" s="1365"/>
      <c r="X1" s="1365"/>
      <c r="Y1" s="1365"/>
      <c r="Z1" s="1365"/>
      <c r="AA1" s="1365"/>
      <c r="AB1" s="1365"/>
      <c r="AC1" s="1428"/>
    </row>
    <row r="2" spans="1:29" s="969" customFormat="1" ht="28.5" customHeight="1">
      <c r="A2" s="1370" t="s">
        <v>923</v>
      </c>
      <c r="B2" s="1371" t="e">
        <f ca="1">IF(C2="——",ROUND(C37*D3/10000,0),ROUND(C37*D3/10000,0)-D2)</f>
        <v>#DIV/0!</v>
      </c>
      <c r="C2" s="1372"/>
      <c r="D2" s="1312" t="e">
        <f ca="1">SUMIF(INDIRECT("'"&amp;F2&amp;"'"&amp;"!A:A"),"承租人权益价值",INDIRECT("'"&amp;F2&amp;"'"&amp;"!c:c"))</f>
        <v>#REF!</v>
      </c>
      <c r="E2" s="1373" t="s">
        <v>924</v>
      </c>
      <c r="F2" s="1374"/>
      <c r="G2" s="985"/>
      <c r="H2" s="985"/>
      <c r="I2" s="985"/>
      <c r="J2" s="985"/>
      <c r="K2" s="1130"/>
      <c r="L2" s="1131"/>
      <c r="M2" s="1132"/>
      <c r="N2" s="1132"/>
      <c r="O2" s="1132"/>
      <c r="P2" s="1129"/>
      <c r="Q2" s="1129"/>
      <c r="R2" s="1129"/>
      <c r="S2" s="1129"/>
      <c r="T2" s="1129"/>
      <c r="U2" s="1129"/>
      <c r="V2" s="1129"/>
      <c r="W2" s="1129"/>
      <c r="X2" s="1129"/>
      <c r="Y2" s="1129"/>
      <c r="Z2" s="1129"/>
      <c r="AA2" s="1129"/>
      <c r="AB2" s="1129"/>
      <c r="AC2" s="1189"/>
    </row>
    <row r="3" spans="1:29" s="969" customFormat="1" ht="28.5" customHeight="1">
      <c r="A3" s="241" t="s">
        <v>925</v>
      </c>
      <c r="B3" s="987" t="e">
        <f ca="1">IF(C2="——",C37,ROUND(B2*10000/D3,0))</f>
        <v>#DIV/0!</v>
      </c>
      <c r="C3" s="1375" t="s">
        <v>1024</v>
      </c>
      <c r="D3" s="1376">
        <f>SUMIF('数据-汇总表'!$C19:$C33,D1,'数据-汇总表'!$E19:$E33)</f>
        <v>0</v>
      </c>
      <c r="E3" s="985"/>
      <c r="F3" s="986"/>
      <c r="G3" s="985"/>
      <c r="H3" s="985"/>
      <c r="I3" s="985"/>
      <c r="J3" s="985"/>
      <c r="K3" s="1130"/>
      <c r="L3" s="1131"/>
      <c r="M3" s="1132"/>
      <c r="N3" s="1132"/>
      <c r="O3" s="1132"/>
      <c r="P3" s="1129"/>
      <c r="Q3" s="1129"/>
      <c r="R3" s="1129"/>
      <c r="S3" s="1129"/>
      <c r="T3" s="1129"/>
      <c r="U3" s="1129"/>
      <c r="V3" s="1129"/>
      <c r="W3" s="1129"/>
      <c r="X3" s="1129"/>
      <c r="Y3" s="1129"/>
      <c r="Z3" s="1129"/>
      <c r="AA3" s="1129"/>
      <c r="AB3" s="1190"/>
      <c r="AC3" s="1191"/>
    </row>
    <row r="4" spans="1:29" ht="15">
      <c r="A4" s="989" t="s">
        <v>1025</v>
      </c>
      <c r="B4" s="990"/>
      <c r="C4" s="3443" t="s">
        <v>1026</v>
      </c>
      <c r="D4" s="3444"/>
      <c r="E4" s="3445" t="s">
        <v>1027</v>
      </c>
      <c r="F4" s="3446"/>
      <c r="G4" s="3443" t="s">
        <v>1028</v>
      </c>
      <c r="H4" s="3444"/>
      <c r="I4" s="3443" t="s">
        <v>1029</v>
      </c>
      <c r="J4" s="3444"/>
      <c r="K4" s="1133" t="s">
        <v>1030</v>
      </c>
      <c r="L4" s="1134"/>
      <c r="M4" s="1135"/>
      <c r="N4" s="1135"/>
      <c r="O4" s="1135"/>
      <c r="P4" s="3477" t="s">
        <v>1031</v>
      </c>
      <c r="Q4" s="3478"/>
      <c r="R4" s="3483" t="s">
        <v>1027</v>
      </c>
      <c r="S4" s="3484"/>
      <c r="T4" s="3483" t="s">
        <v>1028</v>
      </c>
      <c r="U4" s="3484"/>
      <c r="V4" s="3459" t="s">
        <v>1029</v>
      </c>
      <c r="W4" s="3459"/>
      <c r="X4" s="1177"/>
      <c r="Y4" s="3483" t="s">
        <v>1031</v>
      </c>
      <c r="Z4" s="3484"/>
      <c r="AA4" s="3474" t="s">
        <v>1027</v>
      </c>
      <c r="AB4" s="3475" t="s">
        <v>1028</v>
      </c>
      <c r="AC4" s="3474" t="s">
        <v>1029</v>
      </c>
    </row>
    <row r="5" spans="1:29" ht="15">
      <c r="A5" s="991"/>
      <c r="B5" s="992"/>
      <c r="C5" s="3447" t="s">
        <v>1032</v>
      </c>
      <c r="D5" s="3448"/>
      <c r="E5" s="3449" t="s">
        <v>1469</v>
      </c>
      <c r="F5" s="3450"/>
      <c r="G5" s="3447" t="s">
        <v>1470</v>
      </c>
      <c r="H5" s="3448"/>
      <c r="I5" s="3447" t="s">
        <v>1471</v>
      </c>
      <c r="J5" s="3448"/>
      <c r="K5" s="1133"/>
      <c r="L5" s="1134"/>
      <c r="M5" s="1135"/>
      <c r="N5" s="1135"/>
      <c r="O5" s="1135"/>
      <c r="P5" s="3479"/>
      <c r="Q5" s="3480"/>
      <c r="R5" s="3485"/>
      <c r="S5" s="3486"/>
      <c r="T5" s="3485"/>
      <c r="U5" s="3486"/>
      <c r="V5" s="3459"/>
      <c r="W5" s="3459"/>
      <c r="X5" s="1177"/>
      <c r="Y5" s="3485"/>
      <c r="Z5" s="3486"/>
      <c r="AA5" s="3475"/>
      <c r="AB5" s="3475"/>
      <c r="AC5" s="3475"/>
    </row>
    <row r="6" spans="1:29" ht="15">
      <c r="A6" s="993"/>
      <c r="B6" s="994"/>
      <c r="C6" s="3451" t="s">
        <v>1033</v>
      </c>
      <c r="D6" s="3452"/>
      <c r="E6" s="3453" t="s">
        <v>1033</v>
      </c>
      <c r="F6" s="3454"/>
      <c r="G6" s="3451" t="s">
        <v>1033</v>
      </c>
      <c r="H6" s="3452"/>
      <c r="I6" s="3451" t="s">
        <v>1033</v>
      </c>
      <c r="J6" s="3452"/>
      <c r="K6" s="1133" t="s">
        <v>1034</v>
      </c>
      <c r="L6" s="1134"/>
      <c r="M6" s="1135"/>
      <c r="N6" s="1135"/>
      <c r="O6" s="1135"/>
      <c r="P6" s="3481"/>
      <c r="Q6" s="3482"/>
      <c r="R6" s="3485"/>
      <c r="S6" s="3486"/>
      <c r="T6" s="3487"/>
      <c r="U6" s="3488"/>
      <c r="V6" s="3459"/>
      <c r="W6" s="3459"/>
      <c r="X6" s="1177"/>
      <c r="Y6" s="3487"/>
      <c r="Z6" s="3488"/>
      <c r="AA6" s="3476"/>
      <c r="AB6" s="3476"/>
      <c r="AC6" s="3476"/>
    </row>
    <row r="7" spans="1:29" s="970" customFormat="1" ht="15">
      <c r="A7" s="995" t="s">
        <v>1035</v>
      </c>
      <c r="B7" s="996"/>
      <c r="C7" s="997">
        <f>'数据-取费表'!B2</f>
        <v>44347</v>
      </c>
      <c r="D7" s="998">
        <v>100</v>
      </c>
      <c r="E7" s="999"/>
      <c r="F7" s="1000">
        <f>SUMIF(46:46,YEAR(E7)&amp;"-"&amp;MONTH(E7),47:47)</f>
        <v>0</v>
      </c>
      <c r="G7" s="1001"/>
      <c r="H7" s="998">
        <f>SUMIF(46:46,YEAR(G7)&amp;"-"&amp;MONTH(G7),47:47)</f>
        <v>0</v>
      </c>
      <c r="I7" s="999"/>
      <c r="J7" s="998">
        <f>SUMIF(46:46,YEAR(I7)&amp;"-"&amp;MONTH(I7),47:47)</f>
        <v>0</v>
      </c>
      <c r="K7" s="1136"/>
      <c r="L7" s="1137"/>
      <c r="M7" s="1138"/>
      <c r="N7" s="1138"/>
      <c r="O7" s="1138"/>
      <c r="P7" s="3455" t="s">
        <v>1036</v>
      </c>
      <c r="Q7" s="3456"/>
      <c r="R7" s="1178" t="s">
        <v>1037</v>
      </c>
      <c r="S7" s="1179">
        <f t="shared" ref="S7:S14" si="0">F7</f>
        <v>0</v>
      </c>
      <c r="T7" s="1178" t="s">
        <v>1037</v>
      </c>
      <c r="U7" s="1179">
        <f t="shared" ref="U7:U14" si="1">H7</f>
        <v>0</v>
      </c>
      <c r="V7" s="1178" t="s">
        <v>1037</v>
      </c>
      <c r="W7" s="1179">
        <f t="shared" ref="W7:W14" si="2">J7</f>
        <v>0</v>
      </c>
      <c r="X7" s="1180"/>
      <c r="Y7" s="3455" t="s">
        <v>1036</v>
      </c>
      <c r="Z7" s="3457"/>
      <c r="AA7" s="1192" t="e">
        <f>D7/F7</f>
        <v>#DIV/0!</v>
      </c>
      <c r="AB7" s="1192" t="e">
        <f>D7/H7</f>
        <v>#DIV/0!</v>
      </c>
      <c r="AC7" s="1192" t="e">
        <f>D7/J7</f>
        <v>#DIV/0!</v>
      </c>
    </row>
    <row r="8" spans="1:29" s="970" customFormat="1" ht="15">
      <c r="A8" s="995" t="s">
        <v>1038</v>
      </c>
      <c r="B8" s="996"/>
      <c r="C8" s="1002" t="s">
        <v>1039</v>
      </c>
      <c r="D8" s="998">
        <v>100</v>
      </c>
      <c r="E8" s="1002"/>
      <c r="F8" s="1000">
        <f>SUMIF(49:49,E8,50:50)-SUMIF(49:49,C8,50:50)+100</f>
        <v>0</v>
      </c>
      <c r="G8" s="1002"/>
      <c r="H8" s="998">
        <f>SUMIF(49:49,G8,50:50)-SUMIF(49:49,C8,50:50)+100</f>
        <v>0</v>
      </c>
      <c r="I8" s="1002"/>
      <c r="J8" s="998">
        <f>SUMIF(49:49,I8,50:50)-SUMIF(49:49,C8,50:50)+100</f>
        <v>0</v>
      </c>
      <c r="K8" s="1136"/>
      <c r="L8" s="1137"/>
      <c r="M8" s="1138"/>
      <c r="N8" s="1138"/>
      <c r="O8" s="1138"/>
      <c r="P8" s="3455" t="s">
        <v>1041</v>
      </c>
      <c r="Q8" s="3457"/>
      <c r="R8" s="1178" t="s">
        <v>1037</v>
      </c>
      <c r="S8" s="1179">
        <f t="shared" si="0"/>
        <v>0</v>
      </c>
      <c r="T8" s="1178" t="s">
        <v>1037</v>
      </c>
      <c r="U8" s="1179">
        <f t="shared" si="1"/>
        <v>0</v>
      </c>
      <c r="V8" s="1178" t="s">
        <v>1037</v>
      </c>
      <c r="W8" s="1179">
        <f t="shared" si="2"/>
        <v>0</v>
      </c>
      <c r="X8" s="1180"/>
      <c r="Y8" s="3455" t="s">
        <v>1041</v>
      </c>
      <c r="Z8" s="3457"/>
      <c r="AA8" s="1192" t="e">
        <f t="shared" ref="AA8:AA34" si="3">D8/F8</f>
        <v>#DIV/0!</v>
      </c>
      <c r="AB8" s="1192" t="e">
        <f t="shared" ref="AB8:AB34" si="4">D8/H8</f>
        <v>#DIV/0!</v>
      </c>
      <c r="AC8" s="1192" t="e">
        <f t="shared" ref="AC8:AC34" si="5">D8/J8</f>
        <v>#DIV/0!</v>
      </c>
    </row>
    <row r="9" spans="1:29" s="970" customFormat="1">
      <c r="A9" s="1003" t="s">
        <v>1042</v>
      </c>
      <c r="B9" s="1004" t="s">
        <v>1043</v>
      </c>
      <c r="C9" s="1377"/>
      <c r="D9" s="1006">
        <v>100</v>
      </c>
      <c r="E9" s="1378"/>
      <c r="F9" s="1379">
        <f>SUMIF(51:51,E9,52:52)-SUMIF(51:51,C9,52:52)+100</f>
        <v>100</v>
      </c>
      <c r="G9" s="1378"/>
      <c r="H9" s="1006">
        <f>SUMIF(51:51,G9,52:52)-SUMIF(51:51,C9,52:52)+100</f>
        <v>100</v>
      </c>
      <c r="I9" s="1378"/>
      <c r="J9" s="1006">
        <f>SUMIF(51:51,I9,52:52)-SUMIF(51:51,C9,52:52)+100</f>
        <v>100</v>
      </c>
      <c r="K9" s="1136"/>
      <c r="L9" s="1137"/>
      <c r="M9" s="1138"/>
      <c r="N9" s="1138"/>
      <c r="O9" s="1139"/>
      <c r="P9" s="3458" t="s">
        <v>1045</v>
      </c>
      <c r="Q9" s="1182" t="str">
        <f t="shared" ref="Q9:Q14" si="6">B9</f>
        <v>用途</v>
      </c>
      <c r="R9" s="1178" t="s">
        <v>1037</v>
      </c>
      <c r="S9" s="1179">
        <f t="shared" si="0"/>
        <v>100</v>
      </c>
      <c r="T9" s="1178" t="s">
        <v>1037</v>
      </c>
      <c r="U9" s="1179">
        <f t="shared" si="1"/>
        <v>100</v>
      </c>
      <c r="V9" s="1178" t="s">
        <v>1037</v>
      </c>
      <c r="W9" s="1179">
        <f t="shared" si="2"/>
        <v>100</v>
      </c>
      <c r="X9" s="1180"/>
      <c r="Y9" s="3411" t="s">
        <v>1046</v>
      </c>
      <c r="Z9" s="1193" t="str">
        <f t="shared" ref="Z9:Z14" si="7">Q9</f>
        <v>用途</v>
      </c>
      <c r="AA9" s="1192">
        <f t="shared" si="3"/>
        <v>1</v>
      </c>
      <c r="AB9" s="1192">
        <f t="shared" si="4"/>
        <v>1</v>
      </c>
      <c r="AC9" s="1192">
        <f t="shared" si="5"/>
        <v>1</v>
      </c>
    </row>
    <row r="10" spans="1:29" s="971" customFormat="1" ht="27">
      <c r="A10" s="1007"/>
      <c r="B10" s="1008" t="s">
        <v>1047</v>
      </c>
      <c r="C10" s="1380"/>
      <c r="D10" s="1010">
        <v>100</v>
      </c>
      <c r="E10" s="1380"/>
      <c r="F10" s="1381">
        <f>SUMIF(53:53,E10,54:54)-SUMIF(53:53,C10,54:54)+100</f>
        <v>100</v>
      </c>
      <c r="G10" s="1380"/>
      <c r="H10" s="1010">
        <f>SUMIF(53:53,G10,54:54)-SUMIF(53:53,C10,54:54)+100</f>
        <v>100</v>
      </c>
      <c r="I10" s="1380"/>
      <c r="J10" s="1010">
        <f>SUMIF(53:53,I10,54:54)-SUMIF(53:53,C10,54:54)+100</f>
        <v>100</v>
      </c>
      <c r="K10" s="1153"/>
      <c r="L10" s="1141"/>
      <c r="M10" s="1142"/>
      <c r="N10" s="1142"/>
      <c r="O10" s="1143"/>
      <c r="P10" s="3458"/>
      <c r="Q10" s="1182" t="str">
        <f t="shared" si="6"/>
        <v>土地使用年限（年）</v>
      </c>
      <c r="R10" s="1178" t="s">
        <v>1037</v>
      </c>
      <c r="S10" s="1179">
        <f t="shared" si="0"/>
        <v>100</v>
      </c>
      <c r="T10" s="1178" t="s">
        <v>1037</v>
      </c>
      <c r="U10" s="1179">
        <f t="shared" si="1"/>
        <v>100</v>
      </c>
      <c r="V10" s="1178" t="s">
        <v>1037</v>
      </c>
      <c r="W10" s="1179">
        <f t="shared" si="2"/>
        <v>100</v>
      </c>
      <c r="X10" s="1180"/>
      <c r="Y10" s="3411"/>
      <c r="Z10" s="1193" t="str">
        <f t="shared" si="7"/>
        <v>土地使用年限（年）</v>
      </c>
      <c r="AA10" s="1192">
        <f t="shared" si="3"/>
        <v>1</v>
      </c>
      <c r="AB10" s="1192">
        <f t="shared" si="4"/>
        <v>1</v>
      </c>
      <c r="AC10" s="1192">
        <f t="shared" si="5"/>
        <v>1</v>
      </c>
    </row>
    <row r="11" spans="1:29" ht="15">
      <c r="A11" s="1011"/>
      <c r="B11" s="1015">
        <v>111</v>
      </c>
      <c r="C11" s="1009"/>
      <c r="D11" s="1010">
        <v>100</v>
      </c>
      <c r="E11" s="1382"/>
      <c r="F11" s="1381">
        <f>SUMIF(55:55,E11,56:56)-SUMIF(55:55,C11,56:56)+100</f>
        <v>100</v>
      </c>
      <c r="G11" s="1382"/>
      <c r="H11" s="1010">
        <f>SUMIF(55:55,G11,56:56)-SUMIF(55:55,C11,56:56)+100</f>
        <v>100</v>
      </c>
      <c r="I11" s="1382"/>
      <c r="J11" s="1010">
        <f>SUMIF(55:55,I11,56:56)-SUMIF(55:55,C11,56:56)+100</f>
        <v>100</v>
      </c>
      <c r="K11" s="1152"/>
      <c r="L11" s="1145"/>
      <c r="M11" s="1135"/>
      <c r="N11" s="1135"/>
      <c r="O11" s="1146"/>
      <c r="P11" s="3458"/>
      <c r="Q11" s="1182">
        <f t="shared" si="6"/>
        <v>111</v>
      </c>
      <c r="R11" s="1178" t="s">
        <v>1037</v>
      </c>
      <c r="S11" s="1179">
        <f t="shared" si="0"/>
        <v>100</v>
      </c>
      <c r="T11" s="1178" t="s">
        <v>1037</v>
      </c>
      <c r="U11" s="1179">
        <f t="shared" si="1"/>
        <v>100</v>
      </c>
      <c r="V11" s="1178" t="s">
        <v>1037</v>
      </c>
      <c r="W11" s="1179">
        <f t="shared" si="2"/>
        <v>100</v>
      </c>
      <c r="X11" s="1180"/>
      <c r="Y11" s="3411"/>
      <c r="Z11" s="1193">
        <f t="shared" si="7"/>
        <v>111</v>
      </c>
      <c r="AA11" s="1192">
        <f t="shared" si="3"/>
        <v>1</v>
      </c>
      <c r="AB11" s="1192">
        <f t="shared" si="4"/>
        <v>1</v>
      </c>
      <c r="AC11" s="1192">
        <f t="shared" si="5"/>
        <v>1</v>
      </c>
    </row>
    <row r="12" spans="1:29" s="970" customFormat="1" ht="15">
      <c r="A12" s="1014"/>
      <c r="B12" s="1015">
        <v>111</v>
      </c>
      <c r="C12" s="1009"/>
      <c r="D12" s="1016">
        <v>100</v>
      </c>
      <c r="E12" s="1382"/>
      <c r="F12" s="1381">
        <f>SUMIF(57:57,E12,58:58)-SUMIF(57:57,C12,58:58)+100</f>
        <v>100</v>
      </c>
      <c r="G12" s="1382"/>
      <c r="H12" s="1010">
        <f>SUMIF(57:57,G12,58:58)-SUMIF(57:57,C12,58:58)+100</f>
        <v>100</v>
      </c>
      <c r="I12" s="1382"/>
      <c r="J12" s="1010">
        <f>SUMIF(57:57,I12,58:58)-SUMIF(57:57,C12,58:58)+100</f>
        <v>100</v>
      </c>
      <c r="K12" s="1152"/>
      <c r="L12" s="1137"/>
      <c r="M12" s="1138"/>
      <c r="N12" s="1138"/>
      <c r="O12" s="1139"/>
      <c r="P12" s="3458"/>
      <c r="Q12" s="1182">
        <f t="shared" si="6"/>
        <v>111</v>
      </c>
      <c r="R12" s="1178" t="s">
        <v>1037</v>
      </c>
      <c r="S12" s="1179">
        <f t="shared" si="0"/>
        <v>100</v>
      </c>
      <c r="T12" s="1178" t="s">
        <v>1037</v>
      </c>
      <c r="U12" s="1179">
        <f t="shared" si="1"/>
        <v>100</v>
      </c>
      <c r="V12" s="1178" t="s">
        <v>1037</v>
      </c>
      <c r="W12" s="1179">
        <f t="shared" si="2"/>
        <v>100</v>
      </c>
      <c r="X12" s="1180"/>
      <c r="Y12" s="3411"/>
      <c r="Z12" s="1193">
        <f t="shared" si="7"/>
        <v>111</v>
      </c>
      <c r="AA12" s="1192">
        <f t="shared" si="3"/>
        <v>1</v>
      </c>
      <c r="AB12" s="1192">
        <f t="shared" si="4"/>
        <v>1</v>
      </c>
      <c r="AC12" s="1192">
        <f t="shared" si="5"/>
        <v>1</v>
      </c>
    </row>
    <row r="13" spans="1:29" ht="15">
      <c r="A13" s="1011"/>
      <c r="B13" s="1015">
        <v>111</v>
      </c>
      <c r="C13" s="1019"/>
      <c r="D13" s="1020">
        <v>100</v>
      </c>
      <c r="E13" s="1382"/>
      <c r="F13" s="1381">
        <f>SUMIF(59:59,E13,60:60)-SUMIF(59:59,C13,60:60)+100</f>
        <v>100</v>
      </c>
      <c r="G13" s="1383"/>
      <c r="H13" s="1024">
        <f>SUMIF(59:59,G13,60:60)-SUMIF(59:59,C13,60:60)+100</f>
        <v>100</v>
      </c>
      <c r="I13" s="1382"/>
      <c r="J13" s="1020">
        <f>SUMIF(59:59,I13,60:60)-SUMIF(59:59,C13,60:60)+100</f>
        <v>100</v>
      </c>
      <c r="K13" s="1152"/>
      <c r="L13" s="1147"/>
      <c r="M13" s="1135"/>
      <c r="N13" s="1135"/>
      <c r="O13" s="1146"/>
      <c r="P13" s="3458"/>
      <c r="Q13" s="1182">
        <f t="shared" si="6"/>
        <v>111</v>
      </c>
      <c r="R13" s="1178" t="s">
        <v>1037</v>
      </c>
      <c r="S13" s="1179">
        <f t="shared" si="0"/>
        <v>100</v>
      </c>
      <c r="T13" s="1178" t="s">
        <v>1037</v>
      </c>
      <c r="U13" s="1179">
        <f t="shared" si="1"/>
        <v>100</v>
      </c>
      <c r="V13" s="1178" t="s">
        <v>1037</v>
      </c>
      <c r="W13" s="1179">
        <f t="shared" si="2"/>
        <v>100</v>
      </c>
      <c r="X13" s="1180"/>
      <c r="Y13" s="3411"/>
      <c r="Z13" s="1193">
        <f t="shared" si="7"/>
        <v>111</v>
      </c>
      <c r="AA13" s="1192">
        <f t="shared" si="3"/>
        <v>1</v>
      </c>
      <c r="AB13" s="1192">
        <f t="shared" si="4"/>
        <v>1</v>
      </c>
      <c r="AC13" s="1192">
        <f t="shared" si="5"/>
        <v>1</v>
      </c>
    </row>
    <row r="14" spans="1:29" ht="156.75">
      <c r="A14" s="1025" t="s">
        <v>1051</v>
      </c>
      <c r="B14" s="1317" t="s">
        <v>1056</v>
      </c>
      <c r="C14" s="1027"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1028">
        <v>100</v>
      </c>
      <c r="E14" s="1029"/>
      <c r="F14" s="1384">
        <f>SUMIF(61:61,E15,62:62)-SUMIF(61:61,C15,62:62)+100</f>
        <v>100</v>
      </c>
      <c r="G14" s="1148"/>
      <c r="H14" s="1028">
        <f>SUMIF(61:61,G15,62:62)-SUMIF(61:61,C15,62:62)+100</f>
        <v>100</v>
      </c>
      <c r="I14" s="1029"/>
      <c r="J14" s="1028">
        <f>SUMIF(61:61,I15,62:62)-SUMIF(61:61,C15,62:62)+100</f>
        <v>100</v>
      </c>
      <c r="K14" s="1423"/>
      <c r="L14" s="1147"/>
      <c r="M14" s="1135"/>
      <c r="N14" s="1135"/>
      <c r="O14" s="1146"/>
      <c r="P14" s="3466" t="s">
        <v>1053</v>
      </c>
      <c r="Q14" s="746" t="str">
        <f t="shared" si="6"/>
        <v>交通便捷度</v>
      </c>
      <c r="R14" s="1183" t="s">
        <v>1037</v>
      </c>
      <c r="S14" s="1184">
        <f t="shared" si="0"/>
        <v>100</v>
      </c>
      <c r="T14" s="1183" t="s">
        <v>1037</v>
      </c>
      <c r="U14" s="1184">
        <f t="shared" si="1"/>
        <v>100</v>
      </c>
      <c r="V14" s="1183" t="s">
        <v>1037</v>
      </c>
      <c r="W14" s="1184">
        <f t="shared" si="2"/>
        <v>100</v>
      </c>
      <c r="X14" s="1177"/>
      <c r="Y14" s="3466" t="s">
        <v>1053</v>
      </c>
      <c r="Z14" s="1167" t="str">
        <f t="shared" si="7"/>
        <v>交通便捷度</v>
      </c>
      <c r="AA14" s="1194">
        <f t="shared" si="3"/>
        <v>1</v>
      </c>
      <c r="AB14" s="1194">
        <f t="shared" si="4"/>
        <v>1</v>
      </c>
      <c r="AC14" s="1194">
        <f t="shared" si="5"/>
        <v>1</v>
      </c>
    </row>
    <row r="15" spans="1:29" ht="15">
      <c r="A15" s="1011"/>
      <c r="B15" s="1320"/>
      <c r="C15" s="1031"/>
      <c r="D15" s="1032"/>
      <c r="E15" s="1031"/>
      <c r="F15" s="1385"/>
      <c r="G15" s="1031"/>
      <c r="H15" s="1034"/>
      <c r="I15" s="1031"/>
      <c r="J15" s="1032"/>
      <c r="K15" s="1424"/>
      <c r="L15" s="1147"/>
      <c r="M15" s="1135"/>
      <c r="N15" s="1135"/>
      <c r="O15" s="1146"/>
      <c r="P15" s="3467"/>
      <c r="Q15" s="746"/>
      <c r="R15" s="1183"/>
      <c r="S15" s="1184"/>
      <c r="T15" s="1183"/>
      <c r="U15" s="1184"/>
      <c r="V15" s="1183"/>
      <c r="W15" s="1184"/>
      <c r="X15" s="1177"/>
      <c r="Y15" s="3467"/>
      <c r="Z15" s="1167"/>
      <c r="AA15" s="1194">
        <v>1</v>
      </c>
      <c r="AB15" s="1194">
        <v>1</v>
      </c>
      <c r="AC15" s="1194">
        <v>1</v>
      </c>
    </row>
    <row r="16" spans="1:29" ht="199.5">
      <c r="A16" s="1011"/>
      <c r="B16" s="1321" t="s">
        <v>1057</v>
      </c>
      <c r="C16" s="1036"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1038">
        <v>100</v>
      </c>
      <c r="E16" s="1324"/>
      <c r="F16" s="1386">
        <f>SUMIF(63:63,E17,64:64)-SUMIF(63:63,C17,64:64)+100</f>
        <v>100</v>
      </c>
      <c r="G16" s="1340"/>
      <c r="H16" s="1038">
        <f>SUMIF(63:63,G17,64:64)-SUMIF(63:63,C17,64:64)+100</f>
        <v>100</v>
      </c>
      <c r="I16" s="1324"/>
      <c r="J16" s="1038">
        <f>SUMIF(63:63,I17,64:64)-SUMIF(63:63,C17,64:64)+100</f>
        <v>100</v>
      </c>
      <c r="K16" s="1423"/>
      <c r="L16" s="1147"/>
      <c r="M16" s="1135"/>
      <c r="N16" s="1135"/>
      <c r="O16" s="1146"/>
      <c r="P16" s="3467"/>
      <c r="Q16" s="746" t="str">
        <f>B16</f>
        <v>公共配套设施</v>
      </c>
      <c r="R16" s="1183" t="s">
        <v>1037</v>
      </c>
      <c r="S16" s="1184">
        <f>F16</f>
        <v>100</v>
      </c>
      <c r="T16" s="1183" t="s">
        <v>1037</v>
      </c>
      <c r="U16" s="1184">
        <f>H16</f>
        <v>100</v>
      </c>
      <c r="V16" s="1183" t="s">
        <v>1037</v>
      </c>
      <c r="W16" s="1184">
        <f>J16</f>
        <v>100</v>
      </c>
      <c r="X16" s="1177"/>
      <c r="Y16" s="3467"/>
      <c r="Z16" s="1167" t="str">
        <f>Q16</f>
        <v>公共配套设施</v>
      </c>
      <c r="AA16" s="1194">
        <f t="shared" si="3"/>
        <v>1</v>
      </c>
      <c r="AB16" s="1194">
        <f t="shared" si="4"/>
        <v>1</v>
      </c>
      <c r="AC16" s="1194">
        <f t="shared" si="5"/>
        <v>1</v>
      </c>
    </row>
    <row r="17" spans="1:29" ht="15">
      <c r="A17" s="1011"/>
      <c r="B17" s="1059"/>
      <c r="C17" s="1322"/>
      <c r="D17" s="1032"/>
      <c r="E17" s="1031"/>
      <c r="F17" s="1385"/>
      <c r="G17" s="1031"/>
      <c r="H17" s="1032"/>
      <c r="I17" s="1031"/>
      <c r="J17" s="1032"/>
      <c r="K17" s="1424"/>
      <c r="L17" s="1147"/>
      <c r="M17" s="1135"/>
      <c r="N17" s="1135"/>
      <c r="O17" s="1146"/>
      <c r="P17" s="3467"/>
      <c r="Q17" s="746"/>
      <c r="R17" s="1183"/>
      <c r="S17" s="1184"/>
      <c r="T17" s="1183"/>
      <c r="U17" s="1184"/>
      <c r="V17" s="1183"/>
      <c r="W17" s="1184"/>
      <c r="X17" s="1177"/>
      <c r="Y17" s="3467"/>
      <c r="Z17" s="1167"/>
      <c r="AA17" s="1194">
        <v>1</v>
      </c>
      <c r="AB17" s="1194">
        <v>1</v>
      </c>
      <c r="AC17" s="1194">
        <v>1</v>
      </c>
    </row>
    <row r="18" spans="1:29" ht="42.75">
      <c r="A18" s="1011"/>
      <c r="B18" s="1326" t="s">
        <v>1058</v>
      </c>
      <c r="C18" s="1036" t="str">
        <f>IF(B1="工业",估价对象房地状况!G6,估价对象房地状况!C8)</f>
        <v>估价对象所在区域基础设施水平为七通一平</v>
      </c>
      <c r="D18" s="1038">
        <v>100</v>
      </c>
      <c r="E18" s="1037"/>
      <c r="F18" s="1386">
        <f>SUMIF(65:65,E19,66:66)-SUMIF(65:65,C19,66:66)+100</f>
        <v>100</v>
      </c>
      <c r="G18" s="1149"/>
      <c r="H18" s="1038">
        <f>SUMIF(65:65,G19,66:66)-SUMIF(65:65,C19,66:66)+100</f>
        <v>100</v>
      </c>
      <c r="I18" s="1324"/>
      <c r="J18" s="1038">
        <f>SUMIF(65:65,I19,66:66)-SUMIF(65:65,C19,66:66)+100</f>
        <v>100</v>
      </c>
      <c r="K18" s="1423"/>
      <c r="L18" s="1147"/>
      <c r="M18" s="1135"/>
      <c r="N18" s="1135"/>
      <c r="O18" s="1146"/>
      <c r="P18" s="3467"/>
      <c r="Q18" s="746" t="str">
        <f>B18</f>
        <v>基础设施水平</v>
      </c>
      <c r="R18" s="1183" t="s">
        <v>1037</v>
      </c>
      <c r="S18" s="1184">
        <f>F18</f>
        <v>100</v>
      </c>
      <c r="T18" s="1183" t="s">
        <v>1037</v>
      </c>
      <c r="U18" s="1184">
        <f>H18</f>
        <v>100</v>
      </c>
      <c r="V18" s="1183" t="s">
        <v>1037</v>
      </c>
      <c r="W18" s="1184">
        <f>J18</f>
        <v>100</v>
      </c>
      <c r="X18" s="1177"/>
      <c r="Y18" s="3467"/>
      <c r="Z18" s="1167" t="str">
        <f>Q18</f>
        <v>基础设施水平</v>
      </c>
      <c r="AA18" s="1194">
        <f t="shared" ref="AA18" si="8">D18/F18</f>
        <v>1</v>
      </c>
      <c r="AB18" s="1194">
        <f t="shared" ref="AB18" si="9">D18/H18</f>
        <v>1</v>
      </c>
      <c r="AC18" s="1194">
        <f t="shared" ref="AC18" si="10">D18/J18</f>
        <v>1</v>
      </c>
    </row>
    <row r="19" spans="1:29" ht="15">
      <c r="A19" s="1011"/>
      <c r="B19" s="1326"/>
      <c r="C19" s="1322"/>
      <c r="D19" s="1034"/>
      <c r="E19" s="1322"/>
      <c r="F19" s="1387"/>
      <c r="G19" s="1322"/>
      <c r="H19" s="1032"/>
      <c r="I19" s="1031"/>
      <c r="J19" s="1032"/>
      <c r="K19" s="1425"/>
      <c r="L19" s="1147"/>
      <c r="M19" s="1135"/>
      <c r="N19" s="1135"/>
      <c r="O19" s="1146"/>
      <c r="P19" s="3467"/>
      <c r="Q19" s="746"/>
      <c r="R19" s="1183"/>
      <c r="S19" s="1184"/>
      <c r="T19" s="1183"/>
      <c r="U19" s="1184"/>
      <c r="V19" s="1183"/>
      <c r="W19" s="1184"/>
      <c r="X19" s="1177"/>
      <c r="Y19" s="3467"/>
      <c r="Z19" s="1167"/>
      <c r="AA19" s="1194">
        <v>1</v>
      </c>
      <c r="AB19" s="1194">
        <v>1</v>
      </c>
      <c r="AC19" s="1194">
        <v>1</v>
      </c>
    </row>
    <row r="20" spans="1:29" ht="114">
      <c r="A20" s="1011"/>
      <c r="B20" s="1321" t="s">
        <v>1059</v>
      </c>
      <c r="C20" s="1036" t="str">
        <f>IF(B1="工业",估价对象房地状况!G7,估价对象房地状况!C9)</f>
        <v>估计对象周边有昌平公园、学府等自然环境景观，有北京昌平卫生学校、中国石油大学等人文环境；综合评价环境状况较好。</v>
      </c>
      <c r="D20" s="1038">
        <v>100</v>
      </c>
      <c r="E20" s="1324"/>
      <c r="F20" s="1386">
        <f>SUMIF(67:67,E21,68:68)-SUMIF(67:67,C21,68:68)+100</f>
        <v>100</v>
      </c>
      <c r="G20" s="1340"/>
      <c r="H20" s="1034">
        <f>SUMIF(67:67,G21,68:68)-SUMIF(67:67,C21,68:68)+100</f>
        <v>100</v>
      </c>
      <c r="I20" s="1037"/>
      <c r="J20" s="1034">
        <f>SUMIF(67:67,I21,68:68)-SUMIF(67:67,C21,68:68)+100</f>
        <v>100</v>
      </c>
      <c r="K20" s="1423"/>
      <c r="L20" s="1147"/>
      <c r="M20" s="1135"/>
      <c r="N20" s="1135"/>
      <c r="O20" s="1146"/>
      <c r="P20" s="3467"/>
      <c r="Q20" s="746" t="str">
        <f>B20</f>
        <v>自然及人文环境</v>
      </c>
      <c r="R20" s="1183" t="s">
        <v>1037</v>
      </c>
      <c r="S20" s="1184">
        <f>F20</f>
        <v>100</v>
      </c>
      <c r="T20" s="1183" t="s">
        <v>1037</v>
      </c>
      <c r="U20" s="1184">
        <f>H20</f>
        <v>100</v>
      </c>
      <c r="V20" s="1183" t="s">
        <v>1037</v>
      </c>
      <c r="W20" s="1184">
        <f>J20</f>
        <v>100</v>
      </c>
      <c r="X20" s="1177"/>
      <c r="Y20" s="3467"/>
      <c r="Z20" s="1167" t="str">
        <f>Q20</f>
        <v>自然及人文环境</v>
      </c>
      <c r="AA20" s="1194">
        <f t="shared" si="3"/>
        <v>1</v>
      </c>
      <c r="AB20" s="1194">
        <f t="shared" si="4"/>
        <v>1</v>
      </c>
      <c r="AC20" s="1194">
        <f t="shared" si="5"/>
        <v>1</v>
      </c>
    </row>
    <row r="21" spans="1:29" ht="15">
      <c r="A21" s="1011"/>
      <c r="B21" s="1059"/>
      <c r="C21" s="1031"/>
      <c r="D21" s="1032"/>
      <c r="E21" s="1031"/>
      <c r="F21" s="1385"/>
      <c r="G21" s="1031"/>
      <c r="H21" s="1032"/>
      <c r="I21" s="1031"/>
      <c r="J21" s="1032"/>
      <c r="K21" s="1424"/>
      <c r="L21" s="1147"/>
      <c r="M21" s="1135"/>
      <c r="N21" s="1135"/>
      <c r="O21" s="1146"/>
      <c r="P21" s="3467"/>
      <c r="Q21" s="746"/>
      <c r="R21" s="1183"/>
      <c r="S21" s="1184"/>
      <c r="T21" s="1183"/>
      <c r="U21" s="1184"/>
      <c r="V21" s="1183"/>
      <c r="W21" s="1184"/>
      <c r="X21" s="1177"/>
      <c r="Y21" s="3467"/>
      <c r="Z21" s="1167"/>
      <c r="AA21" s="1194">
        <v>1</v>
      </c>
      <c r="AB21" s="1194">
        <v>1</v>
      </c>
      <c r="AC21" s="1194">
        <v>1</v>
      </c>
    </row>
    <row r="22" spans="1:29" ht="15">
      <c r="A22" s="1011"/>
      <c r="B22" s="1321" t="s">
        <v>1476</v>
      </c>
      <c r="C22" s="1045"/>
      <c r="D22" s="1034">
        <v>100</v>
      </c>
      <c r="E22" s="1045"/>
      <c r="F22" s="1388">
        <f>SUMIF(69:69,E22,70:70)-SUMIF(69:69,C22,70:70)+100</f>
        <v>100</v>
      </c>
      <c r="G22" s="1045"/>
      <c r="H22" s="1020">
        <f>SUMIF(69:69,G22,70:70)-SUMIF(69:69,C22,70:70)+100</f>
        <v>100</v>
      </c>
      <c r="I22" s="1045"/>
      <c r="J22" s="1020">
        <f>SUMIF(69:69,I22,70:70)-SUMIF(69:69,C22,70:70)+100</f>
        <v>100</v>
      </c>
      <c r="K22" s="1153"/>
      <c r="L22" s="1147"/>
      <c r="M22" s="1135"/>
      <c r="N22" s="1135"/>
      <c r="O22" s="1146"/>
      <c r="P22" s="3467"/>
      <c r="Q22" s="746" t="str">
        <f>B22</f>
        <v>楼层</v>
      </c>
      <c r="R22" s="1183" t="s">
        <v>1037</v>
      </c>
      <c r="S22" s="1184">
        <f>F22</f>
        <v>100</v>
      </c>
      <c r="T22" s="1183" t="s">
        <v>1037</v>
      </c>
      <c r="U22" s="1184">
        <f>H22</f>
        <v>100</v>
      </c>
      <c r="V22" s="1183" t="s">
        <v>1037</v>
      </c>
      <c r="W22" s="1184">
        <f>J22</f>
        <v>100</v>
      </c>
      <c r="X22" s="1177"/>
      <c r="Y22" s="3467"/>
      <c r="Z22" s="1167" t="str">
        <f>Q22</f>
        <v>楼层</v>
      </c>
      <c r="AA22" s="1194">
        <f t="shared" si="3"/>
        <v>1</v>
      </c>
      <c r="AB22" s="1194">
        <f t="shared" si="4"/>
        <v>1</v>
      </c>
      <c r="AC22" s="1194">
        <f t="shared" si="5"/>
        <v>1</v>
      </c>
    </row>
    <row r="23" spans="1:29" ht="15">
      <c r="A23" s="991"/>
      <c r="B23" s="1015">
        <v>111</v>
      </c>
      <c r="C23" s="1009"/>
      <c r="D23" s="1020">
        <v>100</v>
      </c>
      <c r="E23" s="1019"/>
      <c r="F23" s="1388">
        <f>SUMIF(71:71,E23,72:72)-SUMIF(71:71,C23,72:72)+100</f>
        <v>100</v>
      </c>
      <c r="G23" s="1019"/>
      <c r="H23" s="1020">
        <f>SUMIF(71:71,G23,72:72)-SUMIF(71:71,C23,72:72)+100</f>
        <v>100</v>
      </c>
      <c r="I23" s="1019"/>
      <c r="J23" s="1020">
        <f>SUMIF(71:71,I23,72:72)-SUMIF(71:71,C23,72:72)+100</f>
        <v>100</v>
      </c>
      <c r="K23" s="1152"/>
      <c r="L23" s="1147"/>
      <c r="M23" s="1135"/>
      <c r="N23" s="1135"/>
      <c r="O23" s="1146"/>
      <c r="P23" s="3467"/>
      <c r="Q23" s="746">
        <f>B23</f>
        <v>111</v>
      </c>
      <c r="R23" s="1183" t="s">
        <v>1037</v>
      </c>
      <c r="S23" s="1184">
        <f>F23</f>
        <v>100</v>
      </c>
      <c r="T23" s="1183" t="s">
        <v>1037</v>
      </c>
      <c r="U23" s="1184">
        <f>H23</f>
        <v>100</v>
      </c>
      <c r="V23" s="1183" t="s">
        <v>1037</v>
      </c>
      <c r="W23" s="1184">
        <f>J23</f>
        <v>100</v>
      </c>
      <c r="X23" s="1177"/>
      <c r="Y23" s="3467"/>
      <c r="Z23" s="1167">
        <f>Q23</f>
        <v>111</v>
      </c>
      <c r="AA23" s="1194">
        <f t="shared" si="3"/>
        <v>1</v>
      </c>
      <c r="AB23" s="1194">
        <f t="shared" si="4"/>
        <v>1</v>
      </c>
      <c r="AC23" s="1194">
        <f t="shared" si="5"/>
        <v>1</v>
      </c>
    </row>
    <row r="24" spans="1:29" ht="15">
      <c r="A24" s="1011"/>
      <c r="B24" s="1015">
        <v>111</v>
      </c>
      <c r="C24" s="1009"/>
      <c r="D24" s="1020">
        <v>100</v>
      </c>
      <c r="E24" s="1019"/>
      <c r="F24" s="1388">
        <f>SUMIF(73:73,E24,74:74)-SUMIF(73:73,C24,74:74)+100</f>
        <v>100</v>
      </c>
      <c r="G24" s="1019"/>
      <c r="H24" s="1020">
        <f>SUMIF(73:73,G24,74:74)-SUMIF(73:73,C24,74:74)+100</f>
        <v>100</v>
      </c>
      <c r="I24" s="1019"/>
      <c r="J24" s="1020">
        <f>SUMIF(73:73,I24,74:74)-SUMIF(73:73,C24,74:74)+100</f>
        <v>100</v>
      </c>
      <c r="K24" s="1152"/>
      <c r="L24" s="1147"/>
      <c r="M24" s="1135"/>
      <c r="N24" s="1135"/>
      <c r="O24" s="1146"/>
      <c r="P24" s="3467"/>
      <c r="Q24" s="746">
        <f t="shared" ref="Q24:Q34" si="11">B24</f>
        <v>111</v>
      </c>
      <c r="R24" s="1183" t="s">
        <v>1037</v>
      </c>
      <c r="S24" s="1184">
        <f>F24</f>
        <v>100</v>
      </c>
      <c r="T24" s="1183" t="s">
        <v>1037</v>
      </c>
      <c r="U24" s="1184">
        <f>H24</f>
        <v>100</v>
      </c>
      <c r="V24" s="1183" t="s">
        <v>1037</v>
      </c>
      <c r="W24" s="1184">
        <f>J24</f>
        <v>100</v>
      </c>
      <c r="X24" s="1177"/>
      <c r="Y24" s="3467"/>
      <c r="Z24" s="1167">
        <f>Q24</f>
        <v>111</v>
      </c>
      <c r="AA24" s="1194">
        <f t="shared" si="3"/>
        <v>1</v>
      </c>
      <c r="AB24" s="1194">
        <f t="shared" si="4"/>
        <v>1</v>
      </c>
      <c r="AC24" s="1194">
        <f t="shared" si="5"/>
        <v>1</v>
      </c>
    </row>
    <row r="25" spans="1:29" s="970" customFormat="1" ht="15">
      <c r="A25" s="1014"/>
      <c r="B25" s="1015">
        <v>111</v>
      </c>
      <c r="C25" s="1389"/>
      <c r="D25" s="1390">
        <v>100</v>
      </c>
      <c r="E25" s="1389"/>
      <c r="F25" s="1391">
        <f>SUMIF(75:75,E25,76:76)-SUMIF(75:75,C25,76:76)+100</f>
        <v>100</v>
      </c>
      <c r="G25" s="1389"/>
      <c r="H25" s="1390">
        <f>SUMIF(75:75,G25,76:76)-SUMIF(75:75,C25,76:76)+100</f>
        <v>100</v>
      </c>
      <c r="I25" s="1389"/>
      <c r="J25" s="1390">
        <f>SUMIF(75:75,I25,76:76)-SUMIF(75:75,C25,76:76)+100</f>
        <v>100</v>
      </c>
      <c r="K25" s="1152"/>
      <c r="L25" s="1137"/>
      <c r="M25" s="1138"/>
      <c r="N25" s="1138"/>
      <c r="O25" s="1139"/>
      <c r="P25" s="3467"/>
      <c r="Q25" s="1182">
        <f t="shared" si="11"/>
        <v>111</v>
      </c>
      <c r="R25" s="1178" t="s">
        <v>1037</v>
      </c>
      <c r="S25" s="1179">
        <f>F25</f>
        <v>100</v>
      </c>
      <c r="T25" s="1178" t="s">
        <v>1037</v>
      </c>
      <c r="U25" s="1179">
        <f>H25</f>
        <v>100</v>
      </c>
      <c r="V25" s="1178" t="s">
        <v>1037</v>
      </c>
      <c r="W25" s="1179">
        <f>J25</f>
        <v>100</v>
      </c>
      <c r="X25" s="1180"/>
      <c r="Y25" s="3467"/>
      <c r="Z25" s="1193">
        <f>Q25</f>
        <v>111</v>
      </c>
      <c r="AA25" s="1194">
        <f t="shared" si="3"/>
        <v>1</v>
      </c>
      <c r="AB25" s="1194">
        <f t="shared" si="4"/>
        <v>1</v>
      </c>
      <c r="AC25" s="1194">
        <f t="shared" si="5"/>
        <v>1</v>
      </c>
    </row>
    <row r="26" spans="1:29" ht="28.5">
      <c r="A26" s="1392" t="s">
        <v>1065</v>
      </c>
      <c r="B26" s="1004" t="s">
        <v>1073</v>
      </c>
      <c r="C26" s="1393"/>
      <c r="D26" s="1061">
        <v>100</v>
      </c>
      <c r="E26" s="1393"/>
      <c r="F26" s="1394">
        <f>SUMIF(77:77,E26,78:78)-SUMIF(77:77,C26,78:78)+100</f>
        <v>100</v>
      </c>
      <c r="G26" s="1393"/>
      <c r="H26" s="1061">
        <f>SUMIF(77:77,G26,78:78)-SUMIF(77:77,C26,78:78)+100</f>
        <v>100</v>
      </c>
      <c r="I26" s="1393"/>
      <c r="J26" s="1061">
        <f>SUMIF(77:77,I26,78:78)-SUMIF(77:77,C26,78:78)+100</f>
        <v>100</v>
      </c>
      <c r="K26" s="1153"/>
      <c r="L26" s="1147"/>
      <c r="M26" s="1135"/>
      <c r="N26" s="1135"/>
      <c r="O26" s="1146"/>
      <c r="P26" s="3504" t="s">
        <v>1068</v>
      </c>
      <c r="Q26" s="746" t="str">
        <f t="shared" si="11"/>
        <v>公共部分装修</v>
      </c>
      <c r="R26" s="1183" t="s">
        <v>1037</v>
      </c>
      <c r="S26" s="1184">
        <f t="shared" ref="S26:S34" si="12">F26</f>
        <v>100</v>
      </c>
      <c r="T26" s="1183" t="s">
        <v>1037</v>
      </c>
      <c r="U26" s="1184">
        <f t="shared" ref="U26:U34" si="13">H26</f>
        <v>100</v>
      </c>
      <c r="V26" s="1183" t="s">
        <v>1037</v>
      </c>
      <c r="W26" s="1184">
        <f t="shared" ref="W26:W34" si="14">J26</f>
        <v>100</v>
      </c>
      <c r="X26" s="1177"/>
      <c r="Y26" s="3468" t="s">
        <v>1068</v>
      </c>
      <c r="Z26" s="1167" t="str">
        <f t="shared" ref="Z26:Z34" si="15">Q26</f>
        <v>公共部分装修</v>
      </c>
      <c r="AA26" s="1194">
        <f t="shared" si="3"/>
        <v>1</v>
      </c>
      <c r="AB26" s="1194">
        <f t="shared" si="4"/>
        <v>1</v>
      </c>
      <c r="AC26" s="1194">
        <f t="shared" si="5"/>
        <v>1</v>
      </c>
    </row>
    <row r="27" spans="1:29" s="972" customFormat="1" ht="15">
      <c r="A27" s="1067"/>
      <c r="B27" s="1008" t="s">
        <v>1499</v>
      </c>
      <c r="C27" s="1395"/>
      <c r="D27" s="1010">
        <v>100</v>
      </c>
      <c r="E27" s="1396"/>
      <c r="F27" s="1388" t="e">
        <f>LOOKUP(E27,80:80,81:81)-LOOKUP(C27,80:80,81:81)+100</f>
        <v>#N/A</v>
      </c>
      <c r="G27" s="1397"/>
      <c r="H27" s="1020" t="e">
        <f>LOOKUP(G27,80:80,81:81)-LOOKUP(C27,80:80,81:81)+100</f>
        <v>#N/A</v>
      </c>
      <c r="I27" s="1397"/>
      <c r="J27" s="1020" t="e">
        <f>LOOKUP(I27,80:80,81:81)-LOOKUP(C27,80:80,81:81)+100</f>
        <v>#N/A</v>
      </c>
      <c r="K27" s="1153"/>
      <c r="L27" s="1145"/>
      <c r="M27" s="1154"/>
      <c r="N27" s="1154"/>
      <c r="O27" s="1155"/>
      <c r="P27" s="3468"/>
      <c r="Q27" s="1427" t="str">
        <f t="shared" si="11"/>
        <v>成新率</v>
      </c>
      <c r="R27" s="1185" t="s">
        <v>1037</v>
      </c>
      <c r="S27" s="1186" t="e">
        <f t="shared" si="12"/>
        <v>#N/A</v>
      </c>
      <c r="T27" s="1185" t="s">
        <v>1037</v>
      </c>
      <c r="U27" s="1186" t="e">
        <f t="shared" si="13"/>
        <v>#N/A</v>
      </c>
      <c r="V27" s="1185" t="s">
        <v>1037</v>
      </c>
      <c r="W27" s="1186" t="e">
        <f t="shared" si="14"/>
        <v>#N/A</v>
      </c>
      <c r="X27" s="1187"/>
      <c r="Y27" s="3468"/>
      <c r="Z27" s="1195" t="str">
        <f t="shared" si="15"/>
        <v>成新率</v>
      </c>
      <c r="AA27" s="1194" t="e">
        <f t="shared" si="3"/>
        <v>#N/A</v>
      </c>
      <c r="AB27" s="1194" t="e">
        <f t="shared" si="4"/>
        <v>#N/A</v>
      </c>
      <c r="AC27" s="1194" t="e">
        <f t="shared" si="5"/>
        <v>#N/A</v>
      </c>
    </row>
    <row r="28" spans="1:29" ht="15">
      <c r="A28" s="1062"/>
      <c r="B28" s="1008" t="s">
        <v>1500</v>
      </c>
      <c r="C28" s="1398"/>
      <c r="D28" s="1020">
        <v>100</v>
      </c>
      <c r="E28" s="1398"/>
      <c r="F28" s="1388">
        <f>SUMIF(82:82,E28,83:83)-SUMIF(82:82,C28,83:83)+100</f>
        <v>100</v>
      </c>
      <c r="G28" s="1398"/>
      <c r="H28" s="1020">
        <f>SUMIF(82:82,G28,83:83)-SUMIF(82:82,C28,83:83)+100</f>
        <v>100</v>
      </c>
      <c r="I28" s="1398"/>
      <c r="J28" s="1020">
        <f>SUMIF(82:82,I28,83:83)-SUMIF(82:82,C28,83:83)+100</f>
        <v>100</v>
      </c>
      <c r="K28" s="1153"/>
      <c r="L28" s="1147"/>
      <c r="M28" s="1135"/>
      <c r="N28" s="1135"/>
      <c r="O28" s="1146"/>
      <c r="P28" s="3468"/>
      <c r="Q28" s="746" t="str">
        <f t="shared" si="11"/>
        <v>物业等级</v>
      </c>
      <c r="R28" s="1183" t="s">
        <v>1037</v>
      </c>
      <c r="S28" s="1184">
        <f t="shared" si="12"/>
        <v>100</v>
      </c>
      <c r="T28" s="1183" t="s">
        <v>1037</v>
      </c>
      <c r="U28" s="1184">
        <f t="shared" si="13"/>
        <v>100</v>
      </c>
      <c r="V28" s="1183" t="s">
        <v>1037</v>
      </c>
      <c r="W28" s="1184">
        <f t="shared" si="14"/>
        <v>100</v>
      </c>
      <c r="X28" s="1177"/>
      <c r="Y28" s="3468"/>
      <c r="Z28" s="1167" t="str">
        <f t="shared" si="15"/>
        <v>物业等级</v>
      </c>
      <c r="AA28" s="1194">
        <f t="shared" si="3"/>
        <v>1</v>
      </c>
      <c r="AB28" s="1194">
        <f t="shared" si="4"/>
        <v>1</v>
      </c>
      <c r="AC28" s="1194">
        <f t="shared" si="5"/>
        <v>1</v>
      </c>
    </row>
    <row r="29" spans="1:29" ht="15">
      <c r="A29" s="1062"/>
      <c r="B29" s="1008" t="s">
        <v>1508</v>
      </c>
      <c r="C29" s="1399"/>
      <c r="D29" s="1020">
        <v>100</v>
      </c>
      <c r="E29" s="1399"/>
      <c r="F29" s="1388">
        <f>SUMIF(84:84,E29,85:85)-SUMIF(84:84,C29,85:85)+100</f>
        <v>100</v>
      </c>
      <c r="G29" s="1399"/>
      <c r="H29" s="1020">
        <f>SUMIF(84:84,G29,85:85)-SUMIF(84:84,C29,85:85)+100</f>
        <v>100</v>
      </c>
      <c r="I29" s="1399"/>
      <c r="J29" s="1020">
        <f>SUMIF(84:84,I29,85:85)-SUMIF(84:84,C29,85:85)+100</f>
        <v>100</v>
      </c>
      <c r="K29" s="1153"/>
      <c r="L29" s="1147"/>
      <c r="M29" s="1135"/>
      <c r="N29" s="1135"/>
      <c r="O29" s="1146"/>
      <c r="P29" s="3468"/>
      <c r="Q29" s="746" t="str">
        <f t="shared" si="11"/>
        <v>有无电梯</v>
      </c>
      <c r="R29" s="1183" t="s">
        <v>1037</v>
      </c>
      <c r="S29" s="1184">
        <f t="shared" si="12"/>
        <v>100</v>
      </c>
      <c r="T29" s="1183" t="s">
        <v>1037</v>
      </c>
      <c r="U29" s="1184">
        <f t="shared" si="13"/>
        <v>100</v>
      </c>
      <c r="V29" s="1183" t="s">
        <v>1037</v>
      </c>
      <c r="W29" s="1184">
        <f t="shared" si="14"/>
        <v>100</v>
      </c>
      <c r="X29" s="1177"/>
      <c r="Y29" s="3468"/>
      <c r="Z29" s="1167" t="str">
        <f t="shared" si="15"/>
        <v>有无电梯</v>
      </c>
      <c r="AA29" s="1194">
        <f t="shared" si="3"/>
        <v>1</v>
      </c>
      <c r="AB29" s="1194">
        <f t="shared" si="4"/>
        <v>1</v>
      </c>
      <c r="AC29" s="1194">
        <f t="shared" si="5"/>
        <v>1</v>
      </c>
    </row>
    <row r="30" spans="1:29" ht="15">
      <c r="A30" s="1062"/>
      <c r="B30" s="1008" t="s">
        <v>529</v>
      </c>
      <c r="C30" s="1382"/>
      <c r="D30" s="1020">
        <v>100</v>
      </c>
      <c r="E30" s="1382"/>
      <c r="F30" s="1388" t="e">
        <f>LOOKUP(E30,87:87,88:88)-LOOKUP(C30,87:87,88:88)+100</f>
        <v>#N/A</v>
      </c>
      <c r="G30" s="1382"/>
      <c r="H30" s="1020" t="e">
        <f>LOOKUP(G30,87:87,88:88)-LOOKUP(C30,87:87,88:88)+100</f>
        <v>#N/A</v>
      </c>
      <c r="I30" s="1382"/>
      <c r="J30" s="1020" t="e">
        <f>LOOKUP(I30,87:87,88:88)-LOOKUP(C30,87:87,88:88)+100</f>
        <v>#N/A</v>
      </c>
      <c r="K30" s="1152"/>
      <c r="L30" s="1147"/>
      <c r="M30" s="1135"/>
      <c r="N30" s="1135"/>
      <c r="O30" s="1146"/>
      <c r="P30" s="3468"/>
      <c r="Q30" s="746" t="str">
        <f t="shared" si="11"/>
        <v>建筑面积</v>
      </c>
      <c r="R30" s="1183" t="s">
        <v>1037</v>
      </c>
      <c r="S30" s="1184" t="e">
        <f t="shared" si="12"/>
        <v>#N/A</v>
      </c>
      <c r="T30" s="1183" t="s">
        <v>1037</v>
      </c>
      <c r="U30" s="1184" t="e">
        <f t="shared" si="13"/>
        <v>#N/A</v>
      </c>
      <c r="V30" s="1183" t="s">
        <v>1037</v>
      </c>
      <c r="W30" s="1184" t="e">
        <f t="shared" si="14"/>
        <v>#N/A</v>
      </c>
      <c r="X30" s="1177"/>
      <c r="Y30" s="3468"/>
      <c r="Z30" s="1167" t="str">
        <f t="shared" si="15"/>
        <v>建筑面积</v>
      </c>
      <c r="AA30" s="1194" t="e">
        <f t="shared" si="3"/>
        <v>#N/A</v>
      </c>
      <c r="AB30" s="1194" t="e">
        <f t="shared" si="4"/>
        <v>#N/A</v>
      </c>
      <c r="AC30" s="1194" t="e">
        <f t="shared" si="5"/>
        <v>#N/A</v>
      </c>
    </row>
    <row r="31" spans="1:29" s="970" customFormat="1" ht="15">
      <c r="A31" s="1064"/>
      <c r="B31" s="1008" t="s">
        <v>1509</v>
      </c>
      <c r="C31" s="1399"/>
      <c r="D31" s="1010">
        <v>100</v>
      </c>
      <c r="E31" s="1399"/>
      <c r="F31" s="1388">
        <f>SUMIF(89:89,E31,90:90)-SUMIF(89:89,C31,90:90)+100</f>
        <v>100</v>
      </c>
      <c r="G31" s="1399"/>
      <c r="H31" s="1020">
        <f>SUMIF(89:89,G31,90:90)-SUMIF(89:89,C31,90:90)+100</f>
        <v>100</v>
      </c>
      <c r="I31" s="1399"/>
      <c r="J31" s="1020">
        <f>SUMIF(89:89,I31,90:90)-SUMIF(89:89,C31,90:90)+100</f>
        <v>100</v>
      </c>
      <c r="K31" s="1153"/>
      <c r="L31" s="1137"/>
      <c r="M31" s="1138"/>
      <c r="N31" s="1138"/>
      <c r="O31" s="1139"/>
      <c r="P31" s="3468"/>
      <c r="Q31" s="1182" t="str">
        <f t="shared" si="11"/>
        <v>是否封闭</v>
      </c>
      <c r="R31" s="1178" t="s">
        <v>1037</v>
      </c>
      <c r="S31" s="1179">
        <f t="shared" si="12"/>
        <v>100</v>
      </c>
      <c r="T31" s="1178" t="s">
        <v>1037</v>
      </c>
      <c r="U31" s="1179">
        <f t="shared" si="13"/>
        <v>100</v>
      </c>
      <c r="V31" s="1178" t="s">
        <v>1037</v>
      </c>
      <c r="W31" s="1179">
        <f t="shared" si="14"/>
        <v>100</v>
      </c>
      <c r="X31" s="1180"/>
      <c r="Y31" s="3468"/>
      <c r="Z31" s="1193" t="str">
        <f t="shared" si="15"/>
        <v>是否封闭</v>
      </c>
      <c r="AA31" s="1192">
        <f t="shared" si="3"/>
        <v>1</v>
      </c>
      <c r="AB31" s="1192">
        <f t="shared" si="4"/>
        <v>1</v>
      </c>
      <c r="AC31" s="1192">
        <f t="shared" si="5"/>
        <v>1</v>
      </c>
    </row>
    <row r="32" spans="1:29" ht="15">
      <c r="A32" s="1062"/>
      <c r="B32" s="1015">
        <v>111</v>
      </c>
      <c r="C32" s="1009"/>
      <c r="D32" s="1020">
        <v>100</v>
      </c>
      <c r="E32" s="1382"/>
      <c r="F32" s="1388">
        <f>SUMIF(91:91,E32,92:92)-SUMIF(91:91,C32,92:92)+100</f>
        <v>100</v>
      </c>
      <c r="G32" s="1382"/>
      <c r="H32" s="1020">
        <f>SUMIF(91:91,G32,92:92)-SUMIF(91:91,C32,92:92)+100</f>
        <v>100</v>
      </c>
      <c r="I32" s="1382"/>
      <c r="J32" s="1020">
        <f>SUMIF(91:91,I32,92:92)-SUMIF(91:91,C32,92:92)+100</f>
        <v>100</v>
      </c>
      <c r="K32" s="1152"/>
      <c r="L32" s="1147"/>
      <c r="M32" s="1135"/>
      <c r="N32" s="1135"/>
      <c r="O32" s="1146"/>
      <c r="P32" s="3468" t="s">
        <v>1068</v>
      </c>
      <c r="Q32" s="746">
        <f t="shared" si="11"/>
        <v>111</v>
      </c>
      <c r="R32" s="1183" t="s">
        <v>1037</v>
      </c>
      <c r="S32" s="1184">
        <f t="shared" si="12"/>
        <v>100</v>
      </c>
      <c r="T32" s="1183" t="s">
        <v>1037</v>
      </c>
      <c r="U32" s="1184">
        <f t="shared" si="13"/>
        <v>100</v>
      </c>
      <c r="V32" s="1183" t="s">
        <v>1037</v>
      </c>
      <c r="W32" s="1184">
        <f t="shared" si="14"/>
        <v>100</v>
      </c>
      <c r="X32" s="1177"/>
      <c r="Y32" s="3468" t="s">
        <v>1068</v>
      </c>
      <c r="Z32" s="1167">
        <f t="shared" si="15"/>
        <v>111</v>
      </c>
      <c r="AA32" s="1194">
        <f t="shared" si="3"/>
        <v>1</v>
      </c>
      <c r="AB32" s="1194">
        <f t="shared" si="4"/>
        <v>1</v>
      </c>
      <c r="AC32" s="1194">
        <f t="shared" si="5"/>
        <v>1</v>
      </c>
    </row>
    <row r="33" spans="1:30" ht="15">
      <c r="A33" s="1062"/>
      <c r="B33" s="1015">
        <v>111</v>
      </c>
      <c r="C33" s="1009"/>
      <c r="D33" s="1020">
        <v>100</v>
      </c>
      <c r="E33" s="1382"/>
      <c r="F33" s="1388">
        <f>SUMIF(93:93,E33,94:94)-SUMIF(93:93,C33,94:94)+100</f>
        <v>100</v>
      </c>
      <c r="G33" s="1382"/>
      <c r="H33" s="1020">
        <f>SUMIF(93:93,G33,94:94)-SUMIF(93:93,C33,94:94)+100</f>
        <v>100</v>
      </c>
      <c r="I33" s="1382"/>
      <c r="J33" s="1020">
        <f>SUMIF(93:93,I33,94:94)-SUMIF(93:93,C33,94:94)+100</f>
        <v>100</v>
      </c>
      <c r="K33" s="1152"/>
      <c r="L33" s="1147"/>
      <c r="M33" s="1135"/>
      <c r="N33" s="1135"/>
      <c r="O33" s="1146"/>
      <c r="P33" s="3468"/>
      <c r="Q33" s="746">
        <f t="shared" si="11"/>
        <v>111</v>
      </c>
      <c r="R33" s="1183" t="s">
        <v>1037</v>
      </c>
      <c r="S33" s="1184">
        <f t="shared" si="12"/>
        <v>100</v>
      </c>
      <c r="T33" s="1183" t="s">
        <v>1037</v>
      </c>
      <c r="U33" s="1184">
        <f t="shared" si="13"/>
        <v>100</v>
      </c>
      <c r="V33" s="1183" t="s">
        <v>1037</v>
      </c>
      <c r="W33" s="1184">
        <f t="shared" si="14"/>
        <v>100</v>
      </c>
      <c r="X33" s="1177"/>
      <c r="Y33" s="3468"/>
      <c r="Z33" s="1167">
        <f t="shared" si="15"/>
        <v>111</v>
      </c>
      <c r="AA33" s="1194">
        <f t="shared" si="3"/>
        <v>1</v>
      </c>
      <c r="AB33" s="1194">
        <f t="shared" si="4"/>
        <v>1</v>
      </c>
      <c r="AC33" s="1194">
        <f t="shared" si="5"/>
        <v>1</v>
      </c>
    </row>
    <row r="34" spans="1:30" ht="15">
      <c r="A34" s="1400"/>
      <c r="B34" s="1022">
        <v>111</v>
      </c>
      <c r="C34" s="1023"/>
      <c r="D34" s="1024">
        <v>100</v>
      </c>
      <c r="E34" s="1383"/>
      <c r="F34" s="1401">
        <f>SUMIF(95:95,E34,96:96)-SUMIF(95:95,C34,96:96)+100</f>
        <v>100</v>
      </c>
      <c r="G34" s="1383"/>
      <c r="H34" s="1024">
        <f>SUMIF(95:95,G34,96:96)-SUMIF(95:95,C34,96:96)+100</f>
        <v>100</v>
      </c>
      <c r="I34" s="1383"/>
      <c r="J34" s="1024">
        <f>SUMIF(95:95,I34,96:96)-SUMIF(95:95,C34,96:96)+100</f>
        <v>100</v>
      </c>
      <c r="K34" s="1152"/>
      <c r="L34" s="1147"/>
      <c r="M34" s="1135"/>
      <c r="N34" s="1135"/>
      <c r="O34" s="1146"/>
      <c r="P34" s="3468"/>
      <c r="Q34" s="746">
        <f t="shared" si="11"/>
        <v>111</v>
      </c>
      <c r="R34" s="1183" t="s">
        <v>1037</v>
      </c>
      <c r="S34" s="1184">
        <f t="shared" si="12"/>
        <v>100</v>
      </c>
      <c r="T34" s="1183" t="s">
        <v>1037</v>
      </c>
      <c r="U34" s="1184">
        <f t="shared" si="13"/>
        <v>100</v>
      </c>
      <c r="V34" s="1183" t="s">
        <v>1037</v>
      </c>
      <c r="W34" s="1184">
        <f t="shared" si="14"/>
        <v>100</v>
      </c>
      <c r="X34" s="1177"/>
      <c r="Y34" s="3468"/>
      <c r="Z34" s="1167">
        <f t="shared" si="15"/>
        <v>111</v>
      </c>
      <c r="AA34" s="1194">
        <f t="shared" si="3"/>
        <v>1</v>
      </c>
      <c r="AB34" s="1194">
        <f t="shared" si="4"/>
        <v>1</v>
      </c>
      <c r="AC34" s="1194">
        <f t="shared" si="5"/>
        <v>1</v>
      </c>
    </row>
    <row r="35" spans="1:30" ht="15">
      <c r="A35" s="1069" t="s">
        <v>1087</v>
      </c>
      <c r="B35" s="1402"/>
      <c r="C35" s="1403" t="s">
        <v>124</v>
      </c>
      <c r="D35" s="1404"/>
      <c r="E35" s="1405"/>
      <c r="F35" s="1406"/>
      <c r="G35" s="1407"/>
      <c r="H35" s="1408"/>
      <c r="I35" s="1405"/>
      <c r="J35" s="1408"/>
      <c r="K35" s="1158"/>
      <c r="L35" s="1159"/>
      <c r="M35" s="1086"/>
      <c r="N35" s="1135"/>
      <c r="O35" s="1086"/>
      <c r="P35" s="3458" t="str">
        <f>A35</f>
        <v>成交单价（元/平方米）</v>
      </c>
      <c r="Q35" s="3458"/>
      <c r="R35" s="3470">
        <f>E35</f>
        <v>0</v>
      </c>
      <c r="S35" s="3470"/>
      <c r="T35" s="3470">
        <f>G35</f>
        <v>0</v>
      </c>
      <c r="U35" s="3470"/>
      <c r="V35" s="3470">
        <f>I35</f>
        <v>0</v>
      </c>
      <c r="W35" s="3470"/>
      <c r="X35" s="1123"/>
      <c r="Y35" s="1196"/>
      <c r="Z35" s="1123"/>
      <c r="AA35" s="1123"/>
      <c r="AB35" s="1123"/>
      <c r="AC35" s="1123"/>
    </row>
    <row r="36" spans="1:30" ht="15">
      <c r="A36" s="1077" t="s">
        <v>1088</v>
      </c>
      <c r="B36" s="1409"/>
      <c r="C36" s="1410" t="e">
        <f>R37</f>
        <v>#DIV/0!</v>
      </c>
      <c r="D36" s="1080" t="s">
        <v>1089</v>
      </c>
      <c r="E36" s="1411" t="e">
        <f>R36</f>
        <v>#DIV/0!</v>
      </c>
      <c r="F36" s="1081"/>
      <c r="G36" s="1410" t="e">
        <f>T36</f>
        <v>#DIV/0!</v>
      </c>
      <c r="H36" s="1081"/>
      <c r="I36" s="1411" t="e">
        <f>V36</f>
        <v>#DIV/0!</v>
      </c>
      <c r="J36" s="1081"/>
      <c r="K36" s="1160">
        <f>F36+H36+J36</f>
        <v>0</v>
      </c>
      <c r="L36" s="1159"/>
      <c r="M36" s="1086"/>
      <c r="N36" s="1135"/>
      <c r="O36" s="1086"/>
      <c r="P36" s="3458" t="str">
        <f>A36</f>
        <v>比较价值（元/平方米）</v>
      </c>
      <c r="Q36" s="3458"/>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123"/>
      <c r="Y36" s="1123"/>
      <c r="Z36" s="1123"/>
      <c r="AA36" s="1123"/>
      <c r="AB36" s="1123"/>
      <c r="AC36" s="1123"/>
    </row>
    <row r="37" spans="1:30" ht="15">
      <c r="A37" s="1083" t="s">
        <v>1090</v>
      </c>
      <c r="B37" s="1084"/>
      <c r="C37" s="1412" t="e">
        <f>R37</f>
        <v>#DIV/0!</v>
      </c>
      <c r="D37" s="1412"/>
      <c r="E37" s="1412"/>
      <c r="F37" s="1412"/>
      <c r="G37" s="1412"/>
      <c r="H37" s="1412"/>
      <c r="I37" s="1412"/>
      <c r="J37" s="1412"/>
      <c r="K37" s="1161"/>
      <c r="L37" s="1159"/>
      <c r="M37" s="1086"/>
      <c r="N37" s="1086"/>
      <c r="O37" s="1086"/>
      <c r="P37" s="3471" t="str">
        <f>A37</f>
        <v>估价对象XX用房的比较价值（楼面单价，元/平方米）</v>
      </c>
      <c r="Q37" s="3472"/>
      <c r="R37" s="3505" t="e">
        <f>IF(F1="售价",ROUND(IF(D36="简单平均",AVERAGE(R36:W36),R36*F36+T36*H36+V36*J36),0),ROUND(IF(D36="简单平均",AVERAGE(R36:V36),R36*F36+T36*H36+V36*J36),1))</f>
        <v>#DIV/0!</v>
      </c>
      <c r="S37" s="3505"/>
      <c r="T37" s="3505"/>
      <c r="U37" s="3505"/>
      <c r="V37" s="3505"/>
      <c r="W37" s="3505"/>
      <c r="X37" s="1123"/>
      <c r="Y37" s="1123"/>
      <c r="Z37" s="1123"/>
      <c r="AA37" s="1123"/>
      <c r="AB37" s="1123"/>
      <c r="AC37" s="1123"/>
    </row>
    <row r="38" spans="1:30">
      <c r="A38" s="1086"/>
      <c r="B38" s="1086"/>
      <c r="C38" s="1086"/>
      <c r="D38" s="1086"/>
      <c r="E38" s="1086"/>
      <c r="F38" s="1086"/>
      <c r="G38" s="1087"/>
      <c r="H38" s="1086"/>
      <c r="I38" s="1086"/>
      <c r="J38" s="1086"/>
      <c r="K38" s="1163"/>
      <c r="L38" s="116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163"/>
      <c r="L39" s="1164"/>
      <c r="M39" s="1086"/>
      <c r="N39" s="1086"/>
      <c r="O39" s="1086"/>
      <c r="P39" s="1086"/>
      <c r="Q39" s="1086"/>
      <c r="R39" s="1086"/>
      <c r="S39" s="1086"/>
      <c r="T39" s="1086"/>
      <c r="U39" s="1086"/>
      <c r="V39" s="1086"/>
      <c r="W39" s="1086"/>
      <c r="X39" s="1086"/>
      <c r="Y39" s="1086"/>
      <c r="Z39" s="1086"/>
      <c r="AA39" s="1086"/>
      <c r="AB39" s="1086"/>
      <c r="AC39" s="1086"/>
      <c r="AD39" s="1086"/>
    </row>
    <row r="40" spans="1:30" ht="13.5" customHeight="1">
      <c r="A40" s="1086"/>
      <c r="B40" s="1086"/>
      <c r="C40" s="1088" t="s">
        <v>1091</v>
      </c>
      <c r="D40" s="788"/>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163"/>
      <c r="L40" s="1164"/>
      <c r="M40" s="1086"/>
      <c r="N40" s="1086"/>
      <c r="O40" s="1086"/>
      <c r="P40" s="1086"/>
      <c r="Q40" s="1086"/>
      <c r="R40" s="1086"/>
      <c r="S40" s="1086"/>
      <c r="T40" s="1086"/>
      <c r="U40" s="1086"/>
      <c r="V40" s="1086"/>
      <c r="W40" s="1086"/>
      <c r="X40" s="1086"/>
      <c r="Y40" s="1086"/>
      <c r="Z40" s="1086"/>
      <c r="AA40" s="1086"/>
      <c r="AB40" s="1086"/>
      <c r="AC40" s="1086"/>
      <c r="AD40" s="1086"/>
    </row>
    <row r="41" spans="1:30" ht="13.5" customHeight="1">
      <c r="A41" s="1086"/>
      <c r="B41" s="1086"/>
      <c r="C41" s="1088" t="s">
        <v>1092</v>
      </c>
      <c r="D41" s="787"/>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163"/>
      <c r="L41" s="1164"/>
      <c r="M41" s="1086"/>
      <c r="N41" s="1086"/>
      <c r="O41" s="1086"/>
      <c r="P41" s="1086"/>
      <c r="Q41" s="1086"/>
      <c r="R41" s="1086"/>
      <c r="S41" s="1086"/>
      <c r="T41" s="1086"/>
      <c r="U41" s="1086"/>
      <c r="V41" s="1086"/>
      <c r="W41" s="1086"/>
      <c r="X41" s="1086"/>
      <c r="Y41" s="1086"/>
      <c r="Z41" s="1086"/>
      <c r="AA41" s="1086"/>
      <c r="AB41" s="1086"/>
      <c r="AC41" s="1086"/>
      <c r="AD41" s="1086"/>
    </row>
    <row r="42" spans="1:30" s="973" customFormat="1" ht="13.5" customHeight="1">
      <c r="A42" s="1091"/>
      <c r="B42" s="1091"/>
      <c r="C42" s="1088" t="s">
        <v>1093</v>
      </c>
      <c r="D42" s="787"/>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165"/>
      <c r="L42" s="1166"/>
      <c r="M42" s="1091"/>
      <c r="N42" s="1091"/>
      <c r="O42" s="1091"/>
      <c r="P42" s="1091"/>
      <c r="Q42" s="1091"/>
      <c r="R42" s="1091"/>
      <c r="S42" s="1091"/>
      <c r="T42" s="1091"/>
      <c r="U42" s="1091"/>
      <c r="V42" s="1091"/>
      <c r="W42" s="1091"/>
      <c r="X42" s="1091"/>
      <c r="Y42" s="1091"/>
      <c r="Z42" s="1091"/>
      <c r="AA42" s="1091"/>
      <c r="AB42" s="1091"/>
      <c r="AC42" s="1091"/>
      <c r="AD42" s="1091"/>
    </row>
    <row r="43" spans="1:30" s="973" customFormat="1">
      <c r="A43" s="1091"/>
      <c r="B43" s="1092"/>
      <c r="C43" s="1413"/>
      <c r="D43" s="1091"/>
      <c r="E43" s="1091"/>
      <c r="F43" s="1091"/>
      <c r="G43" s="1091"/>
      <c r="H43" s="1091"/>
      <c r="I43" s="1091"/>
      <c r="J43" s="1091"/>
      <c r="K43" s="1165"/>
      <c r="L43" s="1166"/>
      <c r="M43" s="1091"/>
      <c r="N43" s="1091"/>
      <c r="O43" s="1091"/>
      <c r="P43" s="1091"/>
      <c r="Q43" s="1091"/>
      <c r="R43" s="1091"/>
      <c r="S43" s="1091"/>
      <c r="T43" s="1091"/>
      <c r="U43" s="1091"/>
      <c r="V43" s="1091"/>
      <c r="W43" s="1091"/>
      <c r="X43" s="1091"/>
      <c r="Y43" s="1091"/>
      <c r="Z43" s="1091"/>
      <c r="AA43" s="1091"/>
      <c r="AB43" s="1091"/>
      <c r="AC43" s="1091"/>
      <c r="AD43" s="1091"/>
    </row>
    <row r="44" spans="1:30">
      <c r="A44" s="1086"/>
      <c r="B44" s="1092"/>
      <c r="C44" s="1413"/>
      <c r="D44" s="1086"/>
      <c r="E44" s="1086"/>
      <c r="F44" s="1086"/>
      <c r="G44" s="1086"/>
      <c r="H44" s="1086"/>
      <c r="I44" s="1086"/>
      <c r="J44" s="1086"/>
      <c r="K44" s="1163"/>
      <c r="L44" s="1164"/>
      <c r="M44" s="1086"/>
      <c r="N44" s="1086"/>
      <c r="O44" s="1086"/>
      <c r="P44" s="1086"/>
      <c r="Q44" s="1086"/>
      <c r="R44" s="1086"/>
      <c r="S44" s="1086"/>
      <c r="T44" s="1086"/>
      <c r="U44" s="1086"/>
      <c r="V44" s="1086"/>
      <c r="W44" s="1086"/>
      <c r="X44" s="1086"/>
      <c r="Y44" s="1086"/>
      <c r="Z44" s="1086"/>
      <c r="AA44" s="1086"/>
      <c r="AB44" s="1086"/>
      <c r="AC44" s="1086"/>
      <c r="AD44" s="1086"/>
    </row>
    <row r="45" spans="1:30" ht="21">
      <c r="A45" s="1122" t="s">
        <v>1094</v>
      </c>
      <c r="B45" s="1123"/>
      <c r="C45" s="1124"/>
      <c r="D45" s="1124"/>
      <c r="E45" s="1124"/>
      <c r="F45" s="1125"/>
      <c r="G45" s="1125"/>
      <c r="H45" s="1124"/>
      <c r="I45" s="1124"/>
      <c r="J45" s="1124"/>
      <c r="K45" s="1173"/>
      <c r="L45" s="1174"/>
      <c r="M45" s="1124"/>
      <c r="N45" s="1176"/>
      <c r="O45" s="1176"/>
      <c r="P45" s="1176"/>
      <c r="Q45" s="1188"/>
      <c r="R45" s="1086"/>
      <c r="S45" s="1086"/>
      <c r="T45" s="1086"/>
      <c r="U45" s="1086"/>
      <c r="V45" s="1086"/>
      <c r="W45" s="1086"/>
      <c r="X45" s="1086"/>
      <c r="Y45" s="1086"/>
      <c r="Z45" s="1086"/>
      <c r="AA45" s="1086"/>
      <c r="AB45" s="1086"/>
      <c r="AC45" s="1086"/>
      <c r="AD45" s="1086"/>
    </row>
    <row r="46" spans="1:30" s="975" customFormat="1" ht="15">
      <c r="A46" s="1414" t="s">
        <v>1035</v>
      </c>
      <c r="B46" s="1415"/>
      <c r="C46" s="1416" t="str">
        <f>YEAR(C7)&amp;"-"&amp;MONTH(C7)</f>
        <v>2021-5</v>
      </c>
      <c r="D46" s="1417">
        <f>EDATE(C46,-1)</f>
        <v>44287</v>
      </c>
      <c r="E46" s="1417">
        <f t="shared" ref="E46:O46" si="16">EDATE(D46,-1)</f>
        <v>44256</v>
      </c>
      <c r="F46" s="1417">
        <f t="shared" si="16"/>
        <v>44228</v>
      </c>
      <c r="G46" s="1417">
        <f t="shared" si="16"/>
        <v>44197</v>
      </c>
      <c r="H46" s="1417">
        <f t="shared" si="16"/>
        <v>44166</v>
      </c>
      <c r="I46" s="1417">
        <f t="shared" si="16"/>
        <v>44136</v>
      </c>
      <c r="J46" s="1417">
        <f t="shared" si="16"/>
        <v>44105</v>
      </c>
      <c r="K46" s="1417">
        <f t="shared" si="16"/>
        <v>44075</v>
      </c>
      <c r="L46" s="1417">
        <f t="shared" si="16"/>
        <v>44044</v>
      </c>
      <c r="M46" s="1417">
        <f t="shared" si="16"/>
        <v>44013</v>
      </c>
      <c r="N46" s="1417">
        <f t="shared" si="16"/>
        <v>43983</v>
      </c>
      <c r="O46" s="1417">
        <f t="shared" si="16"/>
        <v>43952</v>
      </c>
      <c r="P46" s="1251"/>
      <c r="Q46" s="1307"/>
      <c r="R46" s="1307"/>
      <c r="S46" s="1307"/>
      <c r="T46" s="1307"/>
      <c r="U46" s="1307"/>
      <c r="V46" s="1307"/>
      <c r="W46" s="1307"/>
      <c r="X46" s="1307"/>
      <c r="Y46" s="1307"/>
      <c r="Z46" s="1307"/>
      <c r="AA46" s="1307"/>
      <c r="AB46" s="1307"/>
      <c r="AC46" s="1307"/>
      <c r="AD46" s="1307"/>
    </row>
    <row r="47" spans="1:30" s="970" customFormat="1" ht="15">
      <c r="A47" s="1418"/>
      <c r="B47" s="1208"/>
      <c r="C47" s="1419">
        <v>100</v>
      </c>
      <c r="D47" s="1212"/>
      <c r="E47" s="1212"/>
      <c r="F47" s="1212"/>
      <c r="G47" s="1212"/>
      <c r="H47" s="1212"/>
      <c r="I47" s="1212"/>
      <c r="J47" s="1212"/>
      <c r="K47" s="1212"/>
      <c r="L47" s="1212"/>
      <c r="M47" s="1426"/>
      <c r="N47" s="1212"/>
      <c r="O47" s="1260"/>
      <c r="P47" s="1188"/>
      <c r="Q47" s="1308"/>
      <c r="R47" s="1308"/>
      <c r="S47" s="1308"/>
      <c r="T47" s="1308"/>
      <c r="U47" s="1308"/>
      <c r="V47" s="1308"/>
      <c r="W47" s="1308"/>
      <c r="X47" s="1308"/>
      <c r="Y47" s="1308"/>
      <c r="Z47" s="1308"/>
      <c r="AA47" s="1308"/>
      <c r="AB47" s="1308"/>
      <c r="AC47" s="1308"/>
      <c r="AD47" s="1308"/>
    </row>
    <row r="48" spans="1:30" s="970" customFormat="1" ht="15">
      <c r="A48" s="1203" t="s">
        <v>1095</v>
      </c>
      <c r="B48" s="1204"/>
      <c r="C48" s="1205"/>
      <c r="D48" s="1206"/>
      <c r="E48" s="1206"/>
      <c r="F48" s="1206"/>
      <c r="G48" s="1206"/>
      <c r="H48" s="1206"/>
      <c r="I48" s="1206"/>
      <c r="J48" s="1206"/>
      <c r="K48" s="1206"/>
      <c r="L48" s="1206"/>
      <c r="M48" s="1254"/>
      <c r="N48" s="1206"/>
      <c r="O48" s="1255"/>
      <c r="P48" s="1188"/>
      <c r="Q48" s="1188"/>
      <c r="R48" s="1308"/>
      <c r="S48" s="1308"/>
      <c r="T48" s="1308"/>
      <c r="U48" s="1308"/>
      <c r="V48" s="1308"/>
      <c r="W48" s="1308"/>
      <c r="X48" s="1308"/>
      <c r="Y48" s="1308"/>
      <c r="Z48" s="1308"/>
      <c r="AA48" s="1308"/>
      <c r="AB48" s="1308"/>
      <c r="AC48" s="1308"/>
      <c r="AD48" s="1308"/>
    </row>
    <row r="49" spans="1:30" s="970" customFormat="1" ht="15">
      <c r="A49" s="1207" t="s">
        <v>1038</v>
      </c>
      <c r="B49" s="1208"/>
      <c r="C49" s="1209" t="s">
        <v>1039</v>
      </c>
      <c r="D49" s="1210"/>
      <c r="E49" s="1210"/>
      <c r="F49" s="1210"/>
      <c r="G49" s="1210"/>
      <c r="H49" s="1210"/>
      <c r="I49" s="1210"/>
      <c r="J49" s="1210"/>
      <c r="K49" s="1210"/>
      <c r="L49" s="1256"/>
      <c r="M49" s="1257"/>
      <c r="N49" s="1258"/>
      <c r="O49" s="1258"/>
      <c r="P49" s="1259"/>
      <c r="Q49" s="1188"/>
      <c r="R49" s="1308"/>
      <c r="S49" s="1308"/>
      <c r="T49" s="1308"/>
      <c r="U49" s="1308"/>
      <c r="V49" s="1308"/>
      <c r="W49" s="1308"/>
      <c r="X49" s="1308"/>
      <c r="Y49" s="1308"/>
      <c r="Z49" s="1308"/>
      <c r="AA49" s="1308"/>
      <c r="AB49" s="1308"/>
      <c r="AC49" s="1308"/>
      <c r="AD49" s="1308"/>
    </row>
    <row r="50" spans="1:30" s="970" customFormat="1" ht="15">
      <c r="A50" s="1207"/>
      <c r="B50" s="1208"/>
      <c r="C50" s="1211">
        <v>100</v>
      </c>
      <c r="D50" s="1212"/>
      <c r="E50" s="1212"/>
      <c r="F50" s="1212"/>
      <c r="G50" s="1212"/>
      <c r="H50" s="1212"/>
      <c r="I50" s="1212"/>
      <c r="J50" s="1212"/>
      <c r="K50" s="1212"/>
      <c r="L50" s="1212"/>
      <c r="M50" s="1260"/>
      <c r="N50" s="1258"/>
      <c r="O50" s="1258"/>
      <c r="P50" s="1188"/>
      <c r="Q50" s="1188"/>
      <c r="R50" s="1308"/>
      <c r="S50" s="1308"/>
      <c r="T50" s="1308"/>
      <c r="U50" s="1308"/>
      <c r="V50" s="1308"/>
      <c r="W50" s="1308"/>
      <c r="X50" s="1308"/>
      <c r="Y50" s="1308"/>
      <c r="Z50" s="1308"/>
      <c r="AA50" s="1308"/>
      <c r="AB50" s="1308"/>
      <c r="AC50" s="1308"/>
      <c r="AD50" s="1308"/>
    </row>
    <row r="51" spans="1:30">
      <c r="A51" s="1213" t="s">
        <v>1096</v>
      </c>
      <c r="B51" s="1214" t="s">
        <v>1043</v>
      </c>
      <c r="C51" s="1236">
        <f>C9</f>
        <v>0</v>
      </c>
      <c r="D51" s="1156"/>
      <c r="E51" s="1156"/>
      <c r="F51" s="1156"/>
      <c r="G51" s="1156"/>
      <c r="H51" s="1156"/>
      <c r="I51" s="1156"/>
      <c r="J51" s="1156"/>
      <c r="K51" s="1261"/>
      <c r="L51" s="1262"/>
      <c r="M51" s="1263"/>
      <c r="N51" s="1264"/>
      <c r="O51" s="1264"/>
      <c r="P51" s="1265"/>
      <c r="Q51" s="1188"/>
      <c r="R51" s="1086"/>
      <c r="S51" s="1086"/>
      <c r="T51" s="1086"/>
      <c r="U51" s="1086"/>
      <c r="V51" s="1086"/>
      <c r="W51" s="1086"/>
      <c r="X51" s="1086"/>
      <c r="Y51" s="1086"/>
      <c r="Z51" s="1086"/>
      <c r="AA51" s="1086"/>
      <c r="AB51" s="1086"/>
      <c r="AC51" s="1086"/>
      <c r="AD51" s="1086"/>
    </row>
    <row r="52" spans="1:30" ht="15">
      <c r="A52" s="1215"/>
      <c r="B52" s="1216"/>
      <c r="C52" s="1217">
        <v>100</v>
      </c>
      <c r="D52" s="1217"/>
      <c r="E52" s="1217"/>
      <c r="F52" s="1217"/>
      <c r="G52" s="1217"/>
      <c r="H52" s="1217"/>
      <c r="I52" s="1217"/>
      <c r="J52" s="1217"/>
      <c r="K52" s="1217"/>
      <c r="L52" s="1217"/>
      <c r="M52" s="1266"/>
      <c r="N52" s="1267"/>
      <c r="O52" s="1267"/>
      <c r="P52" s="1265"/>
      <c r="Q52" s="1188"/>
      <c r="R52" s="1086"/>
      <c r="S52" s="1086"/>
      <c r="T52" s="1086"/>
      <c r="U52" s="1086"/>
      <c r="V52" s="1086"/>
      <c r="W52" s="1086"/>
      <c r="X52" s="1086"/>
      <c r="Y52" s="1086"/>
      <c r="Z52" s="1086"/>
      <c r="AA52" s="1086"/>
      <c r="AB52" s="1086"/>
      <c r="AC52" s="1086"/>
      <c r="AD52" s="1086"/>
    </row>
    <row r="53" spans="1:30" ht="27">
      <c r="A53" s="1215"/>
      <c r="B53" s="1218" t="s">
        <v>1047</v>
      </c>
      <c r="C53" s="1219" t="s">
        <v>1097</v>
      </c>
      <c r="D53" s="1219" t="s">
        <v>1098</v>
      </c>
      <c r="E53" s="1219" t="s">
        <v>1099</v>
      </c>
      <c r="F53" s="1219" t="s">
        <v>1100</v>
      </c>
      <c r="G53" s="1219" t="s">
        <v>1101</v>
      </c>
      <c r="H53" s="1219" t="s">
        <v>1102</v>
      </c>
      <c r="I53" s="1219" t="s">
        <v>1103</v>
      </c>
      <c r="J53" s="1219"/>
      <c r="K53" s="1268"/>
      <c r="L53" s="1269"/>
      <c r="M53" s="1270"/>
      <c r="N53" s="1264"/>
      <c r="O53" s="1264"/>
      <c r="P53" s="1265"/>
      <c r="Q53" s="1188"/>
      <c r="R53" s="1086"/>
      <c r="S53" s="1086"/>
      <c r="T53" s="1086"/>
      <c r="U53" s="1086"/>
      <c r="V53" s="1086"/>
      <c r="W53" s="1086"/>
      <c r="X53" s="1086"/>
      <c r="Y53" s="1086"/>
      <c r="Z53" s="1086"/>
      <c r="AA53" s="1086"/>
      <c r="AB53" s="1086"/>
      <c r="AC53" s="1086"/>
      <c r="AD53" s="1086"/>
    </row>
    <row r="54" spans="1:30" ht="15">
      <c r="A54" s="1215"/>
      <c r="B54" s="1220"/>
      <c r="C54" s="1221" t="s">
        <v>1482</v>
      </c>
      <c r="D54" s="1221" t="s">
        <v>1482</v>
      </c>
      <c r="E54" s="1221">
        <v>100</v>
      </c>
      <c r="F54" s="1221">
        <f>E54-$K10</f>
        <v>100</v>
      </c>
      <c r="G54" s="1221">
        <f>F54-$K10</f>
        <v>100</v>
      </c>
      <c r="H54" s="1221">
        <f>G54-$K10</f>
        <v>100</v>
      </c>
      <c r="I54" s="1221">
        <f>H54-$K10</f>
        <v>100</v>
      </c>
      <c r="J54" s="1221"/>
      <c r="K54" s="1221"/>
      <c r="L54" s="1221"/>
      <c r="M54" s="1271"/>
      <c r="N54" s="1267"/>
      <c r="O54" s="1267"/>
      <c r="P54" s="1265"/>
      <c r="Q54" s="1188"/>
      <c r="R54" s="1086"/>
      <c r="S54" s="1086"/>
      <c r="T54" s="1086"/>
      <c r="U54" s="1086"/>
      <c r="V54" s="1086"/>
      <c r="W54" s="1086"/>
      <c r="X54" s="1086"/>
      <c r="Y54" s="1086"/>
      <c r="Z54" s="1086"/>
      <c r="AA54" s="1086"/>
      <c r="AB54" s="1086"/>
      <c r="AC54" s="1086"/>
      <c r="AD54" s="1086"/>
    </row>
    <row r="55" spans="1:30" ht="15">
      <c r="A55" s="1215"/>
      <c r="B55" s="1242">
        <f>B11</f>
        <v>111</v>
      </c>
      <c r="C55" s="1017"/>
      <c r="D55" s="1017"/>
      <c r="E55" s="1017"/>
      <c r="F55" s="1017"/>
      <c r="G55" s="1017"/>
      <c r="H55" s="1017"/>
      <c r="I55" s="1017"/>
      <c r="J55" s="1017"/>
      <c r="K55" s="1272"/>
      <c r="L55" s="1273"/>
      <c r="M55" s="1274"/>
      <c r="N55" s="1264"/>
      <c r="O55" s="1264"/>
      <c r="P55" s="1265"/>
      <c r="Q55" s="1188"/>
      <c r="R55" s="1086"/>
      <c r="S55" s="1086"/>
      <c r="T55" s="1086"/>
      <c r="U55" s="1086"/>
      <c r="V55" s="1086"/>
      <c r="W55" s="1086"/>
      <c r="X55" s="1086"/>
      <c r="Y55" s="1086"/>
      <c r="Z55" s="1086"/>
      <c r="AA55" s="1086"/>
      <c r="AB55" s="1086"/>
      <c r="AC55" s="1086"/>
      <c r="AD55" s="1086"/>
    </row>
    <row r="56" spans="1:30" ht="15">
      <c r="A56" s="1215"/>
      <c r="B56" s="1216"/>
      <c r="C56" s="1228"/>
      <c r="D56" s="1217"/>
      <c r="E56" s="1217"/>
      <c r="F56" s="1217"/>
      <c r="G56" s="1217"/>
      <c r="H56" s="1217"/>
      <c r="I56" s="1217"/>
      <c r="J56" s="1217"/>
      <c r="K56" s="1217"/>
      <c r="L56" s="1217"/>
      <c r="M56" s="1266"/>
      <c r="N56" s="1267"/>
      <c r="O56" s="1267"/>
      <c r="P56" s="1265"/>
      <c r="Q56" s="1188"/>
      <c r="R56" s="1086"/>
      <c r="S56" s="1086"/>
      <c r="T56" s="1086"/>
      <c r="U56" s="1086"/>
      <c r="V56" s="1086"/>
      <c r="W56" s="1086"/>
      <c r="X56" s="1086"/>
      <c r="Y56" s="1086"/>
      <c r="Z56" s="1086"/>
      <c r="AA56" s="1086"/>
      <c r="AB56" s="1086"/>
      <c r="AC56" s="1086"/>
      <c r="AD56" s="1086"/>
    </row>
    <row r="57" spans="1:30" s="972" customFormat="1" ht="15">
      <c r="A57" s="1225"/>
      <c r="B57" s="1218">
        <f>B12</f>
        <v>111</v>
      </c>
      <c r="C57" s="1017"/>
      <c r="D57" s="1017"/>
      <c r="E57" s="1017"/>
      <c r="F57" s="1017"/>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pans="1:30" s="972" customFormat="1" ht="15">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pans="1:30" s="972" customFormat="1" ht="15">
      <c r="A59" s="1225"/>
      <c r="B59" s="1218">
        <f>B13</f>
        <v>111</v>
      </c>
      <c r="C59" s="1017"/>
      <c r="D59" s="1017"/>
      <c r="E59" s="1017"/>
      <c r="F59" s="1017"/>
      <c r="G59" s="1226"/>
      <c r="H59" s="1227"/>
      <c r="I59" s="1227"/>
      <c r="J59" s="1227"/>
      <c r="K59" s="1227"/>
      <c r="L59" s="1275"/>
      <c r="M59" s="1276"/>
      <c r="N59" s="1277"/>
      <c r="O59" s="1277"/>
      <c r="P59" s="1154"/>
      <c r="Q59" s="1311"/>
      <c r="R59" s="1310"/>
      <c r="S59" s="1310"/>
      <c r="T59" s="1310"/>
      <c r="U59" s="1310"/>
      <c r="V59" s="1310"/>
      <c r="W59" s="1310"/>
      <c r="X59" s="1310"/>
      <c r="Y59" s="1310"/>
      <c r="Z59" s="1310"/>
      <c r="AA59" s="1310"/>
      <c r="AB59" s="1310"/>
      <c r="AC59" s="1310"/>
      <c r="AD59" s="1310"/>
    </row>
    <row r="60" spans="1:30" s="972" customFormat="1" ht="15">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spans="1:30">
      <c r="A61" s="1213" t="s">
        <v>1051</v>
      </c>
      <c r="B61" s="1214" t="s">
        <v>1056</v>
      </c>
      <c r="C61" s="1235" t="s">
        <v>1104</v>
      </c>
      <c r="D61" s="1235" t="s">
        <v>1105</v>
      </c>
      <c r="E61" s="1235" t="s">
        <v>1106</v>
      </c>
      <c r="F61" s="1235" t="s">
        <v>1107</v>
      </c>
      <c r="G61" s="1235" t="s">
        <v>1108</v>
      </c>
      <c r="H61" s="1236"/>
      <c r="I61" s="1236"/>
      <c r="J61" s="1236"/>
      <c r="K61" s="1284"/>
      <c r="L61" s="1285"/>
      <c r="M61" s="1286"/>
      <c r="N61" s="1264"/>
      <c r="O61" s="1264"/>
      <c r="P61" s="1287"/>
      <c r="Q61" s="1188"/>
      <c r="R61" s="1086"/>
      <c r="S61" s="1086"/>
      <c r="T61" s="1086"/>
      <c r="U61" s="1086"/>
      <c r="V61" s="1086"/>
      <c r="W61" s="1086"/>
      <c r="X61" s="1086"/>
      <c r="Y61" s="1086"/>
      <c r="Z61" s="1086"/>
      <c r="AA61" s="1086"/>
      <c r="AB61" s="1086"/>
      <c r="AC61" s="1086"/>
      <c r="AD61" s="1086"/>
    </row>
    <row r="62" spans="1:30" ht="15">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8"/>
      <c r="R62" s="1086"/>
      <c r="S62" s="1086"/>
      <c r="T62" s="1086"/>
      <c r="U62" s="1086"/>
      <c r="V62" s="1086"/>
      <c r="W62" s="1086"/>
      <c r="X62" s="1086"/>
      <c r="Y62" s="1086"/>
      <c r="Z62" s="1086"/>
      <c r="AA62" s="1086"/>
      <c r="AB62" s="1086"/>
      <c r="AC62" s="1086"/>
      <c r="AD62" s="1086"/>
    </row>
    <row r="63" spans="1:30" ht="27">
      <c r="A63" s="1215"/>
      <c r="B63" s="1218" t="s">
        <v>1510</v>
      </c>
      <c r="C63" s="1237" t="s">
        <v>1104</v>
      </c>
      <c r="D63" s="1237" t="s">
        <v>1105</v>
      </c>
      <c r="E63" s="1237" t="s">
        <v>1106</v>
      </c>
      <c r="F63" s="1237" t="s">
        <v>1107</v>
      </c>
      <c r="G63" s="1237" t="s">
        <v>1108</v>
      </c>
      <c r="H63" s="1219"/>
      <c r="I63" s="1219"/>
      <c r="J63" s="1219"/>
      <c r="K63" s="1268"/>
      <c r="L63" s="1269"/>
      <c r="M63" s="1270"/>
      <c r="N63" s="1264"/>
      <c r="O63" s="1264"/>
      <c r="P63" s="1265"/>
      <c r="Q63" s="1188"/>
      <c r="R63" s="1086"/>
      <c r="S63" s="1086"/>
      <c r="T63" s="1086"/>
      <c r="U63" s="1086"/>
      <c r="V63" s="1086"/>
      <c r="W63" s="1086"/>
      <c r="X63" s="1086"/>
      <c r="Y63" s="1086"/>
      <c r="Z63" s="1086"/>
      <c r="AA63" s="1086"/>
      <c r="AB63" s="1086"/>
      <c r="AC63" s="1086"/>
      <c r="AD63" s="1086"/>
    </row>
    <row r="64" spans="1:30" ht="15">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8"/>
      <c r="R64" s="1086"/>
      <c r="S64" s="1086"/>
      <c r="T64" s="1086"/>
      <c r="U64" s="1086"/>
      <c r="V64" s="1086"/>
      <c r="W64" s="1086"/>
      <c r="X64" s="1086"/>
      <c r="Y64" s="1086"/>
      <c r="Z64" s="1086"/>
      <c r="AA64" s="1086"/>
      <c r="AB64" s="1086"/>
      <c r="AC64" s="1086"/>
      <c r="AD64" s="1086"/>
    </row>
    <row r="65" spans="1:30" ht="15">
      <c r="A65" s="1215"/>
      <c r="B65" s="1222" t="s">
        <v>1058</v>
      </c>
      <c r="C65" s="1242" t="s">
        <v>1109</v>
      </c>
      <c r="D65" s="1242" t="s">
        <v>1110</v>
      </c>
      <c r="E65" s="1242" t="s">
        <v>1111</v>
      </c>
      <c r="F65" s="1242" t="s">
        <v>1112</v>
      </c>
      <c r="G65" s="1242" t="s">
        <v>1113</v>
      </c>
      <c r="H65" s="1219"/>
      <c r="I65" s="1219"/>
      <c r="J65" s="1219"/>
      <c r="K65" s="1219"/>
      <c r="L65" s="1219"/>
      <c r="M65" s="1431"/>
      <c r="N65" s="1267"/>
      <c r="O65" s="1267"/>
      <c r="P65" s="1265"/>
      <c r="Q65" s="1188"/>
      <c r="R65" s="1086"/>
      <c r="S65" s="1086"/>
      <c r="T65" s="1086"/>
      <c r="U65" s="1086"/>
      <c r="V65" s="1086"/>
      <c r="W65" s="1086"/>
      <c r="X65" s="1086"/>
      <c r="Y65" s="1086"/>
      <c r="Z65" s="1086"/>
      <c r="AA65" s="1086"/>
      <c r="AB65" s="1086"/>
      <c r="AC65" s="1086"/>
      <c r="AD65" s="1086"/>
    </row>
    <row r="66" spans="1:30" ht="15">
      <c r="A66" s="1215"/>
      <c r="B66" s="1222"/>
      <c r="C66" s="1221">
        <v>100</v>
      </c>
      <c r="D66" s="1221">
        <f>C66-$K18</f>
        <v>100</v>
      </c>
      <c r="E66" s="1221">
        <f>D66-$K18</f>
        <v>100</v>
      </c>
      <c r="F66" s="1221">
        <f>E66-$K18</f>
        <v>100</v>
      </c>
      <c r="G66" s="1221">
        <f>F66-$K18</f>
        <v>100</v>
      </c>
      <c r="H66" s="1242"/>
      <c r="I66" s="1242"/>
      <c r="J66" s="1242"/>
      <c r="K66" s="1242"/>
      <c r="L66" s="1242"/>
      <c r="M66" s="1034"/>
      <c r="N66" s="1267"/>
      <c r="O66" s="1267"/>
      <c r="P66" s="1265"/>
      <c r="Q66" s="1188"/>
      <c r="R66" s="1086"/>
      <c r="S66" s="1086"/>
      <c r="T66" s="1086"/>
      <c r="U66" s="1086"/>
      <c r="V66" s="1086"/>
      <c r="W66" s="1086"/>
      <c r="X66" s="1086"/>
      <c r="Y66" s="1086"/>
      <c r="Z66" s="1086"/>
      <c r="AA66" s="1086"/>
      <c r="AB66" s="1086"/>
      <c r="AC66" s="1086"/>
      <c r="AD66" s="1086"/>
    </row>
    <row r="67" spans="1:30" ht="15">
      <c r="A67" s="1215"/>
      <c r="B67" s="1218" t="s">
        <v>1059</v>
      </c>
      <c r="C67" s="1237" t="s">
        <v>1104</v>
      </c>
      <c r="D67" s="1237" t="s">
        <v>1105</v>
      </c>
      <c r="E67" s="1237" t="s">
        <v>1106</v>
      </c>
      <c r="F67" s="1237" t="s">
        <v>1107</v>
      </c>
      <c r="G67" s="1237" t="s">
        <v>1108</v>
      </c>
      <c r="H67" s="1219"/>
      <c r="I67" s="1219"/>
      <c r="J67" s="1219"/>
      <c r="K67" s="1268"/>
      <c r="L67" s="1269"/>
      <c r="M67" s="1270"/>
      <c r="N67" s="1264"/>
      <c r="O67" s="1264"/>
      <c r="P67" s="1265"/>
      <c r="Q67" s="1188"/>
      <c r="R67" s="1086"/>
      <c r="S67" s="1086"/>
      <c r="T67" s="1086"/>
      <c r="U67" s="1086"/>
      <c r="V67" s="1086"/>
      <c r="W67" s="1086"/>
      <c r="X67" s="1086"/>
      <c r="Y67" s="1086"/>
      <c r="Z67" s="1086"/>
      <c r="AA67" s="1086"/>
      <c r="AB67" s="1086"/>
      <c r="AC67" s="1086"/>
      <c r="AD67" s="1086"/>
    </row>
    <row r="68" spans="1:30" ht="15">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8"/>
      <c r="R68" s="1086"/>
      <c r="S68" s="1086"/>
      <c r="T68" s="1086"/>
      <c r="U68" s="1086"/>
      <c r="V68" s="1086"/>
      <c r="W68" s="1086"/>
      <c r="X68" s="1086"/>
      <c r="Y68" s="1086"/>
      <c r="Z68" s="1086"/>
      <c r="AA68" s="1086"/>
      <c r="AB68" s="1086"/>
      <c r="AC68" s="1086"/>
      <c r="AD68" s="1086"/>
    </row>
    <row r="69" spans="1:30" ht="15">
      <c r="A69" s="1215"/>
      <c r="B69" s="1218" t="s">
        <v>1476</v>
      </c>
      <c r="C69" s="1226"/>
      <c r="D69" s="1226"/>
      <c r="E69" s="1226"/>
      <c r="F69" s="1226"/>
      <c r="G69" s="1226"/>
      <c r="H69" s="1243"/>
      <c r="I69" s="1243"/>
      <c r="J69" s="1243"/>
      <c r="K69" s="1294"/>
      <c r="L69" s="1295"/>
      <c r="M69" s="1296"/>
      <c r="N69" s="1264"/>
      <c r="O69" s="1264"/>
      <c r="P69" s="1265"/>
      <c r="Q69" s="1188"/>
      <c r="R69" s="1086"/>
      <c r="S69" s="1086"/>
      <c r="T69" s="1086"/>
      <c r="U69" s="1086"/>
      <c r="V69" s="1086"/>
      <c r="W69" s="1086"/>
      <c r="X69" s="1086"/>
      <c r="Y69" s="1086"/>
      <c r="Z69" s="1086"/>
      <c r="AA69" s="1086"/>
      <c r="AB69" s="1086"/>
      <c r="AC69" s="1086"/>
      <c r="AD69" s="1086"/>
    </row>
    <row r="70" spans="1:30" ht="15">
      <c r="A70" s="1215"/>
      <c r="B70" s="1220"/>
      <c r="C70" s="1221">
        <v>100</v>
      </c>
      <c r="D70" s="1221">
        <f>C70-$K22</f>
        <v>100</v>
      </c>
      <c r="E70" s="1221"/>
      <c r="F70" s="1221"/>
      <c r="G70" s="1221"/>
      <c r="H70" s="1221"/>
      <c r="I70" s="1221"/>
      <c r="J70" s="1221"/>
      <c r="K70" s="1221"/>
      <c r="L70" s="1221"/>
      <c r="M70" s="1271"/>
      <c r="N70" s="1267"/>
      <c r="O70" s="1267"/>
      <c r="P70" s="1265"/>
      <c r="Q70" s="1188"/>
      <c r="R70" s="1086"/>
      <c r="S70" s="1086"/>
      <c r="T70" s="1086"/>
      <c r="U70" s="1086"/>
      <c r="V70" s="1086"/>
      <c r="W70" s="1086"/>
      <c r="X70" s="1086"/>
      <c r="Y70" s="1086"/>
      <c r="Z70" s="1086"/>
      <c r="AA70" s="1086"/>
      <c r="AB70" s="1086"/>
      <c r="AC70" s="1086"/>
      <c r="AD70" s="1086"/>
    </row>
    <row r="71" spans="1:30" s="970" customFormat="1" ht="15">
      <c r="A71" s="1238"/>
      <c r="B71" s="1218">
        <f>B23</f>
        <v>111</v>
      </c>
      <c r="C71" s="1017"/>
      <c r="D71" s="1017"/>
      <c r="E71" s="1017"/>
      <c r="F71" s="1017"/>
      <c r="G71" s="1226"/>
      <c r="H71" s="1226"/>
      <c r="I71" s="1226"/>
      <c r="J71" s="1226"/>
      <c r="K71" s="1226"/>
      <c r="L71" s="1432"/>
      <c r="M71" s="1433"/>
      <c r="N71" s="1258"/>
      <c r="O71" s="1258"/>
      <c r="P71" s="1265"/>
      <c r="Q71" s="1188"/>
      <c r="R71" s="1308"/>
      <c r="S71" s="1308"/>
      <c r="T71" s="1308"/>
      <c r="U71" s="1308"/>
      <c r="V71" s="1308"/>
      <c r="W71" s="1308"/>
      <c r="X71" s="1308"/>
      <c r="Y71" s="1308"/>
      <c r="Z71" s="1308"/>
      <c r="AA71" s="1308"/>
      <c r="AB71" s="1308"/>
      <c r="AC71" s="1308"/>
      <c r="AD71" s="1308"/>
    </row>
    <row r="72" spans="1:30" s="970" customFormat="1" ht="15">
      <c r="A72" s="1238"/>
      <c r="B72" s="1220"/>
      <c r="C72" s="1228"/>
      <c r="D72" s="1217"/>
      <c r="E72" s="1217"/>
      <c r="F72" s="1217"/>
      <c r="G72" s="1217"/>
      <c r="H72" s="1217"/>
      <c r="I72" s="1217"/>
      <c r="J72" s="1217"/>
      <c r="K72" s="1217"/>
      <c r="L72" s="1217"/>
      <c r="M72" s="1266"/>
      <c r="N72" s="1267"/>
      <c r="O72" s="1267"/>
      <c r="P72" s="1265"/>
      <c r="Q72" s="1188"/>
      <c r="R72" s="1308"/>
      <c r="S72" s="1308"/>
      <c r="T72" s="1308"/>
      <c r="U72" s="1308"/>
      <c r="V72" s="1308"/>
      <c r="W72" s="1308"/>
      <c r="X72" s="1308"/>
      <c r="Y72" s="1308"/>
      <c r="Z72" s="1308"/>
      <c r="AA72" s="1308"/>
      <c r="AB72" s="1308"/>
      <c r="AC72" s="1308"/>
      <c r="AD72" s="1308"/>
    </row>
    <row r="73" spans="1:30" s="970" customFormat="1" ht="15">
      <c r="A73" s="1238"/>
      <c r="B73" s="1218">
        <f>B24</f>
        <v>111</v>
      </c>
      <c r="C73" s="1017"/>
      <c r="D73" s="1017"/>
      <c r="E73" s="1017"/>
      <c r="F73" s="1017"/>
      <c r="G73" s="1226"/>
      <c r="H73" s="1226"/>
      <c r="I73" s="1226"/>
      <c r="J73" s="1226"/>
      <c r="K73" s="1226"/>
      <c r="L73" s="1226"/>
      <c r="M73" s="1433"/>
      <c r="N73" s="1258"/>
      <c r="O73" s="1258"/>
      <c r="P73" s="1265"/>
      <c r="Q73" s="1188"/>
      <c r="R73" s="1308"/>
      <c r="S73" s="1308"/>
      <c r="T73" s="1308"/>
      <c r="U73" s="1308"/>
      <c r="V73" s="1308"/>
      <c r="W73" s="1308"/>
      <c r="X73" s="1308"/>
      <c r="Y73" s="1308"/>
      <c r="Z73" s="1308"/>
      <c r="AA73" s="1308"/>
      <c r="AB73" s="1308"/>
      <c r="AC73" s="1308"/>
      <c r="AD73" s="1308"/>
    </row>
    <row r="74" spans="1:30" s="970" customFormat="1" ht="15">
      <c r="A74" s="1238"/>
      <c r="B74" s="1220"/>
      <c r="C74" s="1228"/>
      <c r="D74" s="1217"/>
      <c r="E74" s="1217"/>
      <c r="F74" s="1217"/>
      <c r="G74" s="1217"/>
      <c r="H74" s="1217"/>
      <c r="I74" s="1217"/>
      <c r="J74" s="1217"/>
      <c r="K74" s="1217"/>
      <c r="L74" s="1217"/>
      <c r="M74" s="1266"/>
      <c r="N74" s="1267"/>
      <c r="O74" s="1267"/>
      <c r="P74" s="1265"/>
      <c r="Q74" s="1188"/>
      <c r="R74" s="1308"/>
      <c r="S74" s="1308"/>
      <c r="T74" s="1308"/>
      <c r="U74" s="1308"/>
      <c r="V74" s="1308"/>
      <c r="W74" s="1308"/>
      <c r="X74" s="1308"/>
      <c r="Y74" s="1308"/>
      <c r="Z74" s="1308"/>
      <c r="AA74" s="1308"/>
      <c r="AB74" s="1308"/>
      <c r="AC74" s="1308"/>
      <c r="AD74" s="1308"/>
    </row>
    <row r="75" spans="1:30" s="972" customFormat="1" ht="15">
      <c r="A75" s="1225"/>
      <c r="B75" s="1218">
        <f>B25</f>
        <v>111</v>
      </c>
      <c r="C75" s="1017"/>
      <c r="D75" s="1017"/>
      <c r="E75" s="1017"/>
      <c r="F75" s="1017"/>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pans="1:30" s="972" customFormat="1" ht="15">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spans="1:30">
      <c r="A77" s="1213" t="s">
        <v>1065</v>
      </c>
      <c r="B77" s="1214" t="s">
        <v>1073</v>
      </c>
      <c r="C77" s="1226"/>
      <c r="D77" s="1226"/>
      <c r="E77" s="1156"/>
      <c r="F77" s="1156"/>
      <c r="G77" s="1156"/>
      <c r="H77" s="1156"/>
      <c r="I77" s="1156"/>
      <c r="J77" s="1156"/>
      <c r="K77" s="1261"/>
      <c r="L77" s="1262"/>
      <c r="M77" s="1263"/>
      <c r="N77" s="1264"/>
      <c r="O77" s="1264"/>
      <c r="P77" s="1265"/>
      <c r="Q77" s="1188"/>
      <c r="R77" s="1086"/>
      <c r="S77" s="1086"/>
      <c r="T77" s="1086"/>
      <c r="U77" s="1086"/>
      <c r="V77" s="1086"/>
      <c r="W77" s="1086"/>
      <c r="X77" s="1086"/>
      <c r="Y77" s="1086"/>
      <c r="Z77" s="1086"/>
      <c r="AA77" s="1086"/>
      <c r="AB77" s="1086"/>
      <c r="AC77" s="1086"/>
      <c r="AD77" s="1086"/>
    </row>
    <row r="78" spans="1:30" ht="15">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8"/>
      <c r="R78" s="1086"/>
      <c r="S78" s="1086"/>
      <c r="T78" s="1086"/>
      <c r="U78" s="1086"/>
      <c r="V78" s="1086"/>
      <c r="W78" s="1086"/>
      <c r="X78" s="1086"/>
      <c r="Y78" s="1086"/>
      <c r="Z78" s="1086"/>
      <c r="AA78" s="1086"/>
      <c r="AB78" s="1086"/>
      <c r="AC78" s="1086"/>
      <c r="AD78" s="1086"/>
    </row>
    <row r="79" spans="1:30" ht="15">
      <c r="A79" s="1215"/>
      <c r="B79" s="1218" t="s">
        <v>1499</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8"/>
      <c r="R79" s="1086"/>
      <c r="S79" s="1086"/>
      <c r="T79" s="1086"/>
      <c r="U79" s="1086"/>
      <c r="V79" s="1086"/>
      <c r="W79" s="1086"/>
      <c r="X79" s="1086"/>
      <c r="Y79" s="1086"/>
      <c r="Z79" s="1086"/>
      <c r="AA79" s="1086"/>
      <c r="AB79" s="1086"/>
      <c r="AC79" s="1086"/>
      <c r="AD79" s="1086"/>
    </row>
    <row r="80" spans="1:30" ht="15">
      <c r="A80" s="1215"/>
      <c r="B80" s="1222"/>
      <c r="C80" s="905">
        <v>0.5</v>
      </c>
      <c r="D80" s="905">
        <v>0.6</v>
      </c>
      <c r="E80" s="905">
        <v>0.7</v>
      </c>
      <c r="F80" s="905">
        <v>0.8</v>
      </c>
      <c r="G80" s="905">
        <v>0.9</v>
      </c>
      <c r="H80" s="905">
        <v>1.0001</v>
      </c>
      <c r="I80" s="1242"/>
      <c r="J80" s="1242"/>
      <c r="K80" s="1434"/>
      <c r="L80" s="1435"/>
      <c r="M80" s="1436"/>
      <c r="N80" s="1258"/>
      <c r="O80" s="1258"/>
      <c r="P80" s="1265"/>
      <c r="Q80" s="1188"/>
      <c r="R80" s="1086"/>
      <c r="S80" s="1086"/>
      <c r="T80" s="1086"/>
      <c r="U80" s="1086"/>
      <c r="V80" s="1086"/>
      <c r="W80" s="1086"/>
      <c r="X80" s="1086"/>
      <c r="Y80" s="1086"/>
      <c r="Z80" s="1086"/>
      <c r="AA80" s="1086"/>
      <c r="AB80" s="1086"/>
      <c r="AC80" s="1086"/>
      <c r="AD80" s="1086"/>
    </row>
    <row r="81" spans="1:30" s="972" customFormat="1" ht="15">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spans="1:30">
      <c r="A82" s="1249"/>
      <c r="B82" s="1222" t="s">
        <v>1500</v>
      </c>
      <c r="C82" s="1226"/>
      <c r="D82" s="1226"/>
      <c r="E82" s="1243"/>
      <c r="F82" s="1243"/>
      <c r="G82" s="1243"/>
      <c r="H82" s="1243"/>
      <c r="I82" s="1243"/>
      <c r="J82" s="1243"/>
      <c r="K82" s="1294"/>
      <c r="L82" s="1295"/>
      <c r="M82" s="1296"/>
      <c r="N82" s="1264"/>
      <c r="O82" s="1264"/>
      <c r="P82" s="1265"/>
      <c r="Q82" s="1188"/>
      <c r="R82" s="1086"/>
      <c r="S82" s="1086"/>
      <c r="T82" s="1086"/>
      <c r="U82" s="1086"/>
      <c r="V82" s="1086"/>
      <c r="W82" s="1086"/>
      <c r="X82" s="1086"/>
      <c r="Y82" s="1086"/>
      <c r="Z82" s="1086"/>
      <c r="AA82" s="1086"/>
      <c r="AB82" s="1086"/>
      <c r="AC82" s="1086"/>
      <c r="AD82" s="1086"/>
    </row>
    <row r="83" spans="1:30" ht="15">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8"/>
      <c r="R83" s="1086"/>
      <c r="S83" s="1086"/>
      <c r="T83" s="1086"/>
      <c r="U83" s="1086"/>
      <c r="V83" s="1086"/>
      <c r="W83" s="1086"/>
      <c r="X83" s="1086"/>
      <c r="Y83" s="1086"/>
      <c r="Z83" s="1086"/>
      <c r="AA83" s="1086"/>
      <c r="AB83" s="1086"/>
      <c r="AC83" s="1086"/>
      <c r="AD83" s="1086"/>
    </row>
    <row r="84" spans="1:30">
      <c r="A84" s="1249"/>
      <c r="B84" s="1218" t="s">
        <v>1508</v>
      </c>
      <c r="C84" s="1226"/>
      <c r="D84" s="1226"/>
      <c r="E84" s="1226"/>
      <c r="F84" s="1226"/>
      <c r="G84" s="1226"/>
      <c r="H84" s="1226"/>
      <c r="I84" s="1243"/>
      <c r="J84" s="1243"/>
      <c r="K84" s="1294"/>
      <c r="L84" s="1295"/>
      <c r="M84" s="1296"/>
      <c r="N84" s="1264"/>
      <c r="O84" s="1264"/>
      <c r="P84" s="1265"/>
      <c r="Q84" s="1188"/>
      <c r="R84" s="1086"/>
      <c r="S84" s="1086"/>
      <c r="T84" s="1086"/>
      <c r="U84" s="1086"/>
      <c r="V84" s="1086"/>
      <c r="W84" s="1086"/>
      <c r="X84" s="1086"/>
      <c r="Y84" s="1086"/>
      <c r="Z84" s="1086"/>
      <c r="AA84" s="1086"/>
      <c r="AB84" s="1086"/>
      <c r="AC84" s="1086"/>
      <c r="AD84" s="1086"/>
    </row>
    <row r="85" spans="1:30" ht="15">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8"/>
      <c r="R85" s="1086"/>
      <c r="S85" s="1086"/>
      <c r="T85" s="1086"/>
      <c r="U85" s="1086"/>
      <c r="V85" s="1086"/>
      <c r="W85" s="1086"/>
      <c r="X85" s="1086"/>
      <c r="Y85" s="1086"/>
      <c r="Z85" s="1086"/>
      <c r="AA85" s="1086"/>
      <c r="AB85" s="1086"/>
      <c r="AC85" s="1086"/>
      <c r="AD85" s="1086"/>
    </row>
    <row r="86" spans="1:30">
      <c r="A86" s="1249"/>
      <c r="B86" s="1222" t="s">
        <v>529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8"/>
      <c r="R86" s="1086"/>
      <c r="S86" s="1086"/>
      <c r="T86" s="1086"/>
      <c r="U86" s="1086"/>
      <c r="V86" s="1086"/>
      <c r="W86" s="1086"/>
      <c r="X86" s="1086"/>
      <c r="Y86" s="1086"/>
      <c r="Z86" s="1086"/>
      <c r="AA86" s="1086"/>
      <c r="AB86" s="1086"/>
      <c r="AC86" s="1086"/>
      <c r="AD86" s="1086"/>
    </row>
    <row r="87" spans="1:30">
      <c r="A87" s="1249"/>
      <c r="B87" s="1222"/>
      <c r="C87" s="1202"/>
      <c r="D87" s="1202"/>
      <c r="E87" s="1202"/>
      <c r="F87" s="1202"/>
      <c r="G87" s="1202"/>
      <c r="H87" s="1202"/>
      <c r="I87" s="1202"/>
      <c r="J87" s="1301"/>
      <c r="K87" s="1301"/>
      <c r="L87" s="1302"/>
      <c r="M87" s="1303"/>
      <c r="N87" s="1264"/>
      <c r="O87" s="1264"/>
      <c r="P87" s="1265"/>
      <c r="Q87" s="1188"/>
      <c r="R87" s="1086"/>
      <c r="S87" s="1086"/>
      <c r="T87" s="1086"/>
      <c r="U87" s="1086"/>
      <c r="V87" s="1086"/>
      <c r="W87" s="1086"/>
      <c r="X87" s="1086"/>
      <c r="Y87" s="1086"/>
      <c r="Z87" s="1086"/>
      <c r="AA87" s="1086"/>
      <c r="AB87" s="1086"/>
      <c r="AC87" s="1086"/>
      <c r="AD87" s="1086"/>
    </row>
    <row r="88" spans="1:30" ht="15">
      <c r="A88" s="1215"/>
      <c r="B88" s="1220"/>
      <c r="C88" s="1228"/>
      <c r="D88" s="1217"/>
      <c r="E88" s="1217"/>
      <c r="F88" s="1217"/>
      <c r="G88" s="1217"/>
      <c r="H88" s="1217"/>
      <c r="I88" s="1217"/>
      <c r="J88" s="1217"/>
      <c r="K88" s="1217"/>
      <c r="L88" s="1217"/>
      <c r="M88" s="1217"/>
      <c r="N88" s="1267"/>
      <c r="O88" s="1267"/>
      <c r="P88" s="1265"/>
      <c r="Q88" s="1188"/>
      <c r="R88" s="1086"/>
      <c r="S88" s="1086"/>
      <c r="T88" s="1086"/>
      <c r="U88" s="1086"/>
      <c r="V88" s="1086"/>
      <c r="W88" s="1086"/>
      <c r="X88" s="1086"/>
      <c r="Y88" s="1086"/>
      <c r="Z88" s="1086"/>
      <c r="AA88" s="1086"/>
      <c r="AB88" s="1086"/>
      <c r="AC88" s="1086"/>
      <c r="AD88" s="1086"/>
    </row>
    <row r="89" spans="1:30" s="972" customFormat="1">
      <c r="A89" s="1246"/>
      <c r="B89" s="1218" t="s">
        <v>1509</v>
      </c>
      <c r="C89" s="1226"/>
      <c r="D89" s="1226"/>
      <c r="E89" s="1226"/>
      <c r="F89" s="1226"/>
      <c r="G89" s="1226"/>
      <c r="H89" s="1226"/>
      <c r="I89" s="1226"/>
      <c r="J89" s="1226"/>
      <c r="K89" s="1226"/>
      <c r="L89" s="1226"/>
      <c r="M89" s="1433"/>
      <c r="N89" s="1277"/>
      <c r="O89" s="1277"/>
      <c r="P89" s="1278"/>
      <c r="Q89" s="1309"/>
      <c r="R89" s="1310"/>
      <c r="S89" s="1310"/>
      <c r="T89" s="1310"/>
      <c r="U89" s="1310"/>
      <c r="V89" s="1310"/>
      <c r="W89" s="1310"/>
      <c r="X89" s="1310"/>
      <c r="Y89" s="1310"/>
      <c r="Z89" s="1310"/>
      <c r="AA89" s="1310"/>
      <c r="AB89" s="1310"/>
      <c r="AC89" s="1310"/>
      <c r="AD89" s="1310"/>
    </row>
    <row r="90" spans="1:30" s="972" customFormat="1" ht="15">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spans="1:30">
      <c r="A91" s="1249"/>
      <c r="B91" s="1218">
        <f>B32</f>
        <v>111</v>
      </c>
      <c r="C91" s="1017"/>
      <c r="D91" s="1017"/>
      <c r="E91" s="1017"/>
      <c r="F91" s="1017"/>
      <c r="G91" s="1226"/>
      <c r="H91" s="1227"/>
      <c r="I91" s="1227"/>
      <c r="J91" s="1227"/>
      <c r="K91" s="1227"/>
      <c r="L91" s="1275"/>
      <c r="M91" s="1276"/>
      <c r="N91" s="1264"/>
      <c r="O91" s="1264"/>
      <c r="P91" s="1265"/>
      <c r="Q91" s="1188"/>
      <c r="R91" s="1086"/>
      <c r="S91" s="1086"/>
      <c r="T91" s="1086"/>
      <c r="U91" s="1086"/>
      <c r="V91" s="1086"/>
      <c r="W91" s="1086"/>
      <c r="X91" s="1086"/>
      <c r="Y91" s="1086"/>
      <c r="Z91" s="1086"/>
      <c r="AA91" s="1086"/>
      <c r="AB91" s="1086"/>
      <c r="AC91" s="1086"/>
      <c r="AD91" s="1086"/>
    </row>
    <row r="92" spans="1:30" ht="15">
      <c r="A92" s="1215"/>
      <c r="B92" s="1220"/>
      <c r="C92" s="1228"/>
      <c r="D92" s="1217"/>
      <c r="E92" s="1217"/>
      <c r="F92" s="1217"/>
      <c r="G92" s="1228"/>
      <c r="H92" s="1229"/>
      <c r="I92" s="1229"/>
      <c r="J92" s="1229"/>
      <c r="K92" s="1229"/>
      <c r="L92" s="1229"/>
      <c r="M92" s="1279"/>
      <c r="N92" s="1267"/>
      <c r="O92" s="1267"/>
      <c r="P92" s="1265"/>
      <c r="Q92" s="1188"/>
      <c r="R92" s="1086"/>
      <c r="S92" s="1086"/>
      <c r="T92" s="1086"/>
      <c r="U92" s="1086"/>
      <c r="V92" s="1086"/>
      <c r="W92" s="1086"/>
      <c r="X92" s="1086"/>
      <c r="Y92" s="1086"/>
      <c r="Z92" s="1086"/>
      <c r="AA92" s="1086"/>
      <c r="AB92" s="1086"/>
      <c r="AC92" s="1086"/>
      <c r="AD92" s="1086"/>
    </row>
    <row r="93" spans="1:30">
      <c r="A93" s="1249"/>
      <c r="B93" s="1218">
        <f>B33</f>
        <v>111</v>
      </c>
      <c r="C93" s="1017"/>
      <c r="D93" s="1017"/>
      <c r="E93" s="1017"/>
      <c r="F93" s="1017"/>
      <c r="G93" s="1226"/>
      <c r="H93" s="1227"/>
      <c r="I93" s="1227"/>
      <c r="J93" s="1227"/>
      <c r="K93" s="1227"/>
      <c r="L93" s="1275"/>
      <c r="M93" s="1276"/>
      <c r="N93" s="1264"/>
      <c r="O93" s="1264"/>
      <c r="P93" s="1265"/>
      <c r="Q93" s="1188"/>
      <c r="R93" s="1086"/>
      <c r="S93" s="1086"/>
      <c r="T93" s="1086"/>
      <c r="U93" s="1086"/>
      <c r="V93" s="1086"/>
      <c r="W93" s="1086"/>
      <c r="X93" s="1086"/>
      <c r="Y93" s="1086"/>
      <c r="Z93" s="1086"/>
      <c r="AA93" s="1086"/>
      <c r="AB93" s="1086"/>
      <c r="AC93" s="1086"/>
      <c r="AD93" s="1086"/>
    </row>
    <row r="94" spans="1:30" ht="15">
      <c r="A94" s="1215"/>
      <c r="B94" s="1220"/>
      <c r="C94" s="1228"/>
      <c r="D94" s="1217"/>
      <c r="E94" s="1217"/>
      <c r="F94" s="1217"/>
      <c r="G94" s="1228"/>
      <c r="H94" s="1229"/>
      <c r="I94" s="1229"/>
      <c r="J94" s="1229"/>
      <c r="K94" s="1229"/>
      <c r="L94" s="1229"/>
      <c r="M94" s="1279"/>
      <c r="N94" s="1267"/>
      <c r="O94" s="1267"/>
      <c r="P94" s="1265"/>
      <c r="Q94" s="1188"/>
      <c r="R94" s="1086"/>
      <c r="S94" s="1086"/>
      <c r="T94" s="1086"/>
      <c r="U94" s="1086"/>
      <c r="V94" s="1086"/>
      <c r="W94" s="1086"/>
      <c r="X94" s="1086"/>
      <c r="Y94" s="1086"/>
      <c r="Z94" s="1086"/>
      <c r="AA94" s="1086"/>
      <c r="AB94" s="1086"/>
      <c r="AC94" s="1086"/>
      <c r="AD94" s="1086"/>
    </row>
    <row r="95" spans="1:30">
      <c r="A95" s="1249"/>
      <c r="B95" s="1429">
        <f>B34</f>
        <v>111</v>
      </c>
      <c r="C95" s="1017"/>
      <c r="D95" s="1017"/>
      <c r="E95" s="1017"/>
      <c r="F95" s="1017"/>
      <c r="G95" s="1226"/>
      <c r="H95" s="1227"/>
      <c r="I95" s="1227"/>
      <c r="J95" s="1227"/>
      <c r="K95" s="1227"/>
      <c r="L95" s="1275"/>
      <c r="M95" s="1276"/>
      <c r="N95" s="1267"/>
      <c r="O95" s="1267"/>
      <c r="P95" s="1437"/>
      <c r="Q95" s="1440"/>
      <c r="R95" s="1086"/>
      <c r="S95" s="1086"/>
      <c r="T95" s="1086"/>
      <c r="U95" s="1086"/>
      <c r="V95" s="1086"/>
      <c r="W95" s="1086"/>
      <c r="X95" s="1086"/>
      <c r="Y95" s="1086"/>
      <c r="Z95" s="1086"/>
      <c r="AA95" s="1086"/>
      <c r="AB95" s="1086"/>
      <c r="AC95" s="1086"/>
      <c r="AD95" s="1086"/>
    </row>
    <row r="96" spans="1:30" ht="15">
      <c r="A96" s="1215"/>
      <c r="B96" s="1220"/>
      <c r="C96" s="1228"/>
      <c r="D96" s="1228"/>
      <c r="E96" s="1228"/>
      <c r="F96" s="1228"/>
      <c r="G96" s="1228"/>
      <c r="H96" s="1229"/>
      <c r="I96" s="1229"/>
      <c r="J96" s="1229"/>
      <c r="K96" s="1229"/>
      <c r="L96" s="1229"/>
      <c r="M96" s="1279"/>
      <c r="N96" s="1267"/>
      <c r="O96" s="1267"/>
      <c r="P96" s="1265"/>
      <c r="Q96" s="1188"/>
      <c r="R96" s="1086"/>
      <c r="S96" s="1086"/>
      <c r="T96" s="1086"/>
      <c r="U96" s="1086"/>
      <c r="V96" s="1086"/>
      <c r="W96" s="1086"/>
      <c r="X96" s="1086"/>
      <c r="Y96" s="1086"/>
      <c r="Z96" s="1086"/>
      <c r="AA96" s="1086"/>
      <c r="AB96" s="1086"/>
      <c r="AC96" s="1086"/>
      <c r="AD96" s="1086"/>
    </row>
    <row r="97" spans="1:30">
      <c r="N97" s="1086"/>
      <c r="O97" s="1086"/>
      <c r="P97" s="1086"/>
      <c r="Q97" s="1086"/>
      <c r="R97" s="1086"/>
      <c r="S97" s="1086"/>
      <c r="T97" s="1086"/>
      <c r="U97" s="1086"/>
      <c r="V97" s="1086"/>
      <c r="W97" s="1086"/>
      <c r="X97" s="1086"/>
      <c r="Y97" s="1086"/>
      <c r="Z97" s="1086"/>
      <c r="AA97" s="1086"/>
      <c r="AB97" s="1086"/>
      <c r="AC97" s="1086"/>
      <c r="AD97" s="1086"/>
    </row>
    <row r="98" spans="1:30">
      <c r="A98" s="1430"/>
      <c r="B98" s="1430"/>
      <c r="C98" s="1430"/>
      <c r="D98" s="1430"/>
      <c r="E98" s="1430"/>
      <c r="F98" s="1430"/>
      <c r="G98" s="1430"/>
      <c r="H98" s="1430"/>
      <c r="I98" s="1430"/>
      <c r="J98" s="1430"/>
      <c r="K98" s="1438"/>
      <c r="L98" s="1439"/>
      <c r="M98" s="1430"/>
      <c r="N98" s="1086"/>
      <c r="O98" s="1086"/>
      <c r="P98" s="1086"/>
      <c r="Q98" s="1086"/>
      <c r="R98" s="1086"/>
      <c r="S98" s="1086"/>
      <c r="T98" s="1086"/>
      <c r="U98" s="1086"/>
      <c r="V98" s="1086"/>
      <c r="W98" s="1086"/>
      <c r="X98" s="1086"/>
      <c r="Y98" s="1086"/>
      <c r="Z98" s="1086"/>
      <c r="AA98" s="1086"/>
      <c r="AB98" s="1086"/>
      <c r="AC98" s="1086"/>
      <c r="AD98" s="1086"/>
    </row>
    <row r="99" spans="1:30">
      <c r="A99" s="1430"/>
      <c r="B99" s="1430"/>
      <c r="C99" s="1430"/>
      <c r="D99" s="1430"/>
      <c r="E99" s="1430"/>
      <c r="F99" s="1430"/>
      <c r="G99" s="1430"/>
      <c r="H99" s="1430"/>
      <c r="I99" s="1430"/>
      <c r="J99" s="1430"/>
      <c r="K99" s="1438"/>
      <c r="L99" s="1439"/>
      <c r="M99" s="1430"/>
      <c r="N99" s="1086"/>
      <c r="O99" s="1086"/>
      <c r="P99" s="1086"/>
      <c r="Q99" s="1086"/>
      <c r="R99" s="1086"/>
      <c r="S99" s="1086"/>
      <c r="T99" s="1086"/>
      <c r="U99" s="1086"/>
      <c r="V99" s="1086"/>
      <c r="W99" s="1086"/>
      <c r="X99" s="1086"/>
      <c r="Y99" s="1086"/>
      <c r="Z99" s="1086"/>
      <c r="AA99" s="1086"/>
      <c r="AB99" s="1086"/>
      <c r="AC99" s="1086"/>
      <c r="AD99" s="1086"/>
    </row>
    <row r="100" spans="1:30">
      <c r="A100" s="1430"/>
      <c r="B100" s="1430"/>
      <c r="C100" s="1430"/>
      <c r="D100" s="1430"/>
      <c r="E100" s="1430"/>
      <c r="F100" s="1430"/>
      <c r="G100" s="1430"/>
      <c r="H100" s="1430"/>
      <c r="I100" s="1430"/>
      <c r="J100" s="1430"/>
      <c r="K100" s="1438"/>
      <c r="L100" s="1439"/>
      <c r="M100" s="1430"/>
      <c r="N100" s="1086"/>
      <c r="O100" s="1086"/>
      <c r="P100" s="1086"/>
      <c r="Q100" s="1086"/>
      <c r="R100" s="1086"/>
      <c r="S100" s="1086"/>
      <c r="T100" s="1086"/>
      <c r="U100" s="1086"/>
      <c r="V100" s="1086"/>
      <c r="W100" s="1086"/>
      <c r="X100" s="1086"/>
      <c r="Y100" s="1086"/>
      <c r="Z100" s="1086"/>
      <c r="AA100" s="1086"/>
      <c r="AB100" s="1086"/>
      <c r="AC100" s="1086"/>
      <c r="AD100" s="1086"/>
    </row>
    <row r="101" spans="1:30">
      <c r="A101" s="1430"/>
      <c r="B101" s="1430"/>
      <c r="C101" s="1430"/>
      <c r="D101" s="1430"/>
      <c r="E101" s="1430"/>
      <c r="F101" s="1430"/>
      <c r="G101" s="1430"/>
      <c r="H101" s="1430"/>
      <c r="I101" s="1430"/>
      <c r="J101" s="1430"/>
      <c r="K101" s="1438"/>
      <c r="L101" s="1439"/>
      <c r="M101" s="1430"/>
      <c r="N101" s="1086"/>
      <c r="O101" s="1086"/>
      <c r="P101" s="1086"/>
      <c r="Q101" s="1086"/>
      <c r="R101" s="1086"/>
      <c r="S101" s="1086"/>
      <c r="T101" s="1086"/>
      <c r="U101" s="1086"/>
      <c r="V101" s="1086"/>
      <c r="W101" s="1086"/>
      <c r="X101" s="1086"/>
      <c r="Y101" s="1086"/>
      <c r="Z101" s="1086"/>
      <c r="AA101" s="1086"/>
      <c r="AB101" s="1086"/>
      <c r="AC101" s="1086"/>
      <c r="AD101" s="1086"/>
    </row>
    <row r="102" spans="1:30">
      <c r="A102" s="1430"/>
      <c r="B102" s="1430"/>
      <c r="C102" s="1430"/>
      <c r="D102" s="1430"/>
      <c r="E102" s="1430"/>
      <c r="F102" s="1430"/>
      <c r="G102" s="1430"/>
      <c r="H102" s="1430"/>
      <c r="I102" s="1430"/>
      <c r="J102" s="1430"/>
      <c r="K102" s="1438"/>
      <c r="L102" s="1439"/>
      <c r="M102" s="1430"/>
      <c r="N102" s="1086"/>
      <c r="O102" s="1086"/>
      <c r="P102" s="1086"/>
      <c r="Q102" s="1086"/>
      <c r="R102" s="1086"/>
      <c r="S102" s="1086"/>
      <c r="T102" s="1086"/>
      <c r="U102" s="1086"/>
      <c r="V102" s="1086"/>
      <c r="W102" s="1086"/>
      <c r="X102" s="1086"/>
      <c r="Y102" s="1086"/>
      <c r="Z102" s="1086"/>
      <c r="AA102" s="1086"/>
      <c r="AB102" s="1086"/>
      <c r="AC102" s="1086"/>
      <c r="AD102" s="1086"/>
    </row>
    <row r="103" spans="1:30">
      <c r="A103" s="1430"/>
      <c r="B103" s="1430"/>
      <c r="C103" s="1430"/>
      <c r="D103" s="1430"/>
      <c r="E103" s="1430"/>
      <c r="F103" s="1430"/>
      <c r="G103" s="1430"/>
      <c r="H103" s="1430"/>
      <c r="I103" s="1430"/>
      <c r="J103" s="1430"/>
      <c r="K103" s="1438"/>
      <c r="L103" s="1439"/>
      <c r="M103" s="1430"/>
      <c r="N103" s="1430"/>
      <c r="O103" s="1430"/>
      <c r="P103" s="1086"/>
      <c r="Q103" s="1086"/>
      <c r="R103" s="1086"/>
      <c r="S103" s="1086"/>
      <c r="T103" s="1086"/>
      <c r="U103" s="1086"/>
      <c r="V103" s="1086"/>
      <c r="W103" s="1086"/>
      <c r="X103" s="1086"/>
      <c r="Y103" s="1086"/>
      <c r="Z103" s="1086"/>
      <c r="AA103" s="1086"/>
      <c r="AB103" s="1086"/>
      <c r="AC103" s="1086"/>
      <c r="AD103" s="1086"/>
    </row>
    <row r="104" spans="1:30">
      <c r="A104" s="1430"/>
      <c r="B104" s="1430"/>
      <c r="C104" s="1430"/>
      <c r="D104" s="1430"/>
      <c r="E104" s="1430"/>
      <c r="F104" s="1430"/>
      <c r="G104" s="1430"/>
      <c r="H104" s="1430"/>
      <c r="I104" s="1430"/>
      <c r="J104" s="1430"/>
      <c r="K104" s="1438"/>
      <c r="L104" s="1439"/>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8"/>
      <c r="L105" s="1439"/>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8"/>
      <c r="L106" s="1439"/>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8"/>
      <c r="L107" s="1439"/>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8"/>
      <c r="L108" s="1439"/>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8"/>
      <c r="L109" s="1439"/>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8"/>
      <c r="L110" s="1439"/>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8"/>
      <c r="L111" s="1439"/>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8"/>
      <c r="L112" s="1439"/>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8"/>
      <c r="L113" s="1439"/>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8"/>
      <c r="L114" s="1439"/>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8"/>
      <c r="L115" s="1439"/>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8"/>
      <c r="L116" s="1439"/>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8"/>
      <c r="L117" s="1439"/>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8"/>
      <c r="L118" s="1439"/>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8"/>
      <c r="L119" s="1439"/>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8"/>
      <c r="L120" s="1439"/>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8"/>
      <c r="L121" s="1439"/>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8"/>
      <c r="L122" s="1439"/>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8"/>
      <c r="L123" s="1439"/>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8"/>
      <c r="L124" s="1439"/>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8"/>
      <c r="L125" s="1439"/>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8"/>
      <c r="L126" s="1439"/>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8"/>
      <c r="L127" s="1439"/>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8"/>
      <c r="L128" s="1439"/>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8"/>
      <c r="L129" s="1439"/>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8"/>
      <c r="L130" s="1439"/>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8"/>
      <c r="L131" s="1439"/>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8"/>
      <c r="L132" s="1439"/>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8"/>
      <c r="L133" s="1439"/>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8"/>
      <c r="L134" s="1439"/>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8"/>
      <c r="L135" s="1439"/>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8"/>
      <c r="L136" s="1439"/>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8"/>
      <c r="L137" s="1439"/>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8"/>
      <c r="L138" s="1439"/>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8"/>
      <c r="L139" s="1439"/>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8"/>
      <c r="L140" s="1439"/>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8"/>
      <c r="L141" s="1439"/>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8"/>
      <c r="L142" s="1439"/>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8"/>
      <c r="L143" s="1439"/>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8"/>
      <c r="L144" s="1439"/>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8"/>
      <c r="L145" s="1439"/>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8"/>
      <c r="L146" s="1439"/>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8"/>
      <c r="L147" s="1439"/>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8"/>
      <c r="L148" s="1439"/>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8"/>
      <c r="L149" s="1439"/>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8"/>
      <c r="L150" s="1439"/>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8"/>
      <c r="L151" s="1439"/>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8"/>
      <c r="L152" s="1439"/>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8"/>
      <c r="L153" s="1439"/>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8"/>
      <c r="L154" s="1439"/>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8"/>
      <c r="L155" s="1439"/>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8"/>
      <c r="L156" s="1439"/>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8"/>
      <c r="L157" s="1439"/>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8"/>
      <c r="L158" s="1439"/>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8"/>
      <c r="L159" s="1439"/>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8"/>
      <c r="L160" s="1439"/>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8"/>
      <c r="L161" s="1439"/>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8"/>
      <c r="L162" s="1439"/>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8"/>
      <c r="L163" s="1439"/>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8"/>
      <c r="L164" s="1439"/>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8"/>
      <c r="L165" s="1439"/>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8"/>
      <c r="L166" s="1439"/>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8"/>
      <c r="L167" s="1439"/>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8"/>
      <c r="L168" s="1439"/>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8"/>
      <c r="L169" s="1439"/>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8"/>
      <c r="L170" s="1439"/>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8"/>
      <c r="L171" s="1439"/>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8"/>
      <c r="L172" s="1439"/>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8"/>
      <c r="L173" s="1439"/>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8"/>
      <c r="L174" s="1439"/>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8"/>
      <c r="L175" s="1439"/>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8"/>
      <c r="L176" s="1439"/>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8"/>
      <c r="L177" s="1439"/>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8"/>
      <c r="L178" s="1439"/>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8"/>
      <c r="L179" s="1439"/>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8"/>
      <c r="L180" s="1439"/>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8"/>
      <c r="L181" s="1439"/>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8"/>
      <c r="L182" s="1439"/>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8"/>
      <c r="L183" s="1439"/>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8"/>
      <c r="L184" s="1439"/>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8"/>
      <c r="L185" s="1439"/>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8"/>
      <c r="L186" s="1439"/>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8"/>
      <c r="L187" s="1439"/>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8"/>
      <c r="L188" s="1439"/>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8"/>
      <c r="L189" s="1439"/>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8"/>
      <c r="L190" s="1439"/>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8"/>
      <c r="L191" s="1439"/>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8"/>
      <c r="L192" s="1439"/>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8"/>
      <c r="L193" s="1439"/>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8"/>
      <c r="L194" s="1439"/>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8"/>
      <c r="L195" s="1439"/>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8"/>
      <c r="L196" s="1439"/>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8"/>
      <c r="L197" s="1439"/>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8"/>
      <c r="L198" s="1439"/>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8"/>
      <c r="L199" s="1439"/>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8"/>
      <c r="L200" s="1439"/>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8"/>
      <c r="L201" s="1439"/>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8"/>
      <c r="L202" s="1439"/>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8"/>
      <c r="L203" s="1439"/>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8"/>
      <c r="L204" s="1439"/>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8"/>
      <c r="L205" s="1439"/>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8"/>
      <c r="L206" s="1439"/>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8"/>
      <c r="L207" s="1439"/>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8"/>
      <c r="L208" s="1439"/>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8"/>
      <c r="L209" s="1439"/>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8"/>
      <c r="L210" s="1439"/>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8"/>
      <c r="L211" s="1439"/>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8"/>
      <c r="L212" s="1439"/>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8"/>
      <c r="L213" s="1439"/>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8"/>
      <c r="L214" s="1439"/>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8"/>
      <c r="L215" s="1439"/>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8"/>
      <c r="L216" s="1439"/>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8"/>
      <c r="L217" s="1439"/>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8"/>
      <c r="L218" s="1439"/>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8"/>
      <c r="L219" s="1439"/>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8"/>
      <c r="L220" s="1439"/>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8"/>
      <c r="L221" s="1439"/>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8"/>
      <c r="L222" s="1439"/>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8"/>
      <c r="L223" s="1439"/>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8"/>
      <c r="L224" s="1439"/>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8"/>
      <c r="L225" s="1439"/>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8"/>
      <c r="L226" s="1439"/>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8"/>
      <c r="L227" s="1439"/>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8"/>
      <c r="L228" s="1439"/>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8"/>
      <c r="L229" s="1439"/>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8"/>
      <c r="L230" s="1439"/>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8"/>
      <c r="L231" s="1439"/>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8"/>
      <c r="L232" s="1439"/>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8"/>
      <c r="L233" s="1439"/>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8"/>
      <c r="L234" s="1439"/>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8"/>
      <c r="L235" s="1439"/>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8"/>
      <c r="L236" s="1439"/>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8"/>
      <c r="L237" s="1439"/>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8"/>
      <c r="L238" s="1439"/>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8"/>
      <c r="L239" s="1439"/>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8"/>
      <c r="L240" s="1439"/>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8"/>
      <c r="L241" s="1439"/>
      <c r="M241" s="1430"/>
      <c r="N241" s="1430"/>
      <c r="O241" s="1430"/>
      <c r="P241" s="1430"/>
      <c r="Q241" s="1430"/>
      <c r="R241" s="1430"/>
      <c r="S241" s="1430"/>
      <c r="T241" s="14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77" priority="4">
      <formula>$D$36="简单平均"</formula>
    </cfRule>
  </conditionalFormatting>
  <conditionalFormatting sqref="H36">
    <cfRule type="expression" dxfId="76" priority="3">
      <formula>$D$36="简单平均"</formula>
    </cfRule>
  </conditionalFormatting>
  <conditionalFormatting sqref="J36">
    <cfRule type="expression" dxfId="75" priority="2">
      <formula>$D$36="简单平均"</formula>
    </cfRule>
  </conditionalFormatting>
  <conditionalFormatting sqref="E40">
    <cfRule type="expression" dxfId="74" priority="13" stopIfTrue="1">
      <formula>$F$40="超过30%"</formula>
    </cfRule>
  </conditionalFormatting>
  <conditionalFormatting sqref="G40">
    <cfRule type="expression" dxfId="73" priority="9" stopIfTrue="1">
      <formula>$H$52+$H$40="超过30%"</formula>
    </cfRule>
  </conditionalFormatting>
  <conditionalFormatting sqref="I40">
    <cfRule type="expression" dxfId="72" priority="7" stopIfTrue="1">
      <formula>$J$40="超过30%"</formula>
    </cfRule>
  </conditionalFormatting>
  <conditionalFormatting sqref="E41">
    <cfRule type="expression" dxfId="71" priority="11" stopIfTrue="1">
      <formula>$F$41="超过20%"</formula>
    </cfRule>
  </conditionalFormatting>
  <conditionalFormatting sqref="G41">
    <cfRule type="expression" dxfId="70" priority="8" stopIfTrue="1">
      <formula>$H$53+$H$41="超过20%"</formula>
    </cfRule>
  </conditionalFormatting>
  <conditionalFormatting sqref="I41">
    <cfRule type="expression" dxfId="69" priority="6" stopIfTrue="1">
      <formula>$J$41="超过20%"</formula>
    </cfRule>
  </conditionalFormatting>
  <conditionalFormatting sqref="E42">
    <cfRule type="expression" dxfId="68" priority="10" stopIfTrue="1">
      <formula>$F$42="超过30%"</formula>
    </cfRule>
  </conditionalFormatting>
  <conditionalFormatting sqref="F42">
    <cfRule type="containsText" dxfId="67" priority="15" stopIfTrue="1" operator="containsText" text="超过">
      <formula>NOT(ISERROR(SEARCH("超过",F42)))</formula>
    </cfRule>
  </conditionalFormatting>
  <conditionalFormatting sqref="G42">
    <cfRule type="expression" dxfId="66" priority="12" stopIfTrue="1">
      <formula>$H$54+$H$42="超过30%"</formula>
    </cfRule>
  </conditionalFormatting>
  <conditionalFormatting sqref="H42">
    <cfRule type="containsText" dxfId="65" priority="16" stopIfTrue="1" operator="containsText" text="超过">
      <formula>NOT(ISERROR(SEARCH("超过",H42)))</formula>
    </cfRule>
  </conditionalFormatting>
  <conditionalFormatting sqref="I42">
    <cfRule type="expression" dxfId="64" priority="5" stopIfTrue="1">
      <formula>$J$42="超过30%"</formula>
    </cfRule>
  </conditionalFormatting>
  <conditionalFormatting sqref="J42">
    <cfRule type="containsText" dxfId="63" priority="17" stopIfTrue="1" operator="containsText" text="超过">
      <formula>NOT(ISERROR(SEARCH("超过",J42)))</formula>
    </cfRule>
  </conditionalFormatting>
  <conditionalFormatting sqref="F7:F34 H7:H34 J7:J34">
    <cfRule type="cellIs" dxfId="62" priority="1" operator="notEqual">
      <formula>100</formula>
    </cfRule>
  </conditionalFormatting>
  <conditionalFormatting sqref="F40 H40 J40">
    <cfRule type="containsText" dxfId="61" priority="18" stopIfTrue="1" operator="containsText" text="超过">
      <formula>NOT(ISERROR(SEARCH("超过",F40)))</formula>
    </cfRule>
  </conditionalFormatting>
  <conditionalFormatting sqref="F41 H41 J41">
    <cfRule type="containsText" dxfId="6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B6" zoomScale="80" zoomScaleNormal="60" zoomScaleSheetLayoutView="80" workbookViewId="0">
      <selection activeCell="E12" sqref="E12"/>
    </sheetView>
  </sheetViews>
  <sheetFormatPr defaultColWidth="9" defaultRowHeight="14.25"/>
  <cols>
    <col min="1" max="1" width="14.375" style="976" customWidth="1"/>
    <col min="2" max="2" width="15.75" style="976" customWidth="1"/>
    <col min="3" max="3" width="14.375" style="976" customWidth="1"/>
    <col min="4" max="4" width="14.1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30" s="969" customFormat="1" ht="18.75" customHeight="1">
      <c r="A1" s="979" t="s">
        <v>1511</v>
      </c>
      <c r="B1" s="980"/>
      <c r="C1" s="981" t="s">
        <v>1512</v>
      </c>
      <c r="D1" s="982"/>
      <c r="E1" s="982"/>
      <c r="F1" s="983" t="s">
        <v>1023</v>
      </c>
      <c r="G1" s="982"/>
      <c r="H1" s="982"/>
      <c r="I1" s="982"/>
      <c r="J1" s="982"/>
      <c r="K1" s="1126"/>
      <c r="L1" s="1127"/>
      <c r="M1" s="1128"/>
      <c r="N1" s="1128"/>
      <c r="O1" s="1128"/>
      <c r="P1" s="1129"/>
      <c r="Q1" s="1129"/>
      <c r="R1" s="1129"/>
      <c r="S1" s="1129"/>
      <c r="T1" s="1129"/>
      <c r="U1" s="1129"/>
      <c r="V1" s="1129"/>
      <c r="W1" s="1129"/>
      <c r="X1" s="1129"/>
      <c r="Y1" s="1129"/>
      <c r="Z1" s="1129"/>
      <c r="AA1" s="1129"/>
      <c r="AB1" s="1129"/>
      <c r="AC1" s="1189"/>
      <c r="AD1" s="1349"/>
    </row>
    <row r="2" spans="1:30" s="969" customFormat="1" ht="21.75" customHeight="1">
      <c r="A2" s="238" t="s">
        <v>923</v>
      </c>
      <c r="B2" s="984">
        <f>F66</f>
        <v>1</v>
      </c>
      <c r="C2" s="1312"/>
      <c r="D2" s="1312"/>
      <c r="E2" s="985"/>
      <c r="F2" s="986"/>
      <c r="G2" s="985"/>
      <c r="H2" s="985"/>
      <c r="I2" s="985"/>
      <c r="J2" s="985"/>
      <c r="K2" s="1130"/>
      <c r="L2" s="1131"/>
      <c r="M2" s="1132"/>
      <c r="N2" s="1132"/>
      <c r="O2" s="1132"/>
      <c r="P2" s="1129"/>
      <c r="Q2" s="1129"/>
      <c r="R2" s="1129"/>
      <c r="S2" s="1129"/>
      <c r="T2" s="1129"/>
      <c r="U2" s="1129"/>
      <c r="V2" s="1129"/>
      <c r="W2" s="1129"/>
      <c r="X2" s="1129"/>
      <c r="Y2" s="1129"/>
      <c r="Z2" s="1129"/>
      <c r="AA2" s="1129"/>
      <c r="AB2" s="1129"/>
      <c r="AC2" s="1189"/>
      <c r="AD2" s="1349"/>
    </row>
    <row r="3" spans="1:30" s="969" customFormat="1" ht="21" customHeight="1">
      <c r="A3" s="241" t="s">
        <v>925</v>
      </c>
      <c r="B3" s="987">
        <f>ROUND(IF(D3="",B2*10000/'数据-汇总表'!E3,B2*10000/D3),0)</f>
        <v>10000</v>
      </c>
      <c r="C3" s="241" t="s">
        <v>1024</v>
      </c>
      <c r="D3" s="988"/>
      <c r="E3" s="985"/>
      <c r="F3" s="986"/>
      <c r="G3" s="985"/>
      <c r="H3" s="985"/>
      <c r="I3" s="985"/>
      <c r="J3" s="985"/>
      <c r="K3" s="1130"/>
      <c r="L3" s="1131"/>
      <c r="M3" s="1132"/>
      <c r="N3" s="1132"/>
      <c r="O3" s="1132"/>
      <c r="P3" s="1129"/>
      <c r="Q3" s="1129"/>
      <c r="R3" s="1129"/>
      <c r="S3" s="1129"/>
      <c r="T3" s="1129"/>
      <c r="U3" s="1129"/>
      <c r="V3" s="1129"/>
      <c r="W3" s="1129"/>
      <c r="X3" s="1129"/>
      <c r="Y3" s="1129"/>
      <c r="Z3" s="1129"/>
      <c r="AA3" s="1129"/>
      <c r="AB3" s="1190"/>
      <c r="AC3" s="1191"/>
    </row>
    <row r="4" spans="1:30" ht="15">
      <c r="A4" s="989" t="s">
        <v>1025</v>
      </c>
      <c r="B4" s="990"/>
      <c r="C4" s="3443" t="s">
        <v>1026</v>
      </c>
      <c r="D4" s="3444"/>
      <c r="E4" s="3445" t="s">
        <v>1027</v>
      </c>
      <c r="F4" s="3446"/>
      <c r="G4" s="3443" t="s">
        <v>1028</v>
      </c>
      <c r="H4" s="3444"/>
      <c r="I4" s="3443" t="s">
        <v>1029</v>
      </c>
      <c r="J4" s="3444"/>
      <c r="K4" s="1133" t="s">
        <v>1030</v>
      </c>
      <c r="L4" s="1134"/>
      <c r="M4" s="1135"/>
      <c r="N4" s="1135"/>
      <c r="O4" s="1135"/>
      <c r="P4" s="3477" t="s">
        <v>1031</v>
      </c>
      <c r="Q4" s="3478"/>
      <c r="R4" s="3483" t="s">
        <v>1027</v>
      </c>
      <c r="S4" s="3484"/>
      <c r="T4" s="3483" t="s">
        <v>1028</v>
      </c>
      <c r="U4" s="3484"/>
      <c r="V4" s="3459" t="s">
        <v>1029</v>
      </c>
      <c r="W4" s="3459"/>
      <c r="X4" s="1177"/>
      <c r="Y4" s="3483" t="s">
        <v>1031</v>
      </c>
      <c r="Z4" s="3484"/>
      <c r="AA4" s="3474" t="s">
        <v>1027</v>
      </c>
      <c r="AB4" s="3475" t="s">
        <v>1028</v>
      </c>
      <c r="AC4" s="3474" t="s">
        <v>1029</v>
      </c>
    </row>
    <row r="5" spans="1:30" ht="15">
      <c r="A5" s="991"/>
      <c r="B5" s="992"/>
      <c r="C5" s="3447" t="s">
        <v>1032</v>
      </c>
      <c r="D5" s="3448"/>
      <c r="E5" s="3449" t="str">
        <f>'案例-土地一级开发成本'!F2</f>
        <v>石景山区首钢设备处企业利用自有用地建设共有产权房项目</v>
      </c>
      <c r="F5" s="3450"/>
      <c r="G5" s="3447" t="str">
        <f>'案例-土地一级开发成本'!F4</f>
        <v>石景山区首钢铸造村一区共有产权房项目</v>
      </c>
      <c r="H5" s="3448"/>
      <c r="I5" s="3447" t="str">
        <f>'案例-土地一级开发成本'!F6</f>
        <v>石景山区五里坨建设组团土地一级开发项目03A、04C等地块</v>
      </c>
      <c r="J5" s="3448"/>
      <c r="K5" s="1133"/>
      <c r="L5" s="1134"/>
      <c r="M5" s="1135"/>
      <c r="N5" s="1135"/>
      <c r="O5" s="1135"/>
      <c r="P5" s="3479"/>
      <c r="Q5" s="3480"/>
      <c r="R5" s="3485"/>
      <c r="S5" s="3486"/>
      <c r="T5" s="3485"/>
      <c r="U5" s="3486"/>
      <c r="V5" s="3459"/>
      <c r="W5" s="3459"/>
      <c r="X5" s="1177"/>
      <c r="Y5" s="3485"/>
      <c r="Z5" s="3486"/>
      <c r="AA5" s="3475"/>
      <c r="AB5" s="3475"/>
      <c r="AC5" s="3475"/>
    </row>
    <row r="6" spans="1:30" ht="15">
      <c r="A6" s="993"/>
      <c r="B6" s="994"/>
      <c r="C6" s="3451" t="s">
        <v>1033</v>
      </c>
      <c r="D6" s="3452"/>
      <c r="E6" s="3453" t="s">
        <v>1033</v>
      </c>
      <c r="F6" s="3454"/>
      <c r="G6" s="3451" t="s">
        <v>1033</v>
      </c>
      <c r="H6" s="3452"/>
      <c r="I6" s="3451" t="s">
        <v>1033</v>
      </c>
      <c r="J6" s="3452"/>
      <c r="K6" s="1133" t="s">
        <v>1034</v>
      </c>
      <c r="L6" s="1134"/>
      <c r="M6" s="1135"/>
      <c r="N6" s="1135"/>
      <c r="O6" s="1135"/>
      <c r="P6" s="3481"/>
      <c r="Q6" s="3482"/>
      <c r="R6" s="3485"/>
      <c r="S6" s="3486"/>
      <c r="T6" s="3487"/>
      <c r="U6" s="3488"/>
      <c r="V6" s="3459"/>
      <c r="W6" s="3459"/>
      <c r="X6" s="1177"/>
      <c r="Y6" s="3487"/>
      <c r="Z6" s="3488"/>
      <c r="AA6" s="3476"/>
      <c r="AB6" s="3476"/>
      <c r="AC6" s="3476"/>
    </row>
    <row r="7" spans="1:30" s="970" customFormat="1" ht="15">
      <c r="A7" s="995" t="s">
        <v>1035</v>
      </c>
      <c r="B7" s="996"/>
      <c r="C7" s="997">
        <f>'数据-取费表'!B2</f>
        <v>44347</v>
      </c>
      <c r="D7" s="998">
        <v>100</v>
      </c>
      <c r="E7" s="999">
        <v>43739</v>
      </c>
      <c r="F7" s="1000">
        <f>SUMIF(70:70,YEAR(E7)&amp;"-"&amp;INT((MONTH(E7)+2)/3),71:71)</f>
        <v>98</v>
      </c>
      <c r="G7" s="1001">
        <v>43282</v>
      </c>
      <c r="H7" s="998">
        <f>SUMIF(70:70,YEAR(G7)&amp;"-"&amp;INT((MONTH(G7)+2)/3),71:71)</f>
        <v>97</v>
      </c>
      <c r="I7" s="1001">
        <v>43132</v>
      </c>
      <c r="J7" s="998">
        <f>SUMIF(70:70,YEAR(I7)&amp;"-"&amp;INT((MONTH(I7)+2)/3),71:71)</f>
        <v>97</v>
      </c>
      <c r="K7" s="1136"/>
      <c r="L7" s="1137"/>
      <c r="M7" s="1138"/>
      <c r="N7" s="1138"/>
      <c r="O7" s="1138"/>
      <c r="P7" s="3455" t="s">
        <v>1036</v>
      </c>
      <c r="Q7" s="3456"/>
      <c r="R7" s="1178" t="s">
        <v>1037</v>
      </c>
      <c r="S7" s="1179">
        <f t="shared" ref="S7:S15" si="0">F7</f>
        <v>98</v>
      </c>
      <c r="T7" s="1178" t="s">
        <v>1037</v>
      </c>
      <c r="U7" s="1179">
        <f t="shared" ref="U7:U15" si="1">H7</f>
        <v>97</v>
      </c>
      <c r="V7" s="1178" t="s">
        <v>1037</v>
      </c>
      <c r="W7" s="1179">
        <f t="shared" ref="W7:W15" si="2">J7</f>
        <v>97</v>
      </c>
      <c r="X7" s="1180"/>
      <c r="Y7" s="3455" t="s">
        <v>1036</v>
      </c>
      <c r="Z7" s="3457"/>
      <c r="AA7" s="1192">
        <f>D7/F7</f>
        <v>1.0204081632653099</v>
      </c>
      <c r="AB7" s="1192">
        <f>D7/H7</f>
        <v>1.0309278350515501</v>
      </c>
      <c r="AC7" s="1192">
        <f>D7/J7</f>
        <v>1.0309278350515501</v>
      </c>
    </row>
    <row r="8" spans="1:30" s="970" customFormat="1" ht="15">
      <c r="A8" s="995" t="s">
        <v>1038</v>
      </c>
      <c r="B8" s="996"/>
      <c r="C8" s="1002" t="s">
        <v>1039</v>
      </c>
      <c r="D8" s="998">
        <v>100</v>
      </c>
      <c r="E8" s="1002" t="s">
        <v>1040</v>
      </c>
      <c r="F8" s="1000">
        <f>SUMIF(73:73,E8,74:74)-SUMIF(73:73,C8,74:74)+100</f>
        <v>100</v>
      </c>
      <c r="G8" s="1002" t="s">
        <v>1040</v>
      </c>
      <c r="H8" s="998">
        <f>SUMIF(73:73,G8,74:74)-SUMIF(73:73,C8,74:74)+100</f>
        <v>100</v>
      </c>
      <c r="I8" s="1002" t="s">
        <v>1040</v>
      </c>
      <c r="J8" s="998">
        <f>SUMIF(73:73,I8,74:74)-SUMIF(73:73,C8,74:74)+100</f>
        <v>100</v>
      </c>
      <c r="K8" s="1136"/>
      <c r="L8" s="1137"/>
      <c r="M8" s="1138"/>
      <c r="N8" s="1138"/>
      <c r="O8" s="1138"/>
      <c r="P8" s="3455" t="s">
        <v>1041</v>
      </c>
      <c r="Q8" s="3457"/>
      <c r="R8" s="1178" t="s">
        <v>1037</v>
      </c>
      <c r="S8" s="1179">
        <f t="shared" si="0"/>
        <v>100</v>
      </c>
      <c r="T8" s="1178" t="s">
        <v>1037</v>
      </c>
      <c r="U8" s="1179">
        <f t="shared" si="1"/>
        <v>100</v>
      </c>
      <c r="V8" s="1178" t="s">
        <v>1037</v>
      </c>
      <c r="W8" s="1179">
        <f t="shared" si="2"/>
        <v>100</v>
      </c>
      <c r="X8" s="1180"/>
      <c r="Y8" s="3455" t="s">
        <v>1041</v>
      </c>
      <c r="Z8" s="3457"/>
      <c r="AA8" s="1192">
        <f t="shared" ref="AA8:AA45" si="3">D8/F8</f>
        <v>1</v>
      </c>
      <c r="AB8" s="1192">
        <f t="shared" ref="AB8:AB45" si="4">D8/H8</f>
        <v>1</v>
      </c>
      <c r="AC8" s="1192">
        <f t="shared" ref="AC8:AC45" si="5">D8/J8</f>
        <v>1</v>
      </c>
    </row>
    <row r="9" spans="1:30" s="970" customFormat="1" ht="27">
      <c r="A9" s="1003" t="s">
        <v>1042</v>
      </c>
      <c r="B9" s="1004" t="s">
        <v>1043</v>
      </c>
      <c r="C9" s="1005" t="s">
        <v>1513</v>
      </c>
      <c r="D9" s="1006">
        <v>100</v>
      </c>
      <c r="E9" s="1005" t="s">
        <v>1513</v>
      </c>
      <c r="F9" s="1006">
        <f>SUMIF(75:75,E9,76:76)-SUMIF(75:75,C9,76:76)+100</f>
        <v>100</v>
      </c>
      <c r="G9" s="1005" t="s">
        <v>1513</v>
      </c>
      <c r="H9" s="1006">
        <f>SUMIF(75:75,G9,76:76)-SUMIF(75:75,C9,76:76)+100</f>
        <v>100</v>
      </c>
      <c r="I9" s="1005" t="s">
        <v>1513</v>
      </c>
      <c r="J9" s="1006">
        <f>SUMIF(75:75,I9,76:76)-SUMIF(75:75,C9,76:76)+100</f>
        <v>100</v>
      </c>
      <c r="K9" s="1136"/>
      <c r="L9" s="1337" t="s">
        <v>1514</v>
      </c>
      <c r="M9" s="1138"/>
      <c r="N9" s="1138"/>
      <c r="O9" s="1139"/>
      <c r="P9" s="3458" t="s">
        <v>1045</v>
      </c>
      <c r="Q9" s="1182" t="str">
        <f t="shared" ref="Q9:Q15" si="6">B9</f>
        <v>用途</v>
      </c>
      <c r="R9" s="1178" t="s">
        <v>1037</v>
      </c>
      <c r="S9" s="1179">
        <f t="shared" si="0"/>
        <v>100</v>
      </c>
      <c r="T9" s="1178" t="s">
        <v>1037</v>
      </c>
      <c r="U9" s="1179">
        <f t="shared" si="1"/>
        <v>100</v>
      </c>
      <c r="V9" s="1178" t="s">
        <v>1037</v>
      </c>
      <c r="W9" s="1179">
        <f t="shared" si="2"/>
        <v>100</v>
      </c>
      <c r="X9" s="1180"/>
      <c r="Y9" s="3411" t="s">
        <v>1046</v>
      </c>
      <c r="Z9" s="1193" t="str">
        <f t="shared" ref="Z9:Z15" si="7">Q9</f>
        <v>用途</v>
      </c>
      <c r="AA9" s="1192">
        <f t="shared" si="3"/>
        <v>1</v>
      </c>
      <c r="AB9" s="1192">
        <f t="shared" si="4"/>
        <v>1</v>
      </c>
      <c r="AC9" s="1192">
        <f t="shared" si="5"/>
        <v>1</v>
      </c>
    </row>
    <row r="10" spans="1:30" s="971" customFormat="1" ht="27" hidden="1">
      <c r="A10" s="1007"/>
      <c r="B10" s="1008" t="s">
        <v>1047</v>
      </c>
      <c r="C10" s="1009"/>
      <c r="D10" s="1010">
        <v>100</v>
      </c>
      <c r="E10" s="1313"/>
      <c r="F10" s="1010">
        <f>ROUND(100/'数据-取费表'!G16,0)</f>
        <v>100</v>
      </c>
      <c r="G10" s="1314"/>
      <c r="H10" s="1010">
        <f>ROUND(100/'数据-取费表'!G16,0)</f>
        <v>100</v>
      </c>
      <c r="I10" s="1314"/>
      <c r="J10" s="1010">
        <f>ROUND(100/'数据-取费表'!G16,0)</f>
        <v>100</v>
      </c>
      <c r="K10" s="1140"/>
      <c r="L10" s="1141"/>
      <c r="M10" s="1142"/>
      <c r="N10" s="1142"/>
      <c r="O10" s="1143"/>
      <c r="P10" s="3458"/>
      <c r="Q10" s="1182" t="str">
        <f t="shared" si="6"/>
        <v>土地使用年限（年）</v>
      </c>
      <c r="R10" s="1178" t="s">
        <v>1037</v>
      </c>
      <c r="S10" s="1179">
        <f t="shared" si="0"/>
        <v>100</v>
      </c>
      <c r="T10" s="1178" t="s">
        <v>1037</v>
      </c>
      <c r="U10" s="1179">
        <f t="shared" si="1"/>
        <v>100</v>
      </c>
      <c r="V10" s="1178" t="s">
        <v>1037</v>
      </c>
      <c r="W10" s="1179">
        <f t="shared" si="2"/>
        <v>100</v>
      </c>
      <c r="X10" s="1180"/>
      <c r="Y10" s="3411"/>
      <c r="Z10" s="1193" t="str">
        <f t="shared" si="7"/>
        <v>土地使用年限（年）</v>
      </c>
      <c r="AA10" s="1192">
        <f t="shared" si="3"/>
        <v>1</v>
      </c>
      <c r="AB10" s="1192">
        <f t="shared" si="4"/>
        <v>1</v>
      </c>
      <c r="AC10" s="1192">
        <f t="shared" si="5"/>
        <v>1</v>
      </c>
    </row>
    <row r="11" spans="1:30" ht="15">
      <c r="A11" s="1011"/>
      <c r="B11" s="1008" t="s">
        <v>1049</v>
      </c>
      <c r="C11" s="1012">
        <f>'比较法-共产出让'!C11</f>
        <v>2.56</v>
      </c>
      <c r="D11" s="1010">
        <v>100</v>
      </c>
      <c r="E11" s="1012">
        <f>ROUND('案例-土地一级开发成本'!M2/'案例-土地一级开发成本'!L2,1)</f>
        <v>2.8</v>
      </c>
      <c r="F11" s="1010">
        <f>LOOKUP(E11,80:80,81:81)-LOOKUP(C11,80:80,81:81)+100</f>
        <v>100</v>
      </c>
      <c r="G11" s="1013">
        <f>ROUND('案例-土地一级开发成本'!M4/'案例-土地一级开发成本'!L4,1)</f>
        <v>1.8</v>
      </c>
      <c r="H11" s="1010">
        <f>LOOKUP(G11,80:80,81:81)-LOOKUP(C11,80:80,81:81)+100</f>
        <v>101</v>
      </c>
      <c r="I11" s="1012">
        <f>ROUND('案例-土地一级开发成本'!M6/'案例-土地一级开发成本'!L6,1)</f>
        <v>1.4</v>
      </c>
      <c r="J11" s="1010">
        <f>LOOKUP(I11,80:80,81:81)-LOOKUP(C11,80:80,81:81)+100</f>
        <v>101.5</v>
      </c>
      <c r="K11" s="1144">
        <v>0.5</v>
      </c>
      <c r="L11" s="1145"/>
      <c r="M11" s="1135"/>
      <c r="N11" s="1135"/>
      <c r="O11" s="1146"/>
      <c r="P11" s="3458"/>
      <c r="Q11" s="1182" t="str">
        <f t="shared" si="6"/>
        <v>容积率</v>
      </c>
      <c r="R11" s="1178" t="s">
        <v>1037</v>
      </c>
      <c r="S11" s="1179">
        <f t="shared" si="0"/>
        <v>100</v>
      </c>
      <c r="T11" s="1178" t="s">
        <v>1037</v>
      </c>
      <c r="U11" s="1179">
        <f t="shared" si="1"/>
        <v>101</v>
      </c>
      <c r="V11" s="1178" t="s">
        <v>1037</v>
      </c>
      <c r="W11" s="1179">
        <f t="shared" si="2"/>
        <v>101.5</v>
      </c>
      <c r="X11" s="1180"/>
      <c r="Y11" s="3411"/>
      <c r="Z11" s="1193" t="str">
        <f t="shared" si="7"/>
        <v>容积率</v>
      </c>
      <c r="AA11" s="1192">
        <f t="shared" si="3"/>
        <v>1</v>
      </c>
      <c r="AB11" s="1192">
        <f t="shared" si="4"/>
        <v>0.99009900990099009</v>
      </c>
      <c r="AC11" s="1192">
        <f t="shared" si="5"/>
        <v>0.98522167487684731</v>
      </c>
    </row>
    <row r="12" spans="1:30" s="970" customFormat="1" ht="39.75" customHeight="1">
      <c r="A12" s="1014"/>
      <c r="B12" s="1315" t="str">
        <f>'案例-土地一级开发成本'!H1</f>
        <v>项目类型</v>
      </c>
      <c r="C12" s="1316" t="str">
        <f>'案例-土地一级开发成本'!H2</f>
        <v>企业利用自有用地建设共有产权房</v>
      </c>
      <c r="D12" s="1016">
        <v>100</v>
      </c>
      <c r="E12" s="1316" t="str">
        <f>'案例-土地一级开发成本'!H2</f>
        <v>企业利用自有用地建设共有产权房</v>
      </c>
      <c r="F12" s="1010">
        <f>SUMIF(82:82,E12,83:83)-SUMIF(82:82,C12,83:83)+100</f>
        <v>100</v>
      </c>
      <c r="G12" s="1316" t="str">
        <f>'案例-土地一级开发成本'!H4</f>
        <v>企业利用自有用地建设共有产权房</v>
      </c>
      <c r="H12" s="1010">
        <f>SUMIF(82:82,G12,83:83)-SUMIF(82:82,C12,83:83)+100</f>
        <v>100</v>
      </c>
      <c r="I12" s="1316" t="str">
        <f>'案例-土地一级开发成本'!H6</f>
        <v>一级开发</v>
      </c>
      <c r="J12" s="1010">
        <f>SUMIF(82:82,I12,83:83)-SUMIF(82:82,C12,83:83)+100</f>
        <v>101</v>
      </c>
      <c r="K12" s="1140"/>
      <c r="L12" s="1137"/>
      <c r="M12" s="1138"/>
      <c r="N12" s="1138"/>
      <c r="O12" s="1139"/>
      <c r="P12" s="3458"/>
      <c r="Q12" s="1182" t="str">
        <f t="shared" si="6"/>
        <v>项目类型</v>
      </c>
      <c r="R12" s="1178" t="s">
        <v>1037</v>
      </c>
      <c r="S12" s="1179">
        <f t="shared" si="0"/>
        <v>100</v>
      </c>
      <c r="T12" s="1178" t="s">
        <v>1037</v>
      </c>
      <c r="U12" s="1179">
        <f t="shared" si="1"/>
        <v>100</v>
      </c>
      <c r="V12" s="1178" t="s">
        <v>1037</v>
      </c>
      <c r="W12" s="1179">
        <f t="shared" si="2"/>
        <v>101</v>
      </c>
      <c r="X12" s="1180"/>
      <c r="Y12" s="3411"/>
      <c r="Z12" s="1193" t="str">
        <f t="shared" si="7"/>
        <v>项目类型</v>
      </c>
      <c r="AA12" s="1192">
        <f t="shared" si="3"/>
        <v>1</v>
      </c>
      <c r="AB12" s="1192">
        <f t="shared" si="4"/>
        <v>1</v>
      </c>
      <c r="AC12" s="1192">
        <f t="shared" si="5"/>
        <v>0.99009900990099009</v>
      </c>
    </row>
    <row r="13" spans="1:30" ht="15" hidden="1">
      <c r="A13" s="1011"/>
      <c r="B13" s="1015">
        <v>111</v>
      </c>
      <c r="C13" s="1019"/>
      <c r="D13" s="1020">
        <v>100</v>
      </c>
      <c r="E13" s="1017"/>
      <c r="F13" s="1010">
        <f>SUMIF(84:84,E13,85:85)-SUMIF(84:84,C13,85:85)+100</f>
        <v>100</v>
      </c>
      <c r="G13" s="1018"/>
      <c r="H13" s="1020">
        <f>SUMIF(84:84,G13,85:85)-SUMIF(84:84,C13,85:85)+100</f>
        <v>100</v>
      </c>
      <c r="I13" s="1018"/>
      <c r="J13" s="1020">
        <f>SUMIF(84:84,I13,85:85)-SUMIF(84:84,C13,85:85)+100</f>
        <v>100</v>
      </c>
      <c r="K13" s="1140"/>
      <c r="L13" s="1147"/>
      <c r="M13" s="1135"/>
      <c r="N13" s="1135"/>
      <c r="O13" s="1146"/>
      <c r="P13" s="3458"/>
      <c r="Q13" s="1182">
        <f t="shared" si="6"/>
        <v>111</v>
      </c>
      <c r="R13" s="1178" t="s">
        <v>1037</v>
      </c>
      <c r="S13" s="1179">
        <f t="shared" si="0"/>
        <v>100</v>
      </c>
      <c r="T13" s="1178" t="s">
        <v>1037</v>
      </c>
      <c r="U13" s="1179">
        <f t="shared" si="1"/>
        <v>100</v>
      </c>
      <c r="V13" s="1178" t="s">
        <v>1037</v>
      </c>
      <c r="W13" s="1179">
        <f t="shared" si="2"/>
        <v>100</v>
      </c>
      <c r="X13" s="1180"/>
      <c r="Y13" s="3411"/>
      <c r="Z13" s="1193">
        <f t="shared" si="7"/>
        <v>111</v>
      </c>
      <c r="AA13" s="1192">
        <f t="shared" si="3"/>
        <v>1</v>
      </c>
      <c r="AB13" s="1192">
        <f t="shared" si="4"/>
        <v>1</v>
      </c>
      <c r="AC13" s="1192">
        <f t="shared" si="5"/>
        <v>1</v>
      </c>
    </row>
    <row r="14" spans="1:30" ht="15" hidden="1">
      <c r="A14" s="1021"/>
      <c r="B14" s="1022">
        <v>111</v>
      </c>
      <c r="C14" s="1023"/>
      <c r="D14" s="1024">
        <v>100</v>
      </c>
      <c r="E14" s="1017"/>
      <c r="F14" s="1024">
        <f>SUMIF(86:86,E14,87:87)-SUMIF(86:86,C14,87:87)+100</f>
        <v>100</v>
      </c>
      <c r="G14" s="1018"/>
      <c r="H14" s="1024">
        <f>SUMIF(86:86,G14,87:87)-SUMIF(86:86,C14,87:87)+100</f>
        <v>100</v>
      </c>
      <c r="I14" s="1018"/>
      <c r="J14" s="1024">
        <f>SUMIF(86:86,I14,87:87)-SUMIF(86:86,C14,87:87)+100</f>
        <v>100</v>
      </c>
      <c r="K14" s="1140"/>
      <c r="L14" s="1147"/>
      <c r="M14" s="1135"/>
      <c r="N14" s="1135"/>
      <c r="O14" s="1146"/>
      <c r="P14" s="3458"/>
      <c r="Q14" s="1182">
        <f t="shared" si="6"/>
        <v>111</v>
      </c>
      <c r="R14" s="1178" t="s">
        <v>1037</v>
      </c>
      <c r="S14" s="1179">
        <f t="shared" si="0"/>
        <v>100</v>
      </c>
      <c r="T14" s="1178" t="s">
        <v>1037</v>
      </c>
      <c r="U14" s="1179">
        <f t="shared" si="1"/>
        <v>100</v>
      </c>
      <c r="V14" s="1178" t="s">
        <v>1037</v>
      </c>
      <c r="W14" s="1179">
        <f t="shared" si="2"/>
        <v>100</v>
      </c>
      <c r="X14" s="1180"/>
      <c r="Y14" s="3411"/>
      <c r="Z14" s="1193">
        <f t="shared" si="7"/>
        <v>111</v>
      </c>
      <c r="AA14" s="1192">
        <f t="shared" si="3"/>
        <v>1</v>
      </c>
      <c r="AB14" s="1192">
        <f t="shared" si="4"/>
        <v>1</v>
      </c>
      <c r="AC14" s="1192">
        <f t="shared" si="5"/>
        <v>1</v>
      </c>
    </row>
    <row r="15" spans="1:30" ht="18" customHeight="1">
      <c r="A15" s="1025" t="s">
        <v>1051</v>
      </c>
      <c r="B15" s="1317" t="s">
        <v>1052</v>
      </c>
      <c r="C15" s="1318" t="str">
        <f>估价对象房地状况!C15</f>
        <v>估价对象周边有欧亚花园、昌平区双拥大院、力天嘉苑等住宅小区、居住小区规模较大，入住率较高，综合评价居住社区成熟度较好。</v>
      </c>
      <c r="D15" s="1028">
        <v>100</v>
      </c>
      <c r="E15" s="1319"/>
      <c r="F15" s="1028">
        <f>SUMIF(88:88,E16,89:89)-SUMIF(88:88,C16,89:89)+100</f>
        <v>100</v>
      </c>
      <c r="G15" s="1319"/>
      <c r="H15" s="1028">
        <f>SUMIF(88:88,G16,89:89)-SUMIF(88:88,C16,89:89)+100</f>
        <v>100</v>
      </c>
      <c r="I15" s="1338"/>
      <c r="J15" s="1028">
        <f>SUMIF(88:88,I16,89:89)-SUMIF(88:88,C16,89:89)+100</f>
        <v>97</v>
      </c>
      <c r="K15" s="1144">
        <v>3</v>
      </c>
      <c r="L15" s="1147"/>
      <c r="M15" s="1135"/>
      <c r="N15" s="1135"/>
      <c r="O15" s="1146"/>
      <c r="P15" s="3466" t="s">
        <v>1053</v>
      </c>
      <c r="Q15" s="746" t="str">
        <f t="shared" si="6"/>
        <v>居住社区成熟度</v>
      </c>
      <c r="R15" s="1183" t="s">
        <v>1037</v>
      </c>
      <c r="S15" s="1184">
        <f t="shared" si="0"/>
        <v>100</v>
      </c>
      <c r="T15" s="1183" t="s">
        <v>1037</v>
      </c>
      <c r="U15" s="1184">
        <f t="shared" si="1"/>
        <v>100</v>
      </c>
      <c r="V15" s="1183" t="s">
        <v>1037</v>
      </c>
      <c r="W15" s="1184">
        <f t="shared" si="2"/>
        <v>97</v>
      </c>
      <c r="X15" s="1177"/>
      <c r="Y15" s="3466" t="s">
        <v>1053</v>
      </c>
      <c r="Z15" s="1167" t="str">
        <f t="shared" si="7"/>
        <v>居住社区成熟度</v>
      </c>
      <c r="AA15" s="1194">
        <f t="shared" si="3"/>
        <v>1</v>
      </c>
      <c r="AB15" s="1194">
        <f t="shared" si="4"/>
        <v>1</v>
      </c>
      <c r="AC15" s="1194">
        <f t="shared" si="5"/>
        <v>1.0309278350515501</v>
      </c>
    </row>
    <row r="16" spans="1:30" ht="15">
      <c r="A16" s="1011"/>
      <c r="B16" s="1320"/>
      <c r="C16" s="1031" t="s">
        <v>1054</v>
      </c>
      <c r="D16" s="1032"/>
      <c r="E16" s="1040" t="s">
        <v>1054</v>
      </c>
      <c r="F16" s="1032"/>
      <c r="G16" s="1040" t="s">
        <v>1054</v>
      </c>
      <c r="H16" s="1034"/>
      <c r="I16" s="1040" t="s">
        <v>1055</v>
      </c>
      <c r="J16" s="1032"/>
      <c r="K16" s="1140"/>
      <c r="L16" s="1147"/>
      <c r="M16" s="1135"/>
      <c r="N16" s="1135"/>
      <c r="O16" s="1146"/>
      <c r="P16" s="3467"/>
      <c r="Q16" s="746"/>
      <c r="R16" s="1183"/>
      <c r="S16" s="1184"/>
      <c r="T16" s="1183"/>
      <c r="U16" s="1184"/>
      <c r="V16" s="1183"/>
      <c r="W16" s="1184"/>
      <c r="X16" s="1177"/>
      <c r="Y16" s="3467"/>
      <c r="Z16" s="1167"/>
      <c r="AA16" s="1194">
        <v>1</v>
      </c>
      <c r="AB16" s="1194">
        <v>1</v>
      </c>
      <c r="AC16" s="1194">
        <v>1</v>
      </c>
    </row>
    <row r="17" spans="1:29" ht="42.75" hidden="1">
      <c r="A17" s="1011"/>
      <c r="B17" s="1321" t="s">
        <v>1472</v>
      </c>
      <c r="C17" s="744" t="str">
        <f>估价对象房地状况!C16</f>
        <v>周边商业氛围成熟，人流量大，商业繁华度较好</v>
      </c>
      <c r="D17" s="1034">
        <v>100</v>
      </c>
      <c r="E17" s="1037"/>
      <c r="F17" s="1034">
        <f>SUMIF(90:90,E18,91:91)-SUMIF(90:90,C18,91:91)+100</f>
        <v>100</v>
      </c>
      <c r="G17" s="1037"/>
      <c r="H17" s="1038">
        <f>SUMIF(90:90,G18,91:91)-SUMIF(90:90,C18,91:91)+100</f>
        <v>100</v>
      </c>
      <c r="I17" s="1149"/>
      <c r="J17" s="1038">
        <f>SUMIF(90:90,I18,91:91)-SUMIF(90:90,C18,91:91)+100</f>
        <v>100</v>
      </c>
      <c r="K17" s="1144"/>
      <c r="L17" s="1147"/>
      <c r="M17" s="1135"/>
      <c r="N17" s="1135"/>
      <c r="O17" s="1146"/>
      <c r="P17" s="3467"/>
      <c r="Q17" s="746" t="str">
        <f>B17</f>
        <v>商业繁华度</v>
      </c>
      <c r="R17" s="1183" t="s">
        <v>1037</v>
      </c>
      <c r="S17" s="1184">
        <f>F17</f>
        <v>100</v>
      </c>
      <c r="T17" s="1183" t="s">
        <v>1037</v>
      </c>
      <c r="U17" s="1184">
        <f>H17</f>
        <v>100</v>
      </c>
      <c r="V17" s="1183" t="s">
        <v>1037</v>
      </c>
      <c r="W17" s="1184">
        <f>J17</f>
        <v>100</v>
      </c>
      <c r="X17" s="1177"/>
      <c r="Y17" s="3467"/>
      <c r="Z17" s="1167" t="str">
        <f>Q17</f>
        <v>商业繁华度</v>
      </c>
      <c r="AA17" s="1194">
        <f t="shared" si="3"/>
        <v>1</v>
      </c>
      <c r="AB17" s="1194">
        <f t="shared" si="4"/>
        <v>1</v>
      </c>
      <c r="AC17" s="1194">
        <f t="shared" si="5"/>
        <v>1</v>
      </c>
    </row>
    <row r="18" spans="1:29" ht="15" hidden="1">
      <c r="A18" s="1011"/>
      <c r="B18" s="1059"/>
      <c r="C18" s="1322"/>
      <c r="D18" s="1034"/>
      <c r="E18" s="1323"/>
      <c r="F18" s="1034"/>
      <c r="G18" s="1323"/>
      <c r="H18" s="1032"/>
      <c r="I18" s="1339"/>
      <c r="J18" s="1032"/>
      <c r="K18" s="1140"/>
      <c r="L18" s="1147"/>
      <c r="M18" s="1135"/>
      <c r="N18" s="1135"/>
      <c r="O18" s="1146"/>
      <c r="P18" s="3467"/>
      <c r="Q18" s="746"/>
      <c r="R18" s="1183"/>
      <c r="S18" s="1184"/>
      <c r="T18" s="1183"/>
      <c r="U18" s="1184"/>
      <c r="V18" s="1183"/>
      <c r="W18" s="1184"/>
      <c r="X18" s="1177"/>
      <c r="Y18" s="3467"/>
      <c r="Z18" s="1167"/>
      <c r="AA18" s="1194">
        <v>1</v>
      </c>
      <c r="AB18" s="1194">
        <v>1</v>
      </c>
      <c r="AC18" s="1194">
        <v>1</v>
      </c>
    </row>
    <row r="19" spans="1:29" ht="57" hidden="1">
      <c r="A19" s="1011"/>
      <c r="B19" s="1321" t="s">
        <v>1485</v>
      </c>
      <c r="C19" s="744" t="str">
        <f>估价对象房地状况!C17</f>
        <v>，周边办公楼项目一般，入驻率高，办公集聚程度一般</v>
      </c>
      <c r="D19" s="1038">
        <v>100</v>
      </c>
      <c r="E19" s="1324"/>
      <c r="F19" s="1038">
        <f>SUMIF(92:92,E20,93:93)-SUMIF(92:92,C20,93:93)+100</f>
        <v>100</v>
      </c>
      <c r="G19" s="1324"/>
      <c r="H19" s="1034">
        <f>SUMIF(92:92,G20,93:93)-SUMIF(92:92,C20,93:93)+100</f>
        <v>100</v>
      </c>
      <c r="I19" s="1340"/>
      <c r="J19" s="1034">
        <f>SUMIF(92:92,I20,93:93)-SUMIF(92:92,C20,93:93)+100</f>
        <v>100</v>
      </c>
      <c r="K19" s="1144"/>
      <c r="L19" s="1147"/>
      <c r="M19" s="1135"/>
      <c r="N19" s="1135"/>
      <c r="O19" s="1146"/>
      <c r="P19" s="3467"/>
      <c r="Q19" s="746" t="str">
        <f>B19</f>
        <v>办公集聚程度</v>
      </c>
      <c r="R19" s="1183" t="s">
        <v>1037</v>
      </c>
      <c r="S19" s="1184">
        <f>F19</f>
        <v>100</v>
      </c>
      <c r="T19" s="1183" t="s">
        <v>1037</v>
      </c>
      <c r="U19" s="1184">
        <f>H19</f>
        <v>100</v>
      </c>
      <c r="V19" s="1183" t="s">
        <v>1037</v>
      </c>
      <c r="W19" s="1184">
        <f>J19</f>
        <v>100</v>
      </c>
      <c r="X19" s="1177"/>
      <c r="Y19" s="3467"/>
      <c r="Z19" s="1167" t="str">
        <f>Q19</f>
        <v>办公集聚程度</v>
      </c>
      <c r="AA19" s="1194">
        <f t="shared" si="3"/>
        <v>1</v>
      </c>
      <c r="AB19" s="1194">
        <f t="shared" si="4"/>
        <v>1</v>
      </c>
      <c r="AC19" s="1194">
        <f t="shared" si="5"/>
        <v>1</v>
      </c>
    </row>
    <row r="20" spans="1:29" ht="15" hidden="1">
      <c r="A20" s="1011"/>
      <c r="B20" s="1059"/>
      <c r="C20" s="1031"/>
      <c r="D20" s="1032"/>
      <c r="E20" s="1040"/>
      <c r="F20" s="1032"/>
      <c r="G20" s="1040"/>
      <c r="H20" s="1032"/>
      <c r="I20" s="1150"/>
      <c r="J20" s="1032"/>
      <c r="K20" s="1140"/>
      <c r="L20" s="1147"/>
      <c r="M20" s="1135"/>
      <c r="N20" s="1135"/>
      <c r="O20" s="1146"/>
      <c r="P20" s="3467"/>
      <c r="Q20" s="746"/>
      <c r="R20" s="1183"/>
      <c r="S20" s="1184"/>
      <c r="T20" s="1183"/>
      <c r="U20" s="1184"/>
      <c r="V20" s="1183"/>
      <c r="W20" s="1184"/>
      <c r="X20" s="1177"/>
      <c r="Y20" s="3467"/>
      <c r="Z20" s="1167"/>
      <c r="AA20" s="1194">
        <v>1</v>
      </c>
      <c r="AB20" s="1194">
        <v>1</v>
      </c>
      <c r="AC20" s="1194">
        <v>1</v>
      </c>
    </row>
    <row r="21" spans="1:29" ht="20.25" customHeight="1">
      <c r="A21" s="1011"/>
      <c r="B21" s="1321" t="s">
        <v>1056</v>
      </c>
      <c r="C21" s="1036" t="str">
        <f>估价对象房地状况!C18</f>
        <v>估价对象紧邻城市支路-东环路、附近有公交车站昌平南大街站，停靠线路有493路、昌52路、昌66路等，附近600米范围内有地铁昌平线昌平站合评价交通便捷度较好。</v>
      </c>
      <c r="D21" s="1034">
        <v>100</v>
      </c>
      <c r="E21" s="1325"/>
      <c r="F21" s="1038">
        <f>SUMIF(94:94,E22,95:95)-SUMIF(94:94,C22,95:95)+100</f>
        <v>100</v>
      </c>
      <c r="G21" s="1325"/>
      <c r="H21" s="1034">
        <f>SUMIF(94:94,G22,95:95)-SUMIF(94:94,C22,95:95)+100</f>
        <v>100</v>
      </c>
      <c r="I21" s="1341"/>
      <c r="J21" s="1034">
        <f>SUMIF(94:94,I22,95:95)-SUMIF(94:94,C22,95:95)+100</f>
        <v>97</v>
      </c>
      <c r="K21" s="1144">
        <v>3</v>
      </c>
      <c r="L21" s="1147"/>
      <c r="M21" s="1135"/>
      <c r="N21" s="1135"/>
      <c r="O21" s="1146"/>
      <c r="P21" s="3467"/>
      <c r="Q21" s="746" t="str">
        <f>B21</f>
        <v>交通便捷度</v>
      </c>
      <c r="R21" s="1183" t="s">
        <v>1037</v>
      </c>
      <c r="S21" s="1184">
        <f>F21</f>
        <v>100</v>
      </c>
      <c r="T21" s="1183" t="s">
        <v>1037</v>
      </c>
      <c r="U21" s="1184">
        <f>H21</f>
        <v>100</v>
      </c>
      <c r="V21" s="1183" t="s">
        <v>1037</v>
      </c>
      <c r="W21" s="1184">
        <f>J21</f>
        <v>97</v>
      </c>
      <c r="X21" s="1177"/>
      <c r="Y21" s="3467"/>
      <c r="Z21" s="1167" t="str">
        <f>Q21</f>
        <v>交通便捷度</v>
      </c>
      <c r="AA21" s="1194">
        <f t="shared" si="3"/>
        <v>1</v>
      </c>
      <c r="AB21" s="1194">
        <f t="shared" si="4"/>
        <v>1</v>
      </c>
      <c r="AC21" s="1194">
        <f t="shared" si="5"/>
        <v>1.0309278350515501</v>
      </c>
    </row>
    <row r="22" spans="1:29" ht="15">
      <c r="A22" s="1011"/>
      <c r="B22" s="1326"/>
      <c r="C22" s="1031" t="s">
        <v>1054</v>
      </c>
      <c r="D22" s="1034"/>
      <c r="E22" s="1040" t="s">
        <v>1054</v>
      </c>
      <c r="F22" s="1032"/>
      <c r="G22" s="1040" t="s">
        <v>1054</v>
      </c>
      <c r="H22" s="1032"/>
      <c r="I22" s="1040" t="s">
        <v>1055</v>
      </c>
      <c r="J22" s="1032"/>
      <c r="K22" s="1140"/>
      <c r="L22" s="1147"/>
      <c r="M22" s="1135"/>
      <c r="N22" s="1135"/>
      <c r="O22" s="1146"/>
      <c r="P22" s="3467"/>
      <c r="Q22" s="746"/>
      <c r="R22" s="1183"/>
      <c r="S22" s="1184"/>
      <c r="T22" s="1183"/>
      <c r="U22" s="1184"/>
      <c r="V22" s="1183"/>
      <c r="W22" s="1184"/>
      <c r="X22" s="1177"/>
      <c r="Y22" s="3467"/>
      <c r="Z22" s="1167"/>
      <c r="AA22" s="1194">
        <v>1</v>
      </c>
      <c r="AB22" s="1194">
        <v>1</v>
      </c>
      <c r="AC22" s="1194">
        <v>1</v>
      </c>
    </row>
    <row r="23" spans="1:29" ht="15">
      <c r="A23" s="991"/>
      <c r="B23" s="1321" t="s">
        <v>1515</v>
      </c>
      <c r="C23" s="1049">
        <f>估价对象房地状况!C19</f>
        <v>0</v>
      </c>
      <c r="D23" s="1038">
        <v>100</v>
      </c>
      <c r="E23" s="1037"/>
      <c r="F23" s="1038">
        <f>SUMIF(96:96,E24,97:97)-SUMIF(96:96,C24,97:97)+100</f>
        <v>100</v>
      </c>
      <c r="G23" s="1149"/>
      <c r="H23" s="1038">
        <f>SUMIF(96:96,G24,97:97)-SUMIF(96:96,C24,97:97)+100</f>
        <v>100</v>
      </c>
      <c r="I23" s="1149"/>
      <c r="J23" s="1038">
        <f>SUMIF(96:96,I24,97:97)-SUMIF(96:96,C24,97:97)+100</f>
        <v>100</v>
      </c>
      <c r="K23" s="1144"/>
      <c r="L23" s="1147"/>
      <c r="M23" s="1135"/>
      <c r="N23" s="1135"/>
      <c r="O23" s="1146"/>
      <c r="P23" s="3467"/>
      <c r="Q23" s="746" t="str">
        <f t="shared" ref="Q23:Q38" si="8">B23</f>
        <v>区域土地利用方向</v>
      </c>
      <c r="R23" s="1183" t="s">
        <v>1037</v>
      </c>
      <c r="S23" s="1184">
        <f>F23</f>
        <v>100</v>
      </c>
      <c r="T23" s="1183" t="s">
        <v>1037</v>
      </c>
      <c r="U23" s="1184">
        <f>H23</f>
        <v>100</v>
      </c>
      <c r="V23" s="1183" t="s">
        <v>1037</v>
      </c>
      <c r="W23" s="1184">
        <f>J23</f>
        <v>100</v>
      </c>
      <c r="X23" s="1177"/>
      <c r="Y23" s="3467"/>
      <c r="Z23" s="1167" t="str">
        <f>Q23</f>
        <v>区域土地利用方向</v>
      </c>
      <c r="AA23" s="1194">
        <f t="shared" si="3"/>
        <v>1</v>
      </c>
      <c r="AB23" s="1194">
        <f t="shared" si="4"/>
        <v>1</v>
      </c>
      <c r="AC23" s="1194">
        <f t="shared" si="5"/>
        <v>1</v>
      </c>
    </row>
    <row r="24" spans="1:29" ht="15">
      <c r="A24" s="991"/>
      <c r="B24" s="1059"/>
      <c r="C24" s="1045" t="s">
        <v>1054</v>
      </c>
      <c r="D24" s="1032"/>
      <c r="E24" s="1045" t="s">
        <v>1054</v>
      </c>
      <c r="F24" s="1032"/>
      <c r="G24" s="1045" t="s">
        <v>1054</v>
      </c>
      <c r="H24" s="1032"/>
      <c r="I24" s="1045" t="s">
        <v>1054</v>
      </c>
      <c r="J24" s="1032"/>
      <c r="K24" s="1151"/>
      <c r="L24" s="1147"/>
      <c r="M24" s="1135"/>
      <c r="N24" s="1135"/>
      <c r="O24" s="1146"/>
      <c r="P24" s="3467"/>
      <c r="Q24" s="746"/>
      <c r="R24" s="1183"/>
      <c r="S24" s="1184"/>
      <c r="T24" s="1183"/>
      <c r="U24" s="1184"/>
      <c r="V24" s="1183"/>
      <c r="W24" s="1184"/>
      <c r="X24" s="1177"/>
      <c r="Y24" s="3467"/>
      <c r="Z24" s="1167"/>
      <c r="AA24" s="1194"/>
      <c r="AB24" s="1194"/>
      <c r="AC24" s="1194"/>
    </row>
    <row r="25" spans="1:29" ht="17.25" customHeight="1">
      <c r="A25" s="991"/>
      <c r="B25" s="1326" t="s">
        <v>1516</v>
      </c>
      <c r="C25" s="744" t="str">
        <f>估价对象房地状况!C20</f>
        <v>估计对象周边有昌平公园、学府等自然环境景观，有北京昌平卫生学校、中国石油大学等人文环境；综合评价环境状况较好。</v>
      </c>
      <c r="D25" s="1034">
        <v>100</v>
      </c>
      <c r="E25" s="1325"/>
      <c r="F25" s="1034">
        <f>SUMIF(98:98,E26,99:99)-SUMIF(98:98,C26,99:99)+100</f>
        <v>100</v>
      </c>
      <c r="G25" s="1325"/>
      <c r="H25" s="1034">
        <f>SUMIF(98:98,G26,99:99)-SUMIF(98:98,C26,99:99)+100</f>
        <v>100</v>
      </c>
      <c r="I25" s="1341"/>
      <c r="J25" s="1034">
        <f>SUMIF(98:98,I26,99:99)-SUMIF(98:98,C26,99:99)+100</f>
        <v>100</v>
      </c>
      <c r="K25" s="1342">
        <v>2</v>
      </c>
      <c r="L25" s="1147"/>
      <c r="M25" s="1135"/>
      <c r="N25" s="1135"/>
      <c r="O25" s="1146"/>
      <c r="P25" s="3467"/>
      <c r="Q25" s="746" t="str">
        <f t="shared" si="8"/>
        <v>自然及人文环境状况</v>
      </c>
      <c r="R25" s="1183" t="s">
        <v>1037</v>
      </c>
      <c r="S25" s="1184">
        <f>F25</f>
        <v>100</v>
      </c>
      <c r="T25" s="1183" t="s">
        <v>1037</v>
      </c>
      <c r="U25" s="1184">
        <f>H25</f>
        <v>100</v>
      </c>
      <c r="V25" s="1183" t="s">
        <v>1037</v>
      </c>
      <c r="W25" s="1184">
        <f>J25</f>
        <v>100</v>
      </c>
      <c r="X25" s="1177"/>
      <c r="Y25" s="3467"/>
      <c r="Z25" s="1167" t="str">
        <f>Q25</f>
        <v>自然及人文环境状况</v>
      </c>
      <c r="AA25" s="1194">
        <f t="shared" si="3"/>
        <v>1</v>
      </c>
      <c r="AB25" s="1194">
        <f t="shared" si="4"/>
        <v>1</v>
      </c>
      <c r="AC25" s="1194">
        <f t="shared" si="5"/>
        <v>1</v>
      </c>
    </row>
    <row r="26" spans="1:29" ht="15">
      <c r="A26" s="991"/>
      <c r="B26" s="1059"/>
      <c r="C26" s="1031" t="s">
        <v>1054</v>
      </c>
      <c r="D26" s="1032"/>
      <c r="E26" s="1033" t="s">
        <v>1054</v>
      </c>
      <c r="F26" s="1032"/>
      <c r="G26" s="1033" t="s">
        <v>1054</v>
      </c>
      <c r="H26" s="1032"/>
      <c r="I26" s="1033" t="s">
        <v>1054</v>
      </c>
      <c r="J26" s="1032"/>
      <c r="K26" s="1140"/>
      <c r="L26" s="1147"/>
      <c r="M26" s="1135"/>
      <c r="N26" s="1135"/>
      <c r="O26" s="1146"/>
      <c r="P26" s="3467"/>
      <c r="Q26" s="746"/>
      <c r="R26" s="1183"/>
      <c r="S26" s="1184"/>
      <c r="T26" s="1183"/>
      <c r="U26" s="1184"/>
      <c r="V26" s="1183"/>
      <c r="W26" s="1184"/>
      <c r="X26" s="1177"/>
      <c r="Y26" s="3467"/>
      <c r="Z26" s="1167"/>
      <c r="AA26" s="1194">
        <v>1</v>
      </c>
      <c r="AB26" s="1194">
        <v>1</v>
      </c>
      <c r="AC26" s="1194">
        <v>1</v>
      </c>
    </row>
    <row r="27" spans="1:29" s="970" customFormat="1" ht="19.5" customHeight="1">
      <c r="A27" s="1041"/>
      <c r="B27" s="1326" t="s">
        <v>1057</v>
      </c>
      <c r="C27" s="1036"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D27" s="1034">
        <v>100</v>
      </c>
      <c r="E27" s="1325"/>
      <c r="F27" s="1034">
        <f>SUMIF(100:100,E28,101:101)-SUMIF(100:100,C28,101:101)+100</f>
        <v>100</v>
      </c>
      <c r="G27" s="1325"/>
      <c r="H27" s="1034">
        <f>SUMIF(100:100,G28,101:101)-SUMIF(100:100,C28,101:101)+100</f>
        <v>100</v>
      </c>
      <c r="I27" s="1341"/>
      <c r="J27" s="1034">
        <f>SUMIF(100:100,I28,101:101)-SUMIF(100:100,C28,101:101)+100</f>
        <v>95</v>
      </c>
      <c r="K27" s="1144">
        <v>5</v>
      </c>
      <c r="L27" s="1137"/>
      <c r="M27" s="1138"/>
      <c r="N27" s="1138"/>
      <c r="O27" s="1139"/>
      <c r="P27" s="3467"/>
      <c r="Q27" s="1182" t="str">
        <f t="shared" si="8"/>
        <v>公共配套设施</v>
      </c>
      <c r="R27" s="1178" t="s">
        <v>1037</v>
      </c>
      <c r="S27" s="1179">
        <f>F27</f>
        <v>100</v>
      </c>
      <c r="T27" s="1178" t="s">
        <v>1037</v>
      </c>
      <c r="U27" s="1179">
        <f>H27</f>
        <v>100</v>
      </c>
      <c r="V27" s="1178" t="s">
        <v>1037</v>
      </c>
      <c r="W27" s="1179">
        <f>J27</f>
        <v>95</v>
      </c>
      <c r="X27" s="1180"/>
      <c r="Y27" s="3467"/>
      <c r="Z27" s="1193" t="str">
        <f>Q27</f>
        <v>公共配套设施</v>
      </c>
      <c r="AA27" s="1194">
        <f>D27/F27</f>
        <v>1</v>
      </c>
      <c r="AB27" s="1194">
        <f>D27/H27</f>
        <v>1</v>
      </c>
      <c r="AC27" s="1194">
        <f>D27/J27</f>
        <v>1.0526315789473684</v>
      </c>
    </row>
    <row r="28" spans="1:29" s="970" customFormat="1" ht="15">
      <c r="A28" s="1041"/>
      <c r="B28" s="1059"/>
      <c r="C28" s="1043" t="s">
        <v>1054</v>
      </c>
      <c r="D28" s="1032"/>
      <c r="E28" s="1033" t="s">
        <v>1054</v>
      </c>
      <c r="F28" s="1032"/>
      <c r="G28" s="1033" t="s">
        <v>1054</v>
      </c>
      <c r="H28" s="1032"/>
      <c r="I28" s="1033" t="s">
        <v>1055</v>
      </c>
      <c r="J28" s="1032"/>
      <c r="K28" s="1140"/>
      <c r="L28" s="1137"/>
      <c r="M28" s="1138"/>
      <c r="N28" s="1138"/>
      <c r="O28" s="1139"/>
      <c r="P28" s="3467"/>
      <c r="Q28" s="1182"/>
      <c r="R28" s="1178"/>
      <c r="S28" s="1179"/>
      <c r="T28" s="1178"/>
      <c r="U28" s="1179"/>
      <c r="V28" s="1178"/>
      <c r="W28" s="1179"/>
      <c r="X28" s="1180"/>
      <c r="Y28" s="3467"/>
      <c r="Z28" s="1193"/>
      <c r="AA28" s="1194">
        <v>1</v>
      </c>
      <c r="AB28" s="1194">
        <v>1</v>
      </c>
      <c r="AC28" s="1194">
        <v>1</v>
      </c>
    </row>
    <row r="29" spans="1:29" s="970" customFormat="1" ht="18.75" customHeight="1">
      <c r="A29" s="1041"/>
      <c r="B29" s="1326" t="s">
        <v>1058</v>
      </c>
      <c r="C29" s="1036" t="str">
        <f>估价对象房地状况!C22</f>
        <v>估价对象所在区域基础设施水平为七通一平</v>
      </c>
      <c r="D29" s="1034">
        <v>100</v>
      </c>
      <c r="E29" s="1037"/>
      <c r="F29" s="1034">
        <f>SUMIF(102:102,E30,103:103)-SUMIF(102:102,C30,103:103)+100</f>
        <v>100</v>
      </c>
      <c r="G29" s="1037"/>
      <c r="H29" s="1034">
        <f>SUMIF(102:102,G30,103:103)-SUMIF(102:102,C30,103:103)+100</f>
        <v>100</v>
      </c>
      <c r="I29" s="1149"/>
      <c r="J29" s="1034">
        <f>SUMIF(102:102,I30,103:103)-SUMIF(102:102,C30,103:103)+100</f>
        <v>100</v>
      </c>
      <c r="K29" s="1144">
        <v>1</v>
      </c>
      <c r="L29" s="1137"/>
      <c r="M29" s="1138"/>
      <c r="N29" s="1138"/>
      <c r="O29" s="1139"/>
      <c r="P29" s="3467"/>
      <c r="Q29" s="1182" t="str">
        <f t="shared" ref="Q29" si="9">B29</f>
        <v>基础设施水平</v>
      </c>
      <c r="R29" s="1178" t="s">
        <v>1037</v>
      </c>
      <c r="S29" s="1179">
        <f>F29</f>
        <v>100</v>
      </c>
      <c r="T29" s="1178" t="s">
        <v>1037</v>
      </c>
      <c r="U29" s="1179">
        <f>H29</f>
        <v>100</v>
      </c>
      <c r="V29" s="1178" t="s">
        <v>1037</v>
      </c>
      <c r="W29" s="1179">
        <f>J29</f>
        <v>100</v>
      </c>
      <c r="X29" s="1180"/>
      <c r="Y29" s="3467"/>
      <c r="Z29" s="1193" t="str">
        <f>Q29</f>
        <v>基础设施水平</v>
      </c>
      <c r="AA29" s="1194">
        <f>D29/F29</f>
        <v>1</v>
      </c>
      <c r="AB29" s="1194">
        <f>D29/H29</f>
        <v>1</v>
      </c>
      <c r="AC29" s="1194">
        <f>D29/J29</f>
        <v>1</v>
      </c>
    </row>
    <row r="30" spans="1:29" s="970" customFormat="1" ht="15">
      <c r="A30" s="1041"/>
      <c r="B30" s="1059"/>
      <c r="C30" s="1043" t="s">
        <v>238</v>
      </c>
      <c r="D30" s="1032"/>
      <c r="E30" s="1043" t="s">
        <v>238</v>
      </c>
      <c r="F30" s="1032"/>
      <c r="G30" s="1043" t="s">
        <v>238</v>
      </c>
      <c r="H30" s="1032"/>
      <c r="I30" s="1043" t="s">
        <v>238</v>
      </c>
      <c r="J30" s="1032"/>
      <c r="K30" s="1140"/>
      <c r="L30" s="1137"/>
      <c r="M30" s="1138"/>
      <c r="N30" s="1138"/>
      <c r="O30" s="1139"/>
      <c r="P30" s="3467"/>
      <c r="Q30" s="1182"/>
      <c r="R30" s="1178"/>
      <c r="S30" s="1179"/>
      <c r="T30" s="1178"/>
      <c r="U30" s="1179"/>
      <c r="V30" s="1178"/>
      <c r="W30" s="1179"/>
      <c r="X30" s="1180"/>
      <c r="Y30" s="3467"/>
      <c r="Z30" s="1193"/>
      <c r="AA30" s="1194">
        <v>1</v>
      </c>
      <c r="AB30" s="1194">
        <v>1</v>
      </c>
      <c r="AC30" s="1194">
        <v>1</v>
      </c>
    </row>
    <row r="31" spans="1:29" ht="15" hidden="1">
      <c r="A31" s="1011"/>
      <c r="B31" s="1059" t="s">
        <v>1473</v>
      </c>
      <c r="C31" s="1045"/>
      <c r="D31" s="1020">
        <v>100</v>
      </c>
      <c r="E31" s="1046"/>
      <c r="F31" s="1020">
        <f>SUMIF(104:104,E31,105:105)-SUMIF(104:104,C31,105:105)+100</f>
        <v>100</v>
      </c>
      <c r="G31" s="1046"/>
      <c r="H31" s="1020">
        <f>SUMIF(104:104,G31,105:105)-SUMIF(104:104,C31,105:105)+100</f>
        <v>100</v>
      </c>
      <c r="I31" s="1046"/>
      <c r="J31" s="1020">
        <f>SUMIF(104:104,I31,105:105)-SUMIF(104:104,C31,105:105)+100</f>
        <v>100</v>
      </c>
      <c r="K31" s="1144"/>
      <c r="L31" s="1147"/>
      <c r="M31" s="1135"/>
      <c r="N31" s="1135"/>
      <c r="O31" s="1146"/>
      <c r="P31" s="3467"/>
      <c r="Q31" s="746" t="str">
        <f t="shared" si="8"/>
        <v>临街状况</v>
      </c>
      <c r="R31" s="1183" t="s">
        <v>1037</v>
      </c>
      <c r="S31" s="1184">
        <f t="shared" ref="S31:S45" si="10">F31</f>
        <v>100</v>
      </c>
      <c r="T31" s="1183" t="s">
        <v>1037</v>
      </c>
      <c r="U31" s="1184">
        <f t="shared" ref="U31:U45" si="11">H31</f>
        <v>100</v>
      </c>
      <c r="V31" s="1183" t="s">
        <v>1037</v>
      </c>
      <c r="W31" s="1184">
        <f t="shared" ref="W31:W45" si="12">J31</f>
        <v>100</v>
      </c>
      <c r="X31" s="1177"/>
      <c r="Y31" s="3467"/>
      <c r="Z31" s="1167" t="str">
        <f t="shared" ref="Z31:Z45" si="13">Q31</f>
        <v>临街状况</v>
      </c>
      <c r="AA31" s="1194">
        <f t="shared" si="3"/>
        <v>1</v>
      </c>
      <c r="AB31" s="1194">
        <f t="shared" si="4"/>
        <v>1</v>
      </c>
      <c r="AC31" s="1194">
        <f t="shared" si="5"/>
        <v>1</v>
      </c>
    </row>
    <row r="32" spans="1:29" ht="27" hidden="1">
      <c r="A32" s="1011"/>
      <c r="B32" s="1326" t="s">
        <v>1487</v>
      </c>
      <c r="C32" s="1149"/>
      <c r="D32" s="1034">
        <v>100</v>
      </c>
      <c r="E32" s="1037"/>
      <c r="F32" s="1034">
        <f>SUMIF(106:106,E33,107:107)-SUMIF(106:106,C33,107:107)+100</f>
        <v>100</v>
      </c>
      <c r="G32" s="1037"/>
      <c r="H32" s="1034">
        <f>SUMIF(106:106,G33,107:107)-SUMIF(106:106,C33,107:107)+100</f>
        <v>100</v>
      </c>
      <c r="I32" s="1149"/>
      <c r="J32" s="1034">
        <f>SUMIF(106:106,I33,107:107)-SUMIF(106:106,C33,107:107)+100</f>
        <v>100</v>
      </c>
      <c r="K32" s="1144"/>
      <c r="L32" s="1147"/>
      <c r="M32" s="1135"/>
      <c r="N32" s="1135"/>
      <c r="O32" s="1146"/>
      <c r="P32" s="3467"/>
      <c r="Q32" s="746" t="str">
        <f t="shared" si="8"/>
        <v>毗邻道路的类型与等级</v>
      </c>
      <c r="R32" s="1183" t="s">
        <v>1037</v>
      </c>
      <c r="S32" s="1184">
        <f t="shared" si="10"/>
        <v>100</v>
      </c>
      <c r="T32" s="1183" t="s">
        <v>1037</v>
      </c>
      <c r="U32" s="1184">
        <f t="shared" si="11"/>
        <v>100</v>
      </c>
      <c r="V32" s="1183" t="s">
        <v>1037</v>
      </c>
      <c r="W32" s="1184">
        <f t="shared" si="12"/>
        <v>100</v>
      </c>
      <c r="X32" s="1177"/>
      <c r="Y32" s="3467"/>
      <c r="Z32" s="1167" t="str">
        <f t="shared" si="13"/>
        <v>毗邻道路的类型与等级</v>
      </c>
      <c r="AA32" s="1194">
        <f t="shared" si="3"/>
        <v>1</v>
      </c>
      <c r="AB32" s="1194">
        <f t="shared" si="4"/>
        <v>1</v>
      </c>
      <c r="AC32" s="1194">
        <f t="shared" si="5"/>
        <v>1</v>
      </c>
    </row>
    <row r="33" spans="1:29" ht="15" hidden="1">
      <c r="A33" s="1011"/>
      <c r="B33" s="1059"/>
      <c r="C33" s="1031"/>
      <c r="D33" s="1032"/>
      <c r="E33" s="1033"/>
      <c r="F33" s="1032"/>
      <c r="G33" s="1033"/>
      <c r="H33" s="1032"/>
      <c r="I33" s="1031"/>
      <c r="J33" s="1032"/>
      <c r="K33" s="1152"/>
      <c r="L33" s="1147"/>
      <c r="M33" s="1135"/>
      <c r="N33" s="1135"/>
      <c r="O33" s="1146"/>
      <c r="P33" s="3467"/>
      <c r="Q33" s="746"/>
      <c r="R33" s="1183"/>
      <c r="S33" s="1184"/>
      <c r="T33" s="1183"/>
      <c r="U33" s="1184"/>
      <c r="V33" s="1183"/>
      <c r="W33" s="1184"/>
      <c r="X33" s="1177"/>
      <c r="Y33" s="3467"/>
      <c r="Z33" s="1167"/>
      <c r="AA33" s="1194">
        <v>1</v>
      </c>
      <c r="AB33" s="1194">
        <v>1</v>
      </c>
      <c r="AC33" s="1194">
        <v>1</v>
      </c>
    </row>
    <row r="34" spans="1:29" ht="15">
      <c r="A34" s="1011"/>
      <c r="B34" s="1008" t="s">
        <v>1517</v>
      </c>
      <c r="C34" s="1045" t="s">
        <v>280</v>
      </c>
      <c r="D34" s="1020">
        <v>100</v>
      </c>
      <c r="E34" s="1046" t="s">
        <v>280</v>
      </c>
      <c r="F34" s="1020">
        <f>SUMIF(108:108,E34,109:109)-SUMIF(108:108,C34,109:109)+100</f>
        <v>100</v>
      </c>
      <c r="G34" s="1046" t="s">
        <v>280</v>
      </c>
      <c r="H34" s="1020">
        <f>SUMIF(108:108,G34,109:109)-SUMIF(108:108,C34,109:109)+100</f>
        <v>100</v>
      </c>
      <c r="I34" s="1045" t="s">
        <v>280</v>
      </c>
      <c r="J34" s="1020">
        <f>SUMIF(108:108,I34,109:109)-SUMIF(108:108,C34,109:109)+100</f>
        <v>100</v>
      </c>
      <c r="K34" s="1343">
        <v>1</v>
      </c>
      <c r="L34" s="1147"/>
      <c r="M34" s="1135"/>
      <c r="N34" s="1135"/>
      <c r="O34" s="1146"/>
      <c r="P34" s="3467"/>
      <c r="Q34" s="746" t="str">
        <f t="shared" si="8"/>
        <v>土地级别</v>
      </c>
      <c r="R34" s="1183" t="s">
        <v>1037</v>
      </c>
      <c r="S34" s="1184">
        <f t="shared" si="10"/>
        <v>100</v>
      </c>
      <c r="T34" s="1183" t="s">
        <v>1037</v>
      </c>
      <c r="U34" s="1184">
        <f t="shared" si="11"/>
        <v>100</v>
      </c>
      <c r="V34" s="1183" t="s">
        <v>1037</v>
      </c>
      <c r="W34" s="1184">
        <f t="shared" si="12"/>
        <v>100</v>
      </c>
      <c r="X34" s="1177"/>
      <c r="Y34" s="3467"/>
      <c r="Z34" s="1167" t="str">
        <f t="shared" si="13"/>
        <v>土地级别</v>
      </c>
      <c r="AA34" s="1194">
        <f t="shared" si="3"/>
        <v>1</v>
      </c>
      <c r="AB34" s="1194">
        <f t="shared" si="4"/>
        <v>1</v>
      </c>
      <c r="AC34" s="1194">
        <f t="shared" si="5"/>
        <v>1</v>
      </c>
    </row>
    <row r="35" spans="1:29" ht="15" hidden="1">
      <c r="A35" s="991"/>
      <c r="B35" s="1327">
        <v>111</v>
      </c>
      <c r="C35" s="1018"/>
      <c r="D35" s="1020">
        <v>100</v>
      </c>
      <c r="E35" s="1051"/>
      <c r="F35" s="1020">
        <f>SUMIF(110:110,E35,111:111)-SUMIF(110:110,C35,111:111)+100</f>
        <v>100</v>
      </c>
      <c r="G35" s="1051"/>
      <c r="H35" s="1020">
        <f>SUMIF(110:110,G35,111:111)-SUMIF(110:110,C35,111:111)+100</f>
        <v>100</v>
      </c>
      <c r="I35" s="1018"/>
      <c r="J35" s="1020">
        <f>SUMIF(110:110,I35,111:111)-SUMIF(110:110,C35,111:111)+100</f>
        <v>100</v>
      </c>
      <c r="K35" s="1152"/>
      <c r="L35" s="1147"/>
      <c r="M35" s="1135"/>
      <c r="N35" s="1135"/>
      <c r="O35" s="1146"/>
      <c r="P35" s="3467"/>
      <c r="Q35" s="746">
        <f t="shared" si="8"/>
        <v>111</v>
      </c>
      <c r="R35" s="1183" t="s">
        <v>1037</v>
      </c>
      <c r="S35" s="1184">
        <f t="shared" si="10"/>
        <v>100</v>
      </c>
      <c r="T35" s="1183" t="s">
        <v>1037</v>
      </c>
      <c r="U35" s="1184">
        <f t="shared" si="11"/>
        <v>100</v>
      </c>
      <c r="V35" s="1183" t="s">
        <v>1037</v>
      </c>
      <c r="W35" s="1184">
        <f t="shared" si="12"/>
        <v>100</v>
      </c>
      <c r="X35" s="1177"/>
      <c r="Y35" s="3467"/>
      <c r="Z35" s="1167">
        <f t="shared" si="13"/>
        <v>111</v>
      </c>
      <c r="AA35" s="1194">
        <f t="shared" si="3"/>
        <v>1</v>
      </c>
      <c r="AB35" s="1194">
        <f t="shared" si="4"/>
        <v>1</v>
      </c>
      <c r="AC35" s="1194">
        <f t="shared" si="5"/>
        <v>1</v>
      </c>
    </row>
    <row r="36" spans="1:29" ht="15" hidden="1">
      <c r="A36" s="1052"/>
      <c r="B36" s="1066">
        <v>111</v>
      </c>
      <c r="C36" s="1018"/>
      <c r="D36" s="1020">
        <v>100</v>
      </c>
      <c r="E36" s="1051"/>
      <c r="F36" s="1020">
        <f>SUMIF(112:112,E37,113:113)-SUMIF(112:112,C37,113:113)+100</f>
        <v>100</v>
      </c>
      <c r="G36" s="1051"/>
      <c r="H36" s="1020">
        <f>SUMIF(112:112,G36,113:113)-SUMIF(112:112,C36,113:113)+100</f>
        <v>100</v>
      </c>
      <c r="I36" s="1018"/>
      <c r="J36" s="1020">
        <f>SUMIF(112:112,I36,113:113)-SUMIF(112:112,C36,113:113)+100</f>
        <v>100</v>
      </c>
      <c r="K36" s="1152"/>
      <c r="L36" s="1147"/>
      <c r="M36" s="1135"/>
      <c r="N36" s="1135"/>
      <c r="O36" s="1146"/>
      <c r="P36" s="3504" t="s">
        <v>1068</v>
      </c>
      <c r="Q36" s="746">
        <f t="shared" si="8"/>
        <v>111</v>
      </c>
      <c r="R36" s="1183" t="s">
        <v>1037</v>
      </c>
      <c r="S36" s="1184">
        <f t="shared" si="10"/>
        <v>100</v>
      </c>
      <c r="T36" s="1183" t="s">
        <v>1037</v>
      </c>
      <c r="U36" s="1184">
        <f t="shared" si="11"/>
        <v>100</v>
      </c>
      <c r="V36" s="1183" t="s">
        <v>1037</v>
      </c>
      <c r="W36" s="1184">
        <f t="shared" si="12"/>
        <v>100</v>
      </c>
      <c r="X36" s="1177"/>
      <c r="Y36" s="3468" t="s">
        <v>1068</v>
      </c>
      <c r="Z36" s="1167">
        <f t="shared" si="13"/>
        <v>111</v>
      </c>
      <c r="AA36" s="1194">
        <f t="shared" si="3"/>
        <v>1</v>
      </c>
      <c r="AB36" s="1194">
        <f t="shared" si="4"/>
        <v>1</v>
      </c>
      <c r="AC36" s="1194">
        <f t="shared" si="5"/>
        <v>1</v>
      </c>
    </row>
    <row r="37" spans="1:29" s="972" customFormat="1" ht="15" hidden="1">
      <c r="A37" s="1054"/>
      <c r="B37" s="1328">
        <v>111</v>
      </c>
      <c r="C37" s="1056"/>
      <c r="D37" s="1057">
        <v>100</v>
      </c>
      <c r="E37" s="1058"/>
      <c r="F37" s="1024">
        <f>SUMIF(114:114,E37,115:115)-SUMIF(114:114,C37,115:115)+100</f>
        <v>100</v>
      </c>
      <c r="G37" s="1058"/>
      <c r="H37" s="1024">
        <f>SUMIF(114:114,G37,115:115)-SUMIF(114:114,C37,115:115)+100</f>
        <v>100</v>
      </c>
      <c r="I37" s="1056"/>
      <c r="J37" s="1024">
        <f>SUMIF(114:114,I37,115:115)-SUMIF(114:114,C37,115:115)+100</f>
        <v>100</v>
      </c>
      <c r="K37" s="1152"/>
      <c r="L37" s="1145"/>
      <c r="M37" s="1154"/>
      <c r="N37" s="1154"/>
      <c r="O37" s="1155"/>
      <c r="P37" s="3468"/>
      <c r="Q37" s="746">
        <f t="shared" si="8"/>
        <v>111</v>
      </c>
      <c r="R37" s="1185" t="s">
        <v>1037</v>
      </c>
      <c r="S37" s="1186">
        <f t="shared" si="10"/>
        <v>100</v>
      </c>
      <c r="T37" s="1185" t="s">
        <v>1037</v>
      </c>
      <c r="U37" s="1186">
        <f t="shared" si="11"/>
        <v>100</v>
      </c>
      <c r="V37" s="1185" t="s">
        <v>1037</v>
      </c>
      <c r="W37" s="1186">
        <f t="shared" si="12"/>
        <v>100</v>
      </c>
      <c r="X37" s="1187"/>
      <c r="Y37" s="3468"/>
      <c r="Z37" s="1195">
        <f t="shared" si="13"/>
        <v>111</v>
      </c>
      <c r="AA37" s="1194">
        <f t="shared" si="3"/>
        <v>1</v>
      </c>
      <c r="AB37" s="1194">
        <f t="shared" si="4"/>
        <v>1</v>
      </c>
      <c r="AC37" s="1194">
        <f t="shared" si="5"/>
        <v>1</v>
      </c>
    </row>
    <row r="38" spans="1:29" ht="15">
      <c r="A38" s="1062" t="s">
        <v>1065</v>
      </c>
      <c r="B38" s="1059" t="s">
        <v>1518</v>
      </c>
      <c r="C38" s="1060">
        <v>96885.061000000002</v>
      </c>
      <c r="D38" s="1061">
        <v>100</v>
      </c>
      <c r="E38" s="1060">
        <f>'案例-土地一级开发成本'!K2*10000</f>
        <v>110400</v>
      </c>
      <c r="F38" s="1061">
        <f>LOOKUP(E38,117:117,118:118)-LOOKUP(C38,117:117,118:118)+100</f>
        <v>102.5</v>
      </c>
      <c r="G38" s="1060">
        <f>'案例-土地一级开发成本'!K4*10000</f>
        <v>38100</v>
      </c>
      <c r="H38" s="1061">
        <f>LOOKUP(G38,117:117,118:118)-LOOKUP(C38,117:117,118:118)+100</f>
        <v>85</v>
      </c>
      <c r="I38" s="1156">
        <f>'案例-土地一级开发成本'!K6*10000</f>
        <v>114300</v>
      </c>
      <c r="J38" s="1061">
        <f>LOOKUP(I38,117:117,118:118)-LOOKUP(C38,117:117,118:118)+100</f>
        <v>102.5</v>
      </c>
      <c r="K38" s="1152"/>
      <c r="L38" s="1147"/>
      <c r="M38" s="1135"/>
      <c r="N38" s="1135"/>
      <c r="O38" s="1146"/>
      <c r="P38" s="3468"/>
      <c r="Q38" s="746" t="str">
        <f t="shared" si="8"/>
        <v>宗地面积</v>
      </c>
      <c r="R38" s="1183" t="s">
        <v>1037</v>
      </c>
      <c r="S38" s="1184">
        <f t="shared" si="10"/>
        <v>102.5</v>
      </c>
      <c r="T38" s="1183" t="s">
        <v>1037</v>
      </c>
      <c r="U38" s="1184">
        <f t="shared" si="11"/>
        <v>85</v>
      </c>
      <c r="V38" s="1183" t="s">
        <v>1037</v>
      </c>
      <c r="W38" s="1184">
        <f t="shared" si="12"/>
        <v>102.5</v>
      </c>
      <c r="X38" s="1177"/>
      <c r="Y38" s="3468"/>
      <c r="Z38" s="1167" t="str">
        <f t="shared" si="13"/>
        <v>宗地面积</v>
      </c>
      <c r="AA38" s="1194">
        <f t="shared" si="3"/>
        <v>0.97560975609756095</v>
      </c>
      <c r="AB38" s="1194">
        <f t="shared" si="4"/>
        <v>1.1764705882352899</v>
      </c>
      <c r="AC38" s="1194">
        <f t="shared" si="5"/>
        <v>0.97560975609756095</v>
      </c>
    </row>
    <row r="39" spans="1:29" ht="15">
      <c r="A39" s="1062"/>
      <c r="B39" s="1008" t="s">
        <v>1519</v>
      </c>
      <c r="C39" s="1063" t="s">
        <v>1520</v>
      </c>
      <c r="D39" s="1020">
        <v>100</v>
      </c>
      <c r="E39" s="1063" t="s">
        <v>1520</v>
      </c>
      <c r="F39" s="1020">
        <f>SUMIF(119:119,E39,120:120)-SUMIF(119:119,C39,120:120)+100</f>
        <v>100</v>
      </c>
      <c r="G39" s="1063" t="s">
        <v>1520</v>
      </c>
      <c r="H39" s="1020">
        <f>SUMIF(119:119,G39,120:120)-SUMIF(119:119,C39,120:120)+100</f>
        <v>100</v>
      </c>
      <c r="I39" s="1063" t="s">
        <v>1520</v>
      </c>
      <c r="J39" s="1020">
        <f>SUMIF(119:119,I39,120:120)-SUMIF(119:119,C39,120:120)+100</f>
        <v>100</v>
      </c>
      <c r="K39" s="1153">
        <v>1</v>
      </c>
      <c r="L39" s="1147"/>
      <c r="M39" s="1135"/>
      <c r="N39" s="1135"/>
      <c r="O39" s="1146"/>
      <c r="P39" s="3468"/>
      <c r="Q39" s="746" t="str">
        <f t="shared" ref="Q39:Q45" si="14">B39</f>
        <v>宗地形状</v>
      </c>
      <c r="R39" s="1183" t="s">
        <v>1037</v>
      </c>
      <c r="S39" s="1184">
        <f t="shared" si="10"/>
        <v>100</v>
      </c>
      <c r="T39" s="1183" t="s">
        <v>1037</v>
      </c>
      <c r="U39" s="1184">
        <f t="shared" si="11"/>
        <v>100</v>
      </c>
      <c r="V39" s="1183" t="s">
        <v>1037</v>
      </c>
      <c r="W39" s="1184">
        <f t="shared" si="12"/>
        <v>100</v>
      </c>
      <c r="X39" s="1177"/>
      <c r="Y39" s="3468"/>
      <c r="Z39" s="1167" t="str">
        <f t="shared" si="13"/>
        <v>宗地形状</v>
      </c>
      <c r="AA39" s="1194">
        <f t="shared" si="3"/>
        <v>1</v>
      </c>
      <c r="AB39" s="1194">
        <f t="shared" si="4"/>
        <v>1</v>
      </c>
      <c r="AC39" s="1194">
        <f t="shared" si="5"/>
        <v>1</v>
      </c>
    </row>
    <row r="40" spans="1:29" ht="15" hidden="1">
      <c r="A40" s="1062"/>
      <c r="B40" s="1008" t="s">
        <v>1521</v>
      </c>
      <c r="C40" s="1063"/>
      <c r="D40" s="1020">
        <v>100</v>
      </c>
      <c r="E40" s="1063"/>
      <c r="F40" s="1020">
        <f>SUMIF(121:121,E40,122:122)-SUMIF(121:121,C40,122:122)+100</f>
        <v>100</v>
      </c>
      <c r="G40" s="1063"/>
      <c r="H40" s="1020">
        <f>SUMIF(121:121,G40,122:122)-SUMIF(121:121,C40,122:122)+100</f>
        <v>100</v>
      </c>
      <c r="I40" s="1063"/>
      <c r="J40" s="1020">
        <f>SUMIF(121:121,I40,122:122)-SUMIF(121:121,C40,122:122)+100</f>
        <v>100</v>
      </c>
      <c r="K40" s="1153">
        <v>1</v>
      </c>
      <c r="L40" s="1147"/>
      <c r="M40" s="1135"/>
      <c r="N40" s="1135"/>
      <c r="O40" s="1146"/>
      <c r="P40" s="3468"/>
      <c r="Q40" s="746" t="str">
        <f t="shared" si="14"/>
        <v>临街宽度及深度</v>
      </c>
      <c r="R40" s="1183" t="s">
        <v>1037</v>
      </c>
      <c r="S40" s="1184">
        <f t="shared" si="10"/>
        <v>100</v>
      </c>
      <c r="T40" s="1183" t="s">
        <v>1037</v>
      </c>
      <c r="U40" s="1184">
        <f t="shared" si="11"/>
        <v>100</v>
      </c>
      <c r="V40" s="1183" t="s">
        <v>1037</v>
      </c>
      <c r="W40" s="1184">
        <f t="shared" si="12"/>
        <v>100</v>
      </c>
      <c r="X40" s="1177"/>
      <c r="Y40" s="3468"/>
      <c r="Z40" s="1167" t="str">
        <f t="shared" si="13"/>
        <v>临街宽度及深度</v>
      </c>
      <c r="AA40" s="1194">
        <f t="shared" si="3"/>
        <v>1</v>
      </c>
      <c r="AB40" s="1194">
        <f t="shared" si="4"/>
        <v>1</v>
      </c>
      <c r="AC40" s="1194">
        <f t="shared" si="5"/>
        <v>1</v>
      </c>
    </row>
    <row r="41" spans="1:29" s="970" customFormat="1" ht="15">
      <c r="A41" s="1064"/>
      <c r="B41" s="1008" t="s">
        <v>1522</v>
      </c>
      <c r="C41" s="1065" t="s">
        <v>1078</v>
      </c>
      <c r="D41" s="1010">
        <v>100</v>
      </c>
      <c r="E41" s="1065" t="s">
        <v>1079</v>
      </c>
      <c r="F41" s="1020">
        <f>SUMIF(123:123,E41,124:124)-SUMIF(123:123,C41,124:124)+100</f>
        <v>96</v>
      </c>
      <c r="G41" s="1065" t="s">
        <v>1079</v>
      </c>
      <c r="H41" s="1020">
        <f>SUMIF(123:123,G41,124:124)-SUMIF(123:123,C41,124:124)+100</f>
        <v>96</v>
      </c>
      <c r="I41" s="1065" t="s">
        <v>1119</v>
      </c>
      <c r="J41" s="1020">
        <f>SUMIF(123:123,I41,124:124)-SUMIF(123:123,C41,124:124)+100</f>
        <v>99</v>
      </c>
      <c r="K41" s="1153">
        <v>1</v>
      </c>
      <c r="L41" s="1137"/>
      <c r="M41" s="1138"/>
      <c r="N41" s="1138"/>
      <c r="O41" s="1139"/>
      <c r="P41" s="3468"/>
      <c r="Q41" s="746" t="str">
        <f t="shared" si="14"/>
        <v>宗地开发程度</v>
      </c>
      <c r="R41" s="1178" t="s">
        <v>1037</v>
      </c>
      <c r="S41" s="1179">
        <f t="shared" si="10"/>
        <v>96</v>
      </c>
      <c r="T41" s="1178" t="s">
        <v>1037</v>
      </c>
      <c r="U41" s="1179">
        <f t="shared" si="11"/>
        <v>96</v>
      </c>
      <c r="V41" s="1178" t="s">
        <v>1037</v>
      </c>
      <c r="W41" s="1179">
        <f t="shared" si="12"/>
        <v>99</v>
      </c>
      <c r="X41" s="1180"/>
      <c r="Y41" s="3468"/>
      <c r="Z41" s="1193" t="str">
        <f t="shared" si="13"/>
        <v>宗地开发程度</v>
      </c>
      <c r="AA41" s="1192">
        <f t="shared" si="3"/>
        <v>1.0416666666666667</v>
      </c>
      <c r="AB41" s="1192">
        <f t="shared" si="4"/>
        <v>1.0416666666666667</v>
      </c>
      <c r="AC41" s="1192">
        <f t="shared" si="5"/>
        <v>1.0101010101010102</v>
      </c>
    </row>
    <row r="42" spans="1:29" ht="15">
      <c r="A42" s="1062"/>
      <c r="B42" s="1008" t="s">
        <v>1523</v>
      </c>
      <c r="C42" s="1063" t="s">
        <v>1054</v>
      </c>
      <c r="D42" s="1020">
        <v>100</v>
      </c>
      <c r="E42" s="1063" t="s">
        <v>1054</v>
      </c>
      <c r="F42" s="1020">
        <f>SUMIF(125:125,E42,126:126)-SUMIF(125:125,C42,126:126)+100</f>
        <v>100</v>
      </c>
      <c r="G42" s="1063" t="s">
        <v>1054</v>
      </c>
      <c r="H42" s="1020">
        <f>SUMIF(125:125,G42,126:126)-SUMIF(125:125,C42,126:126)+100</f>
        <v>100</v>
      </c>
      <c r="I42" s="1063" t="s">
        <v>1054</v>
      </c>
      <c r="J42" s="1020">
        <f>SUMIF(125:125,I42,126:126)-SUMIF(125:125,C42,126:126)+100</f>
        <v>100</v>
      </c>
      <c r="K42" s="1153">
        <v>1</v>
      </c>
      <c r="L42" s="1147"/>
      <c r="M42" s="1135"/>
      <c r="N42" s="1135"/>
      <c r="O42" s="1146"/>
      <c r="P42" s="3468" t="s">
        <v>1068</v>
      </c>
      <c r="Q42" s="746" t="str">
        <f t="shared" si="14"/>
        <v>工程地质条件</v>
      </c>
      <c r="R42" s="1183" t="s">
        <v>1037</v>
      </c>
      <c r="S42" s="1184">
        <f t="shared" si="10"/>
        <v>100</v>
      </c>
      <c r="T42" s="1183" t="s">
        <v>1037</v>
      </c>
      <c r="U42" s="1184">
        <f t="shared" si="11"/>
        <v>100</v>
      </c>
      <c r="V42" s="1183" t="s">
        <v>1037</v>
      </c>
      <c r="W42" s="1184">
        <f t="shared" si="12"/>
        <v>100</v>
      </c>
      <c r="X42" s="1177"/>
      <c r="Y42" s="3468" t="s">
        <v>1068</v>
      </c>
      <c r="Z42" s="1167" t="str">
        <f t="shared" si="13"/>
        <v>工程地质条件</v>
      </c>
      <c r="AA42" s="1194">
        <f t="shared" si="3"/>
        <v>1</v>
      </c>
      <c r="AB42" s="1194">
        <f t="shared" si="4"/>
        <v>1</v>
      </c>
      <c r="AC42" s="1194">
        <f t="shared" si="5"/>
        <v>1</v>
      </c>
    </row>
    <row r="43" spans="1:29" ht="15">
      <c r="A43" s="1062"/>
      <c r="B43" s="1329" t="s">
        <v>1524</v>
      </c>
      <c r="C43" s="1330" t="s">
        <v>1525</v>
      </c>
      <c r="D43" s="1020">
        <v>100</v>
      </c>
      <c r="E43" s="1330" t="s">
        <v>1525</v>
      </c>
      <c r="F43" s="1020">
        <f>SUMIF(127:127,E43,128:128)-SUMIF(127:127,C43,128:128)+100</f>
        <v>100</v>
      </c>
      <c r="G43" s="1330" t="s">
        <v>1525</v>
      </c>
      <c r="H43" s="1020">
        <f>SUMIF(127:127,G43,128:128)-SUMIF(127:127,C43,128:128)+100</f>
        <v>100</v>
      </c>
      <c r="I43" s="1330" t="s">
        <v>1525</v>
      </c>
      <c r="J43" s="1020">
        <f>SUMIF(127:127,I43,128:128)-SUMIF(127:127,C43,128:128)+100</f>
        <v>100</v>
      </c>
      <c r="K43" s="1152"/>
      <c r="L43" s="1147"/>
      <c r="M43" s="1135"/>
      <c r="N43" s="1135"/>
      <c r="O43" s="1146"/>
      <c r="P43" s="3468"/>
      <c r="Q43" s="746" t="str">
        <f t="shared" si="14"/>
        <v>宗地规划限制</v>
      </c>
      <c r="R43" s="1183" t="s">
        <v>1037</v>
      </c>
      <c r="S43" s="1184">
        <f t="shared" si="10"/>
        <v>100</v>
      </c>
      <c r="T43" s="1183" t="s">
        <v>1037</v>
      </c>
      <c r="U43" s="1184">
        <f t="shared" si="11"/>
        <v>100</v>
      </c>
      <c r="V43" s="1183" t="s">
        <v>1037</v>
      </c>
      <c r="W43" s="1184">
        <f t="shared" si="12"/>
        <v>100</v>
      </c>
      <c r="X43" s="1177"/>
      <c r="Y43" s="3468"/>
      <c r="Z43" s="1167" t="str">
        <f t="shared" si="13"/>
        <v>宗地规划限制</v>
      </c>
      <c r="AA43" s="1194">
        <f t="shared" si="3"/>
        <v>1</v>
      </c>
      <c r="AB43" s="1194">
        <f t="shared" si="4"/>
        <v>1</v>
      </c>
      <c r="AC43" s="1194">
        <f t="shared" si="5"/>
        <v>1</v>
      </c>
    </row>
    <row r="44" spans="1:29" ht="15" hidden="1">
      <c r="A44" s="1062"/>
      <c r="B44" s="1066">
        <v>111</v>
      </c>
      <c r="C44" s="1018"/>
      <c r="D44" s="1020">
        <v>100</v>
      </c>
      <c r="E44" s="1018"/>
      <c r="F44" s="1020">
        <f>SUMIF(129:129,E44,130:130)-SUMIF(129:129,C44,130:130)+100</f>
        <v>100</v>
      </c>
      <c r="G44" s="1018"/>
      <c r="H44" s="1020">
        <f>SUMIF(129:129,G44,130:130)-SUMIF(129:129,C44,130:130)+100</f>
        <v>100</v>
      </c>
      <c r="I44" s="1017"/>
      <c r="J44" s="1020">
        <f>SUMIF(129:129,I44,130:130)-SUMIF(129:129,C44,130:130)+100</f>
        <v>100</v>
      </c>
      <c r="K44" s="1152"/>
      <c r="L44" s="1147"/>
      <c r="M44" s="1135"/>
      <c r="N44" s="1135"/>
      <c r="O44" s="1146"/>
      <c r="P44" s="3468"/>
      <c r="Q44" s="746">
        <f t="shared" si="14"/>
        <v>111</v>
      </c>
      <c r="R44" s="1183" t="s">
        <v>1037</v>
      </c>
      <c r="S44" s="1184">
        <f t="shared" si="10"/>
        <v>100</v>
      </c>
      <c r="T44" s="1183" t="s">
        <v>1037</v>
      </c>
      <c r="U44" s="1184">
        <f t="shared" si="11"/>
        <v>100</v>
      </c>
      <c r="V44" s="1183" t="s">
        <v>1037</v>
      </c>
      <c r="W44" s="1184">
        <f t="shared" si="12"/>
        <v>100</v>
      </c>
      <c r="X44" s="1177"/>
      <c r="Y44" s="3468"/>
      <c r="Z44" s="1167">
        <f t="shared" si="13"/>
        <v>111</v>
      </c>
      <c r="AA44" s="1194">
        <f t="shared" si="3"/>
        <v>1</v>
      </c>
      <c r="AB44" s="1194">
        <f t="shared" si="4"/>
        <v>1</v>
      </c>
      <c r="AC44" s="1194">
        <f t="shared" si="5"/>
        <v>1</v>
      </c>
    </row>
    <row r="45" spans="1:29" s="972" customFormat="1" ht="15" hidden="1">
      <c r="A45" s="1067"/>
      <c r="B45" s="1066">
        <v>111</v>
      </c>
      <c r="C45" s="1068"/>
      <c r="D45" s="1331">
        <v>100</v>
      </c>
      <c r="E45" s="1018"/>
      <c r="F45" s="1024">
        <f>SUMIF(131:131,E45,132:132)-SUMIF(131:131,C45,132:132)+100</f>
        <v>100</v>
      </c>
      <c r="G45" s="1018"/>
      <c r="H45" s="1024">
        <f>SUMIF(131:131,G45,132:132)-SUMIF(131:131,C45,132:132)+100</f>
        <v>100</v>
      </c>
      <c r="I45" s="1018"/>
      <c r="J45" s="1024">
        <f>SUMIF(131:131,I45,132:132)-SUMIF(131:131,C45,132:132)+100</f>
        <v>100</v>
      </c>
      <c r="K45" s="1157"/>
      <c r="L45" s="1145"/>
      <c r="M45" s="1154"/>
      <c r="N45" s="1154"/>
      <c r="O45" s="1155"/>
      <c r="P45" s="3468"/>
      <c r="Q45" s="746">
        <f t="shared" si="14"/>
        <v>111</v>
      </c>
      <c r="R45" s="1185" t="s">
        <v>1037</v>
      </c>
      <c r="S45" s="1186">
        <f t="shared" si="10"/>
        <v>100</v>
      </c>
      <c r="T45" s="1185" t="s">
        <v>1037</v>
      </c>
      <c r="U45" s="1186">
        <f t="shared" si="11"/>
        <v>100</v>
      </c>
      <c r="V45" s="1185" t="s">
        <v>1037</v>
      </c>
      <c r="W45" s="1186">
        <f t="shared" si="12"/>
        <v>100</v>
      </c>
      <c r="X45" s="1187"/>
      <c r="Y45" s="3468"/>
      <c r="Z45" s="1195">
        <f t="shared" si="13"/>
        <v>111</v>
      </c>
      <c r="AA45" s="1194">
        <f t="shared" si="3"/>
        <v>1</v>
      </c>
      <c r="AB45" s="1194">
        <f t="shared" si="4"/>
        <v>1</v>
      </c>
      <c r="AC45" s="1194">
        <f t="shared" si="5"/>
        <v>1</v>
      </c>
    </row>
    <row r="46" spans="1:29" ht="15">
      <c r="A46" s="1069" t="s">
        <v>1504</v>
      </c>
      <c r="B46" s="1070" t="s">
        <v>1526</v>
      </c>
      <c r="C46" s="1071" t="s">
        <v>124</v>
      </c>
      <c r="D46" s="1072"/>
      <c r="E46" s="1332">
        <f>'案例-土地一级开发成本'!O2</f>
        <v>13018.305521472401</v>
      </c>
      <c r="F46" s="1074"/>
      <c r="G46" s="1333">
        <f>'案例-土地一级开发成本'!O4</f>
        <v>10073.753320683099</v>
      </c>
      <c r="H46" s="1076"/>
      <c r="I46" s="1332">
        <f>'案例-土地一级开发成本'!O6</f>
        <v>11916.107027724</v>
      </c>
      <c r="J46" s="1076"/>
      <c r="K46" s="1158"/>
      <c r="L46" s="1159"/>
      <c r="M46" s="1086"/>
      <c r="N46" s="1135"/>
      <c r="O46" s="1086"/>
      <c r="P46" s="3458" t="str">
        <f>A46</f>
        <v>成交单价</v>
      </c>
      <c r="Q46" s="3458"/>
      <c r="R46" s="3459">
        <f>E46</f>
        <v>13018.305521472401</v>
      </c>
      <c r="S46" s="3459"/>
      <c r="T46" s="3459">
        <f>G46</f>
        <v>10073.753320683099</v>
      </c>
      <c r="U46" s="3459"/>
      <c r="V46" s="3459">
        <f>I46</f>
        <v>11916.107027724</v>
      </c>
      <c r="W46" s="3459"/>
      <c r="X46" s="1123"/>
      <c r="Y46" s="1196"/>
      <c r="Z46" s="1123"/>
      <c r="AA46" s="1123"/>
      <c r="AB46" s="1123"/>
      <c r="AC46" s="1123"/>
    </row>
    <row r="47" spans="1:29" ht="15">
      <c r="A47" s="1077" t="s">
        <v>1088</v>
      </c>
      <c r="B47" s="1078"/>
      <c r="C47" s="1079">
        <f>R48</f>
        <v>13104</v>
      </c>
      <c r="D47" s="1080" t="s">
        <v>1089</v>
      </c>
      <c r="E47" s="1079">
        <f>R47</f>
        <v>13500</v>
      </c>
      <c r="F47" s="1081"/>
      <c r="G47" s="1082">
        <f>T47</f>
        <v>12601</v>
      </c>
      <c r="H47" s="1081"/>
      <c r="I47" s="1079">
        <f>V47</f>
        <v>13211</v>
      </c>
      <c r="J47" s="1081"/>
      <c r="K47" s="1160">
        <f>F47+H47+J47</f>
        <v>0</v>
      </c>
      <c r="L47" s="1159"/>
      <c r="M47" s="1086"/>
      <c r="N47" s="1086"/>
      <c r="O47" s="1086"/>
      <c r="P47" s="3458" t="str">
        <f>A47</f>
        <v>比较价值（元/平方米）</v>
      </c>
      <c r="Q47" s="3458"/>
      <c r="R47" s="3507">
        <f>ROUND(PRODUCT(R46,AA7:AA45),0)</f>
        <v>13500</v>
      </c>
      <c r="S47" s="3507"/>
      <c r="T47" s="3507">
        <f>ROUND(PRODUCT(T46,AB7:AB45),0)</f>
        <v>12601</v>
      </c>
      <c r="U47" s="3507"/>
      <c r="V47" s="3507">
        <f>ROUND(PRODUCT(V46,AC7:AC45),0)</f>
        <v>13211</v>
      </c>
      <c r="W47" s="3507"/>
      <c r="X47" s="1123"/>
      <c r="Y47" s="1123"/>
      <c r="Z47" s="1123"/>
      <c r="AA47" s="1123"/>
      <c r="AB47" s="1123"/>
      <c r="AC47" s="1123"/>
    </row>
    <row r="48" spans="1:29" ht="15">
      <c r="A48" s="1083" t="s">
        <v>1527</v>
      </c>
      <c r="B48" s="1084"/>
      <c r="C48" s="1085">
        <f>R48</f>
        <v>13104</v>
      </c>
      <c r="D48" s="1085"/>
      <c r="E48" s="1085"/>
      <c r="F48" s="1085"/>
      <c r="G48" s="1085"/>
      <c r="H48" s="1085"/>
      <c r="I48" s="1085"/>
      <c r="J48" s="1085"/>
      <c r="K48" s="1161"/>
      <c r="L48" s="1159"/>
      <c r="M48" s="1086"/>
      <c r="N48" s="1086"/>
      <c r="O48" s="1086"/>
      <c r="P48" s="3471" t="str">
        <f>A48</f>
        <v>估价对象XX用房的比较价值（楼面单价，元/平方米）</v>
      </c>
      <c r="Q48" s="3472"/>
      <c r="R48" s="3508">
        <f>ROUND(IF(D47="简单平均",AVERAGE(R47:W47),R47*F47+T47*H47+V47*J47),0)</f>
        <v>13104</v>
      </c>
      <c r="S48" s="3508"/>
      <c r="T48" s="3508"/>
      <c r="U48" s="3508"/>
      <c r="V48" s="3508"/>
      <c r="W48" s="3508"/>
      <c r="X48" s="1123"/>
      <c r="Y48" s="1123"/>
      <c r="Z48" s="1123"/>
      <c r="AA48" s="1123"/>
      <c r="AB48" s="1123"/>
      <c r="AC48" s="1123"/>
    </row>
    <row r="49" spans="1:29">
      <c r="A49" s="1086"/>
      <c r="B49" s="1086"/>
      <c r="C49" s="1086">
        <f>C48*0.25</f>
        <v>3276</v>
      </c>
      <c r="D49" s="1086"/>
      <c r="E49" s="1086"/>
      <c r="F49" s="1086"/>
      <c r="G49" s="1087"/>
      <c r="H49" s="1086"/>
      <c r="I49" s="1086"/>
      <c r="J49" s="1086"/>
      <c r="K49" s="1163"/>
      <c r="L49" s="116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334">
        <f>C48-C49</f>
        <v>9828</v>
      </c>
      <c r="D50" s="1086"/>
      <c r="E50" s="1086"/>
      <c r="F50" s="1086"/>
      <c r="G50" s="1086"/>
      <c r="H50" s="1086"/>
      <c r="I50" s="1086"/>
      <c r="J50" s="1086"/>
      <c r="K50" s="1163"/>
      <c r="L50" s="1164"/>
      <c r="M50" s="1086"/>
      <c r="N50" s="1086"/>
      <c r="O50" s="1086"/>
      <c r="P50" s="1086"/>
      <c r="Q50" s="1086"/>
      <c r="R50" s="1086"/>
      <c r="S50" s="1086"/>
      <c r="T50" s="1086"/>
      <c r="U50" s="1086"/>
      <c r="V50" s="1086"/>
      <c r="W50" s="1086"/>
      <c r="X50" s="1086"/>
      <c r="Y50" s="1086"/>
      <c r="Z50" s="1086"/>
      <c r="AA50" s="1086"/>
      <c r="AB50" s="1086"/>
      <c r="AC50" s="1086"/>
    </row>
    <row r="51" spans="1:29" ht="13.5" customHeight="1">
      <c r="A51" s="1086"/>
      <c r="B51" s="1086"/>
      <c r="C51" s="1088" t="s">
        <v>1091</v>
      </c>
      <c r="D51" s="788"/>
      <c r="E51" s="1089">
        <f>IF(E46&lt;E47,E47/E46-1,E46/E47-1)</f>
        <v>3.7001319237214947E-2</v>
      </c>
      <c r="F51" s="1090" t="str">
        <f>IF(OR(E51&gt;=0.3,E51&lt;=-0.3),"超过30%","")</f>
        <v/>
      </c>
      <c r="G51" s="1089">
        <f>IF(G46&lt;G47,G47/G46-1,G46/G47-1)</f>
        <v>0.25087438602730527</v>
      </c>
      <c r="H51" s="1090" t="str">
        <f>IF(OR(G51&gt;=0.3,G51&lt;=-0.3),"超过30%","")</f>
        <v/>
      </c>
      <c r="I51" s="1089">
        <f>IF(I46&lt;I47,I47/I46-1,I46/I47-1)</f>
        <v>0.10866745064166539</v>
      </c>
      <c r="J51" s="1090" t="str">
        <f>IF(OR(I51&gt;=0.3,I51&lt;=-0.3),"超过30%","")</f>
        <v/>
      </c>
      <c r="K51" s="1163"/>
      <c r="L51" s="1164"/>
      <c r="M51" s="1086"/>
      <c r="N51" s="1086"/>
      <c r="O51" s="1086"/>
      <c r="P51" s="1086"/>
      <c r="Q51" s="1086"/>
      <c r="R51" s="1086"/>
      <c r="S51" s="1086"/>
      <c r="T51" s="1086"/>
      <c r="U51" s="1086"/>
      <c r="V51" s="1086"/>
      <c r="W51" s="1086"/>
      <c r="X51" s="1086"/>
      <c r="Y51" s="1086"/>
      <c r="Z51" s="1086"/>
      <c r="AA51" s="1086"/>
      <c r="AB51" s="1086"/>
      <c r="AC51" s="1086"/>
    </row>
    <row r="52" spans="1:29" ht="13.5" customHeight="1">
      <c r="A52" s="1086"/>
      <c r="B52" s="1086"/>
      <c r="C52" s="1088" t="s">
        <v>1092</v>
      </c>
      <c r="D52" s="787"/>
      <c r="E52" s="1089">
        <f>IF(E47&lt;G47,G47/E47-1,E47/G47-1)</f>
        <v>7.1343544163161576E-2</v>
      </c>
      <c r="F52" s="1090" t="str">
        <f>IF(OR(E52&gt;=0.2,E52&lt;=-0.2),"超过20%","")</f>
        <v/>
      </c>
      <c r="G52" s="1089">
        <f>IF(G47&lt;I47,I47/G47-1,G47/I47-1)</f>
        <v>4.8408856439965176E-2</v>
      </c>
      <c r="H52" s="1090" t="str">
        <f>IF(OR(G52&gt;=0.2,G52&lt;=-0.2),"超过20%","")</f>
        <v/>
      </c>
      <c r="I52" s="1089">
        <f>IF(I47&lt;E47,E47/I47-1,I47/E47-1)</f>
        <v>2.1875709635909457E-2</v>
      </c>
      <c r="J52" s="1090" t="str">
        <f>IF(OR(I52&gt;=0.2,I52&lt;=-0.2),"超过20%","")</f>
        <v/>
      </c>
      <c r="K52" s="1163"/>
      <c r="L52" s="1164"/>
      <c r="M52" s="1086"/>
      <c r="N52" s="1086"/>
      <c r="O52" s="1086"/>
      <c r="P52" s="1086"/>
      <c r="Q52" s="1086"/>
      <c r="R52" s="1086"/>
      <c r="S52" s="1086"/>
      <c r="T52" s="1086"/>
      <c r="U52" s="1086"/>
      <c r="V52" s="1086"/>
      <c r="W52" s="1086"/>
      <c r="X52" s="1086"/>
      <c r="Y52" s="1086"/>
      <c r="Z52" s="1086"/>
      <c r="AA52" s="1086"/>
      <c r="AB52" s="1086"/>
      <c r="AC52" s="1086"/>
    </row>
    <row r="53" spans="1:29" s="973" customFormat="1" ht="13.5" customHeight="1">
      <c r="A53" s="1091"/>
      <c r="B53" s="1091"/>
      <c r="C53" s="1088" t="s">
        <v>1093</v>
      </c>
      <c r="D53" s="787"/>
      <c r="E53" s="1089">
        <f>IF(E46&lt;G46,G46/E46-1,E46/G46-1)</f>
        <v>0.292299414831175</v>
      </c>
      <c r="F53" s="1090" t="str">
        <f>IF(OR(E53&gt;=0.3,E53&lt;=-0.3),"超过30%","")</f>
        <v/>
      </c>
      <c r="G53" s="1089">
        <f>IF(G46&lt;I46,I46/G46-1,G46/I46-1)</f>
        <v>0.18288652187445101</v>
      </c>
      <c r="H53" s="1090" t="str">
        <f>IF(OR(G53&gt;=0.3,G53&lt;=-0.3),"超过30%","")</f>
        <v/>
      </c>
      <c r="I53" s="1089">
        <f>IF(I46&lt;E46,E46/I46-1,I46/E46-1)</f>
        <v>9.2496525180914002E-2</v>
      </c>
      <c r="J53" s="1090" t="str">
        <f>IF(OR(I53&gt;=0.3,I53&lt;=-0.3),"超过30%","")</f>
        <v/>
      </c>
      <c r="K53" s="1165"/>
      <c r="L53" s="1166"/>
      <c r="M53" s="1091"/>
      <c r="N53" s="1091"/>
      <c r="O53" s="1091"/>
      <c r="P53" s="1091"/>
      <c r="Q53" s="1091"/>
      <c r="R53" s="1091"/>
      <c r="S53" s="1091"/>
      <c r="T53" s="1091"/>
      <c r="U53" s="1091"/>
      <c r="V53" s="1091"/>
      <c r="W53" s="1091"/>
      <c r="X53" s="1091"/>
      <c r="Y53" s="1091"/>
      <c r="Z53" s="1091"/>
      <c r="AA53" s="1091"/>
      <c r="AB53" s="1091"/>
      <c r="AC53" s="1091"/>
    </row>
    <row r="54" spans="1:29" s="973" customFormat="1">
      <c r="A54" s="1091"/>
      <c r="B54" s="1092"/>
      <c r="C54" s="1093"/>
      <c r="D54" s="1094"/>
      <c r="E54" s="1094"/>
      <c r="F54" s="1094"/>
      <c r="G54" s="1094"/>
      <c r="H54" s="1094"/>
      <c r="I54" s="1094"/>
      <c r="J54" s="1094"/>
      <c r="K54" s="1165"/>
      <c r="L54" s="1166"/>
      <c r="M54" s="1091"/>
      <c r="N54" s="1091"/>
      <c r="O54" s="1091"/>
      <c r="P54" s="1091"/>
      <c r="Q54" s="1091"/>
      <c r="R54" s="1091"/>
      <c r="S54" s="1091"/>
      <c r="T54" s="1091"/>
      <c r="U54" s="1091"/>
      <c r="V54" s="1091"/>
      <c r="W54" s="1091"/>
      <c r="X54" s="1091"/>
      <c r="Y54" s="1091"/>
      <c r="Z54" s="1091"/>
      <c r="AA54" s="1091"/>
      <c r="AB54" s="1091"/>
      <c r="AC54" s="1091"/>
    </row>
    <row r="55" spans="1:29" ht="27" customHeight="1">
      <c r="A55" s="1095" t="s">
        <v>1528</v>
      </c>
      <c r="B55" s="1096" t="s">
        <v>1529</v>
      </c>
      <c r="C55" s="1097" t="s">
        <v>1530</v>
      </c>
      <c r="D55" s="1098" t="s">
        <v>1531</v>
      </c>
      <c r="E55" s="1099" t="s">
        <v>1532</v>
      </c>
      <c r="F55" s="1335" t="s">
        <v>1533</v>
      </c>
      <c r="G55" s="3443" t="s">
        <v>1534</v>
      </c>
      <c r="H55" s="3509"/>
      <c r="I55" s="1344" t="s">
        <v>1535</v>
      </c>
      <c r="J55" s="1345">
        <f>项目基本情况!F35</f>
        <v>0</v>
      </c>
      <c r="K55" s="1168" t="s">
        <v>1536</v>
      </c>
      <c r="L55" s="1164"/>
      <c r="M55" s="1086"/>
      <c r="N55" s="1086"/>
      <c r="O55" s="1086"/>
      <c r="P55" s="1086"/>
      <c r="Q55" s="1086"/>
      <c r="R55" s="1086"/>
      <c r="S55" s="1086"/>
      <c r="T55" s="1086"/>
      <c r="U55" s="1086"/>
      <c r="V55" s="1086"/>
      <c r="W55" s="1086"/>
      <c r="X55" s="1086"/>
      <c r="Y55" s="1086"/>
      <c r="Z55" s="1086"/>
      <c r="AA55" s="1086"/>
      <c r="AB55" s="1086"/>
      <c r="AC55" s="1086"/>
    </row>
    <row r="56" spans="1:29" s="974" customFormat="1">
      <c r="A56" s="1101" t="s">
        <v>1537</v>
      </c>
      <c r="B56" s="1102">
        <f>C48</f>
        <v>13104</v>
      </c>
      <c r="C56" s="1103">
        <v>1</v>
      </c>
      <c r="D56" s="1104">
        <v>1</v>
      </c>
      <c r="E56" s="1103">
        <f>'数据-汇总表'!E8+'数据-汇总表'!E9</f>
        <v>1</v>
      </c>
      <c r="F56" s="1336">
        <f t="shared" ref="F56:F65" si="15">ROUND(B56*E56/10000,0)</f>
        <v>1</v>
      </c>
      <c r="G56" s="3460"/>
      <c r="H56" s="3458"/>
      <c r="I56" s="1346">
        <v>1</v>
      </c>
      <c r="J56" s="1347">
        <v>1</v>
      </c>
      <c r="K56" s="1091"/>
      <c r="L56" s="1169"/>
      <c r="M56" s="1169"/>
      <c r="N56" s="1169"/>
      <c r="O56" s="1169"/>
      <c r="P56" s="1169"/>
      <c r="Q56" s="1169"/>
      <c r="R56" s="1169"/>
      <c r="S56" s="1169"/>
      <c r="T56" s="1169"/>
      <c r="U56" s="1169"/>
      <c r="V56" s="1169"/>
      <c r="W56" s="1169"/>
      <c r="X56" s="1169"/>
      <c r="Y56" s="1169"/>
      <c r="Z56" s="1169"/>
      <c r="AA56" s="1169"/>
      <c r="AB56" s="1169"/>
      <c r="AC56" s="1169"/>
    </row>
    <row r="57" spans="1:29" s="974" customFormat="1">
      <c r="A57" s="1106" t="s">
        <v>1538</v>
      </c>
      <c r="B57" s="255">
        <f>ROUND($C$48*C57*D57,0)</f>
        <v>0</v>
      </c>
      <c r="C57" s="691">
        <f t="shared" ref="C57:C65" si="16">IF($C$55="北京市系数",I57,J57)</f>
        <v>0</v>
      </c>
      <c r="D57" s="1107">
        <v>0.25</v>
      </c>
      <c r="E57" s="1108"/>
      <c r="F57" s="1336">
        <f t="shared" si="15"/>
        <v>0</v>
      </c>
      <c r="G57" s="3506" t="s">
        <v>1539</v>
      </c>
      <c r="H57" s="1110">
        <f>项目基本情况!B37</f>
        <v>0</v>
      </c>
      <c r="I57" s="1346">
        <f>SUMIF(修正!A45:A56,H57,修正!B45:B56)</f>
        <v>0</v>
      </c>
      <c r="J57" s="1348"/>
      <c r="K57" s="1086"/>
      <c r="L57" s="1169"/>
      <c r="M57" s="1169"/>
      <c r="N57" s="1169"/>
      <c r="O57" s="1169"/>
      <c r="P57" s="1169"/>
      <c r="Q57" s="1169"/>
      <c r="R57" s="1169"/>
      <c r="S57" s="1169"/>
      <c r="T57" s="1169"/>
      <c r="U57" s="1169"/>
      <c r="V57" s="1169"/>
      <c r="W57" s="1169"/>
      <c r="X57" s="1169"/>
      <c r="Y57" s="1169"/>
      <c r="Z57" s="1169"/>
      <c r="AA57" s="1169"/>
      <c r="AB57" s="1169"/>
      <c r="AC57" s="1169"/>
    </row>
    <row r="58" spans="1:29" s="974" customFormat="1">
      <c r="A58" s="1106" t="s">
        <v>1540</v>
      </c>
      <c r="B58" s="255">
        <f t="shared" ref="B58:B65" si="17">ROUND($C$48*C58*D58,0)</f>
        <v>0</v>
      </c>
      <c r="C58" s="691">
        <f t="shared" si="16"/>
        <v>0</v>
      </c>
      <c r="D58" s="1107">
        <v>0.25</v>
      </c>
      <c r="E58" s="1108"/>
      <c r="F58" s="1336">
        <f t="shared" si="15"/>
        <v>0</v>
      </c>
      <c r="G58" s="3506"/>
      <c r="H58" s="1110">
        <f>项目基本情况!B37</f>
        <v>0</v>
      </c>
      <c r="I58" s="1346">
        <f>SUMIF(修正!A45:A56,H58,修正!C45:C56)</f>
        <v>0</v>
      </c>
      <c r="J58" s="1348"/>
      <c r="K58" s="1091"/>
      <c r="L58" s="1169"/>
      <c r="M58" s="1169"/>
      <c r="N58" s="1169"/>
      <c r="O58" s="1169"/>
      <c r="P58" s="1169"/>
      <c r="Q58" s="1169"/>
      <c r="R58" s="1169"/>
      <c r="S58" s="1169"/>
      <c r="T58" s="1169"/>
      <c r="U58" s="1169"/>
      <c r="V58" s="1169"/>
      <c r="W58" s="1169"/>
      <c r="X58" s="1169"/>
      <c r="Y58" s="1169"/>
      <c r="Z58" s="1169"/>
      <c r="AA58" s="1169"/>
      <c r="AB58" s="1169"/>
      <c r="AC58" s="1169"/>
    </row>
    <row r="59" spans="1:29" s="974" customFormat="1">
      <c r="A59" s="1106" t="s">
        <v>1541</v>
      </c>
      <c r="B59" s="255">
        <f t="shared" si="17"/>
        <v>0</v>
      </c>
      <c r="C59" s="691">
        <f t="shared" si="16"/>
        <v>0</v>
      </c>
      <c r="D59" s="1107">
        <v>0.25</v>
      </c>
      <c r="E59" s="1108"/>
      <c r="F59" s="1336">
        <f t="shared" si="15"/>
        <v>0</v>
      </c>
      <c r="G59" s="3506"/>
      <c r="H59" s="1110">
        <f>项目基本情况!B37</f>
        <v>0</v>
      </c>
      <c r="I59" s="1346">
        <f>SUMIF(修正!A45:A56,H59,修正!D45:D56)</f>
        <v>0</v>
      </c>
      <c r="J59" s="1348"/>
      <c r="K59" s="1086"/>
      <c r="L59" s="1169"/>
      <c r="M59" s="1169"/>
      <c r="N59" s="1169"/>
      <c r="O59" s="1169"/>
      <c r="P59" s="1169"/>
      <c r="Q59" s="1169"/>
      <c r="R59" s="1169"/>
      <c r="S59" s="1169"/>
      <c r="T59" s="1169"/>
      <c r="U59" s="1169"/>
      <c r="V59" s="1169"/>
      <c r="W59" s="1169"/>
      <c r="X59" s="1169"/>
      <c r="Y59" s="1169"/>
      <c r="Z59" s="1169"/>
      <c r="AA59" s="1169"/>
      <c r="AB59" s="1169"/>
      <c r="AC59" s="1169"/>
    </row>
    <row r="60" spans="1:29" s="974" customFormat="1">
      <c r="A60" s="1106" t="s">
        <v>1542</v>
      </c>
      <c r="B60" s="255">
        <f t="shared" si="17"/>
        <v>0</v>
      </c>
      <c r="C60" s="691">
        <f t="shared" si="16"/>
        <v>0</v>
      </c>
      <c r="D60" s="1107">
        <v>0.25</v>
      </c>
      <c r="E60" s="1108"/>
      <c r="F60" s="1336">
        <f t="shared" si="15"/>
        <v>0</v>
      </c>
      <c r="G60" s="3506"/>
      <c r="H60" s="1110">
        <f>项目基本情况!B37</f>
        <v>0</v>
      </c>
      <c r="I60" s="1346">
        <f>SUMIF(修正!A45:A56,H60,修正!E45:E56)</f>
        <v>0</v>
      </c>
      <c r="J60" s="1348"/>
      <c r="K60" s="1091"/>
      <c r="L60" s="1169"/>
      <c r="M60" s="1169"/>
      <c r="N60" s="1169"/>
      <c r="O60" s="1169"/>
      <c r="P60" s="1169"/>
      <c r="Q60" s="1169"/>
      <c r="R60" s="1169"/>
      <c r="S60" s="1169"/>
      <c r="T60" s="1169"/>
      <c r="U60" s="1169"/>
      <c r="V60" s="1169"/>
      <c r="W60" s="1169"/>
      <c r="X60" s="1169"/>
      <c r="Y60" s="1169"/>
      <c r="Z60" s="1169"/>
      <c r="AA60" s="1169"/>
      <c r="AB60" s="1169"/>
      <c r="AC60" s="1169"/>
    </row>
    <row r="61" spans="1:29" s="974" customFormat="1">
      <c r="A61" s="1106" t="s">
        <v>1543</v>
      </c>
      <c r="B61" s="255">
        <f t="shared" si="17"/>
        <v>0</v>
      </c>
      <c r="C61" s="691">
        <f t="shared" si="16"/>
        <v>0</v>
      </c>
      <c r="D61" s="1107">
        <v>0.25</v>
      </c>
      <c r="E61" s="254">
        <f>'数据-汇总表'!E11</f>
        <v>0</v>
      </c>
      <c r="F61" s="1336">
        <f t="shared" si="15"/>
        <v>0</v>
      </c>
      <c r="G61" s="1109" t="s">
        <v>1544</v>
      </c>
      <c r="H61" s="1110">
        <f>项目基本情况!C37</f>
        <v>0</v>
      </c>
      <c r="I61" s="1346">
        <f>SUMIF(修正!A45:A56,H61,修正!F45:F56)</f>
        <v>0</v>
      </c>
      <c r="J61" s="1348"/>
      <c r="K61" s="1086"/>
      <c r="L61" s="1169"/>
      <c r="M61" s="1169"/>
      <c r="N61" s="1169"/>
      <c r="O61" s="1169"/>
      <c r="P61" s="1169"/>
      <c r="Q61" s="1169"/>
      <c r="R61" s="1169"/>
      <c r="S61" s="1169"/>
      <c r="T61" s="1169"/>
      <c r="U61" s="1169"/>
      <c r="V61" s="1169"/>
      <c r="W61" s="1169"/>
      <c r="X61" s="1169"/>
      <c r="Y61" s="1169"/>
      <c r="Z61" s="1169"/>
      <c r="AA61" s="1169"/>
      <c r="AB61" s="1169"/>
      <c r="AC61" s="1169"/>
    </row>
    <row r="62" spans="1:29" s="974" customFormat="1">
      <c r="A62" s="1106" t="s">
        <v>1545</v>
      </c>
      <c r="B62" s="255">
        <f t="shared" si="17"/>
        <v>0</v>
      </c>
      <c r="C62" s="691">
        <f t="shared" si="16"/>
        <v>0</v>
      </c>
      <c r="D62" s="1107">
        <v>0.25</v>
      </c>
      <c r="E62" s="254">
        <f>'数据-汇总表'!E12</f>
        <v>0</v>
      </c>
      <c r="F62" s="1336">
        <f t="shared" si="15"/>
        <v>0</v>
      </c>
      <c r="G62" s="1111" t="s">
        <v>1546</v>
      </c>
      <c r="H62" s="1110">
        <f>IF(G62="商业",项目基本情况!B37,IF(G62="办公",项目基本情况!C37,IF(G62="住宅",项目基本情况!D37,项目基本情况!E37)))</f>
        <v>0</v>
      </c>
      <c r="I62" s="1346">
        <f>SUMIF(修正!A45:A56,H62,修正!G45:G56)</f>
        <v>0</v>
      </c>
      <c r="J62" s="1348"/>
      <c r="K62" s="1091"/>
      <c r="L62" s="1169"/>
      <c r="M62" s="1169"/>
      <c r="N62" s="1169"/>
      <c r="O62" s="1169"/>
      <c r="P62" s="1169"/>
      <c r="Q62" s="1169"/>
      <c r="R62" s="1169"/>
      <c r="S62" s="1169"/>
      <c r="T62" s="1169"/>
      <c r="U62" s="1169"/>
      <c r="V62" s="1169"/>
      <c r="W62" s="1169"/>
      <c r="X62" s="1169"/>
      <c r="Y62" s="1169"/>
      <c r="Z62" s="1169"/>
      <c r="AA62" s="1169"/>
      <c r="AB62" s="1169"/>
      <c r="AC62" s="1169"/>
    </row>
    <row r="63" spans="1:29" s="974" customFormat="1">
      <c r="A63" s="1106" t="s">
        <v>1547</v>
      </c>
      <c r="B63" s="255">
        <f t="shared" si="17"/>
        <v>655</v>
      </c>
      <c r="C63" s="691">
        <f t="shared" si="16"/>
        <v>0.2</v>
      </c>
      <c r="D63" s="1107">
        <v>0.25</v>
      </c>
      <c r="E63" s="254">
        <f>'数据-汇总表'!E13</f>
        <v>0</v>
      </c>
      <c r="F63" s="1336">
        <f t="shared" si="15"/>
        <v>0</v>
      </c>
      <c r="G63" s="1111" t="s">
        <v>1548</v>
      </c>
      <c r="H63" s="1110" t="str">
        <f>IF(G63="商业",项目基本情况!B37,IF(G63="办公",项目基本情况!C37,IF(G63="住宅",项目基本情况!D37,项目基本情况!E37)))</f>
        <v>七级</v>
      </c>
      <c r="I63" s="1346">
        <f>SUMIF(修正!A45:A56,H63,修正!H45:H56)</f>
        <v>0.2</v>
      </c>
      <c r="J63" s="1348"/>
      <c r="K63" s="1086"/>
      <c r="L63" s="1169"/>
      <c r="M63" s="1169"/>
      <c r="N63" s="1169"/>
      <c r="O63" s="1169"/>
      <c r="P63" s="1169"/>
      <c r="Q63" s="1169"/>
      <c r="R63" s="1169"/>
      <c r="S63" s="1169"/>
      <c r="T63" s="1169"/>
      <c r="U63" s="1169"/>
      <c r="V63" s="1169"/>
      <c r="W63" s="1169"/>
      <c r="X63" s="1169"/>
      <c r="Y63" s="1169"/>
      <c r="Z63" s="1169"/>
      <c r="AA63" s="1169"/>
      <c r="AB63" s="1169"/>
      <c r="AC63" s="1169"/>
    </row>
    <row r="64" spans="1:29" s="974" customFormat="1">
      <c r="A64" s="1106" t="s">
        <v>1549</v>
      </c>
      <c r="B64" s="255">
        <f t="shared" si="17"/>
        <v>0</v>
      </c>
      <c r="C64" s="691">
        <f t="shared" si="16"/>
        <v>0</v>
      </c>
      <c r="D64" s="1107">
        <v>0.25</v>
      </c>
      <c r="E64" s="254">
        <f>'数据-汇总表'!E14</f>
        <v>0</v>
      </c>
      <c r="F64" s="1336">
        <f t="shared" si="15"/>
        <v>0</v>
      </c>
      <c r="G64" s="1109" t="s">
        <v>1539</v>
      </c>
      <c r="H64" s="1110">
        <f>项目基本情况!B37</f>
        <v>0</v>
      </c>
      <c r="I64" s="1346">
        <f>SUMIF(修正!A45:A56,H64,修正!H45:H56)</f>
        <v>0</v>
      </c>
      <c r="J64" s="1348"/>
      <c r="K64" s="1091"/>
      <c r="L64" s="1169"/>
      <c r="M64" s="1169"/>
      <c r="N64" s="1169"/>
      <c r="O64" s="1169"/>
      <c r="P64" s="1169"/>
      <c r="Q64" s="1169"/>
      <c r="R64" s="1169"/>
      <c r="S64" s="1169"/>
      <c r="T64" s="1169"/>
      <c r="U64" s="1169"/>
      <c r="V64" s="1169"/>
      <c r="W64" s="1169"/>
      <c r="X64" s="1169"/>
      <c r="Y64" s="1169"/>
      <c r="Z64" s="1169"/>
      <c r="AA64" s="1169"/>
      <c r="AB64" s="1169"/>
      <c r="AC64" s="1169"/>
    </row>
    <row r="65" spans="1:29" s="974" customFormat="1">
      <c r="A65" s="1106" t="s">
        <v>1550</v>
      </c>
      <c r="B65" s="255">
        <f t="shared" si="17"/>
        <v>0</v>
      </c>
      <c r="C65" s="691">
        <f t="shared" si="16"/>
        <v>0</v>
      </c>
      <c r="D65" s="1107">
        <v>0.25</v>
      </c>
      <c r="E65" s="254">
        <f>'数据-汇总表'!E15</f>
        <v>0</v>
      </c>
      <c r="F65" s="1336">
        <f t="shared" si="15"/>
        <v>0</v>
      </c>
      <c r="G65" s="1112" t="s">
        <v>1544</v>
      </c>
      <c r="H65" s="1113">
        <f>项目基本情况!C37</f>
        <v>0</v>
      </c>
      <c r="I65" s="1355">
        <f>SUMIF(修正!A45:A56,H65,修正!H45:H56)</f>
        <v>0</v>
      </c>
      <c r="J65" s="1356"/>
      <c r="K65" s="1086"/>
      <c r="L65" s="1169"/>
      <c r="M65" s="1169"/>
      <c r="N65" s="1169"/>
      <c r="O65" s="1169"/>
      <c r="P65" s="1169"/>
      <c r="Q65" s="1169"/>
      <c r="R65" s="1169"/>
      <c r="S65" s="1169"/>
      <c r="T65" s="1169"/>
      <c r="U65" s="1169"/>
      <c r="V65" s="1169"/>
      <c r="W65" s="1169"/>
      <c r="X65" s="1169"/>
      <c r="Y65" s="1169"/>
      <c r="Z65" s="1169"/>
      <c r="AA65" s="1169"/>
      <c r="AB65" s="1169"/>
      <c r="AC65" s="1169"/>
    </row>
    <row r="66" spans="1:29" s="974" customFormat="1" ht="12.75">
      <c r="A66" s="1114" t="s">
        <v>1551</v>
      </c>
      <c r="B66" s="1115" t="s">
        <v>1482</v>
      </c>
      <c r="C66" s="1115" t="s">
        <v>1482</v>
      </c>
      <c r="D66" s="1115" t="s">
        <v>1482</v>
      </c>
      <c r="E66" s="1115">
        <f>IF(B46="楼面地价",SUM(E56:E65),'数据-汇总表'!D3)</f>
        <v>1</v>
      </c>
      <c r="F66" s="1116">
        <f>IF(B46="楼面地价",SUM(F56:F65),ROUND(C48*E66/10000,0))</f>
        <v>1</v>
      </c>
      <c r="G66" s="1350"/>
      <c r="H66" s="1350"/>
      <c r="I66" s="1350"/>
      <c r="J66" s="1350"/>
      <c r="K66" s="1357"/>
      <c r="L66" s="1169"/>
      <c r="M66" s="1169"/>
      <c r="N66" s="1169"/>
      <c r="O66" s="1169"/>
      <c r="P66" s="1169"/>
      <c r="Q66" s="1169"/>
      <c r="R66" s="1169"/>
      <c r="S66" s="1169"/>
      <c r="T66" s="1169"/>
      <c r="U66" s="1169"/>
      <c r="V66" s="1169"/>
      <c r="W66" s="1169"/>
      <c r="X66" s="1169"/>
      <c r="Y66" s="1169"/>
      <c r="Z66" s="1169"/>
      <c r="AA66" s="1169"/>
      <c r="AB66" s="1169"/>
      <c r="AC66" s="1169"/>
    </row>
    <row r="67" spans="1:29">
      <c r="A67" s="1123"/>
      <c r="B67" s="1121"/>
      <c r="C67" s="1093"/>
      <c r="D67" s="1123"/>
      <c r="E67" s="1123"/>
      <c r="F67" s="1123"/>
      <c r="G67" s="1123"/>
      <c r="H67" s="1123"/>
      <c r="I67" s="1123"/>
      <c r="J67" s="1118"/>
      <c r="K67" s="1171"/>
      <c r="L67" s="1172"/>
      <c r="M67" s="1118"/>
      <c r="N67" s="1118"/>
      <c r="O67" s="1118"/>
      <c r="P67" s="1086"/>
      <c r="Q67" s="1086"/>
      <c r="R67" s="1086"/>
      <c r="S67" s="1086"/>
      <c r="T67" s="1086"/>
      <c r="U67" s="1086"/>
      <c r="V67" s="1086"/>
      <c r="W67" s="1086"/>
      <c r="X67" s="1086"/>
      <c r="Y67" s="1086"/>
      <c r="Z67" s="1086"/>
      <c r="AA67" s="1086"/>
      <c r="AB67" s="1086"/>
      <c r="AC67" s="1086"/>
    </row>
    <row r="68" spans="1:29">
      <c r="A68" s="1123"/>
      <c r="B68" s="1121"/>
      <c r="C68" s="1121" t="str">
        <f>YEAR(C7)&amp;"-"&amp;MONTH(C7)&amp;"-1"</f>
        <v>2021-5-1</v>
      </c>
      <c r="D68" s="1121">
        <f>EDATE(C68,-3)</f>
        <v>44228</v>
      </c>
      <c r="E68" s="1121">
        <f>EDATE(D68,-3)</f>
        <v>44136</v>
      </c>
      <c r="F68" s="1121">
        <f t="shared" ref="F68:O68" si="18">EDATE(E68,-3)</f>
        <v>44044</v>
      </c>
      <c r="G68" s="1121">
        <f t="shared" si="18"/>
        <v>43952</v>
      </c>
      <c r="H68" s="1121">
        <f t="shared" si="18"/>
        <v>43862</v>
      </c>
      <c r="I68" s="1121">
        <f t="shared" si="18"/>
        <v>43770</v>
      </c>
      <c r="J68" s="1121">
        <f t="shared" si="18"/>
        <v>43678</v>
      </c>
      <c r="K68" s="1121">
        <f t="shared" si="18"/>
        <v>43586</v>
      </c>
      <c r="L68" s="1121">
        <f t="shared" si="18"/>
        <v>43497</v>
      </c>
      <c r="M68" s="1121">
        <f t="shared" si="18"/>
        <v>43405</v>
      </c>
      <c r="N68" s="1121">
        <f t="shared" si="18"/>
        <v>43313</v>
      </c>
      <c r="O68" s="1121">
        <f t="shared" si="18"/>
        <v>43221</v>
      </c>
      <c r="P68" s="1086"/>
      <c r="Q68" s="1086"/>
      <c r="R68" s="1086"/>
      <c r="S68" s="1086"/>
      <c r="T68" s="1086"/>
      <c r="U68" s="1086"/>
      <c r="V68" s="1086"/>
      <c r="W68" s="1086"/>
      <c r="X68" s="1086"/>
      <c r="Y68" s="1086"/>
      <c r="Z68" s="1086"/>
      <c r="AA68" s="1086"/>
      <c r="AB68" s="1086"/>
      <c r="AC68" s="1086"/>
    </row>
    <row r="69" spans="1:29" ht="21">
      <c r="A69" s="1122" t="s">
        <v>1094</v>
      </c>
      <c r="B69" s="1123"/>
      <c r="C69" s="1124"/>
      <c r="D69" s="1124"/>
      <c r="E69" s="1124"/>
      <c r="F69" s="1125"/>
      <c r="G69" s="1125"/>
      <c r="H69" s="1124"/>
      <c r="I69" s="1124"/>
      <c r="J69" s="1175"/>
      <c r="K69" s="1358"/>
      <c r="L69" s="1359"/>
      <c r="M69" s="1175"/>
      <c r="N69" s="1176"/>
      <c r="O69" s="1176"/>
      <c r="P69" s="1176"/>
      <c r="Q69" s="1188"/>
      <c r="R69" s="1086"/>
      <c r="S69" s="1086"/>
      <c r="T69" s="1086"/>
      <c r="U69" s="1086"/>
      <c r="V69" s="1086"/>
      <c r="W69" s="1086"/>
      <c r="X69" s="1086"/>
      <c r="Y69" s="1086"/>
      <c r="Z69" s="1086"/>
      <c r="AA69" s="1086"/>
      <c r="AB69" s="1086"/>
      <c r="AC69" s="1086"/>
    </row>
    <row r="70" spans="1:29" s="975" customFormat="1" ht="15">
      <c r="A70" s="1197" t="s">
        <v>1552</v>
      </c>
      <c r="B70" s="1198"/>
      <c r="C70" s="1199" t="str">
        <f>YEAR(C68)&amp;"-"&amp;ROUNDUP(MONTH(C68)/3,0)</f>
        <v>2021-2</v>
      </c>
      <c r="D70" s="1199" t="str">
        <f>YEAR(D68)&amp;"-"&amp;ROUNDUP(MONTH(D68)/3,0)</f>
        <v>2021-1</v>
      </c>
      <c r="E70" s="1199" t="str">
        <f t="shared" ref="E70:O70" si="19">YEAR(E68)&amp;"-"&amp;ROUNDUP(MONTH(E68)/3,0)</f>
        <v>2020-4</v>
      </c>
      <c r="F70" s="1199" t="str">
        <f t="shared" si="19"/>
        <v>2020-3</v>
      </c>
      <c r="G70" s="1199" t="str">
        <f t="shared" si="19"/>
        <v>2020-2</v>
      </c>
      <c r="H70" s="1199" t="str">
        <f t="shared" si="19"/>
        <v>2020-1</v>
      </c>
      <c r="I70" s="1199" t="str">
        <f t="shared" si="19"/>
        <v>2019-4</v>
      </c>
      <c r="J70" s="1199" t="str">
        <f t="shared" si="19"/>
        <v>2019-3</v>
      </c>
      <c r="K70" s="1199" t="str">
        <f t="shared" si="19"/>
        <v>2019-2</v>
      </c>
      <c r="L70" s="1199" t="str">
        <f t="shared" si="19"/>
        <v>2019-1</v>
      </c>
      <c r="M70" s="1199" t="str">
        <f t="shared" si="19"/>
        <v>2018-4</v>
      </c>
      <c r="N70" s="1199" t="str">
        <f t="shared" si="19"/>
        <v>2018-3</v>
      </c>
      <c r="O70" s="1199" t="str">
        <f t="shared" si="19"/>
        <v>2018-2</v>
      </c>
      <c r="P70" s="1251" t="s">
        <v>1553</v>
      </c>
      <c r="Q70" s="1307"/>
      <c r="R70" s="1307"/>
      <c r="S70" s="1307"/>
      <c r="T70" s="1307"/>
      <c r="U70" s="1307"/>
      <c r="V70" s="1307"/>
      <c r="W70" s="1307"/>
      <c r="X70" s="1307"/>
      <c r="Y70" s="1307"/>
      <c r="Z70" s="1307"/>
      <c r="AA70" s="1307"/>
      <c r="AB70" s="1307"/>
      <c r="AC70" s="1307"/>
    </row>
    <row r="71" spans="1:29" s="970" customFormat="1" ht="30" customHeight="1">
      <c r="A71" s="1351" t="s">
        <v>1554</v>
      </c>
      <c r="B71" s="1201" t="str">
        <f>"北京市平均增长率"&amp;TEXT(SUMIF(基准地价修正!N21:N25,A71,基准地价修正!P21:P25),"0.00%")</f>
        <v>北京市平均增长率1.94%</v>
      </c>
      <c r="C71" s="905">
        <v>100</v>
      </c>
      <c r="D71" s="1202">
        <v>100</v>
      </c>
      <c r="E71" s="1202">
        <v>99</v>
      </c>
      <c r="F71" s="1202">
        <v>99</v>
      </c>
      <c r="G71" s="1202">
        <v>99</v>
      </c>
      <c r="H71" s="1202">
        <v>99</v>
      </c>
      <c r="I71" s="1202">
        <v>98</v>
      </c>
      <c r="J71" s="1202">
        <v>98</v>
      </c>
      <c r="K71" s="1202">
        <v>98</v>
      </c>
      <c r="L71" s="1202">
        <v>98</v>
      </c>
      <c r="M71" s="1202">
        <v>97</v>
      </c>
      <c r="N71" s="1202">
        <v>97</v>
      </c>
      <c r="O71" s="1360">
        <v>97</v>
      </c>
      <c r="P71" s="1360">
        <v>97</v>
      </c>
      <c r="Q71" s="1308"/>
      <c r="R71" s="1308"/>
      <c r="S71" s="1308"/>
      <c r="T71" s="1308"/>
      <c r="U71" s="1308"/>
      <c r="V71" s="1308"/>
      <c r="W71" s="1308"/>
      <c r="X71" s="1308"/>
      <c r="Y71" s="1308"/>
      <c r="Z71" s="1308"/>
      <c r="AA71" s="1308"/>
      <c r="AB71" s="1308"/>
      <c r="AC71" s="1308"/>
    </row>
    <row r="72" spans="1:29" s="970" customFormat="1" ht="15">
      <c r="A72" s="1203" t="s">
        <v>1095</v>
      </c>
      <c r="B72" s="1204"/>
      <c r="C72" s="1205"/>
      <c r="D72" s="1206"/>
      <c r="E72" s="1206"/>
      <c r="F72" s="1206"/>
      <c r="G72" s="1206"/>
      <c r="H72" s="1206"/>
      <c r="I72" s="1206"/>
      <c r="J72" s="1206"/>
      <c r="K72" s="1206"/>
      <c r="L72" s="1206"/>
      <c r="M72" s="1254"/>
      <c r="N72" s="1206"/>
      <c r="O72" s="1361"/>
      <c r="P72" s="1188"/>
      <c r="Q72" s="1188"/>
      <c r="R72" s="1308"/>
      <c r="S72" s="1308"/>
      <c r="T72" s="1308"/>
      <c r="U72" s="1308"/>
      <c r="V72" s="1308"/>
      <c r="W72" s="1308"/>
      <c r="X72" s="1308"/>
      <c r="Y72" s="1308"/>
      <c r="Z72" s="1308"/>
      <c r="AA72" s="1308"/>
      <c r="AB72" s="1308"/>
      <c r="AC72" s="1308"/>
    </row>
    <row r="73" spans="1:29" s="970" customFormat="1" ht="15">
      <c r="A73" s="1207" t="s">
        <v>1038</v>
      </c>
      <c r="B73" s="1208"/>
      <c r="C73" s="1209" t="s">
        <v>1039</v>
      </c>
      <c r="D73" s="1210"/>
      <c r="E73" s="1210"/>
      <c r="F73" s="1210"/>
      <c r="G73" s="1210"/>
      <c r="H73" s="1210"/>
      <c r="I73" s="1210"/>
      <c r="J73" s="1210"/>
      <c r="K73" s="1210"/>
      <c r="L73" s="1256"/>
      <c r="M73" s="1257"/>
      <c r="N73" s="1258"/>
      <c r="O73" s="1258"/>
      <c r="P73" s="1259"/>
      <c r="Q73" s="1188"/>
      <c r="R73" s="1308"/>
      <c r="S73" s="1308"/>
      <c r="T73" s="1308"/>
      <c r="U73" s="1308"/>
      <c r="V73" s="1308"/>
      <c r="W73" s="1308"/>
      <c r="X73" s="1308"/>
      <c r="Y73" s="1308"/>
      <c r="Z73" s="1308"/>
      <c r="AA73" s="1308"/>
      <c r="AB73" s="1308"/>
      <c r="AC73" s="1308"/>
    </row>
    <row r="74" spans="1:29" s="970" customFormat="1" ht="15">
      <c r="A74" s="1207"/>
      <c r="B74" s="1208"/>
      <c r="C74" s="1211">
        <v>100</v>
      </c>
      <c r="D74" s="1212"/>
      <c r="E74" s="1212"/>
      <c r="F74" s="1212"/>
      <c r="G74" s="1212"/>
      <c r="H74" s="1212"/>
      <c r="I74" s="1212"/>
      <c r="J74" s="1212"/>
      <c r="K74" s="1212"/>
      <c r="L74" s="1212"/>
      <c r="M74" s="1260"/>
      <c r="N74" s="1258"/>
      <c r="O74" s="1258"/>
      <c r="P74" s="1188"/>
      <c r="Q74" s="1188"/>
      <c r="R74" s="1308"/>
      <c r="S74" s="1308"/>
      <c r="T74" s="1308"/>
      <c r="U74" s="1308"/>
      <c r="V74" s="1308"/>
      <c r="W74" s="1308"/>
      <c r="X74" s="1308"/>
      <c r="Y74" s="1308"/>
      <c r="Z74" s="1308"/>
      <c r="AA74" s="1308"/>
      <c r="AB74" s="1308"/>
      <c r="AC74" s="1308"/>
    </row>
    <row r="75" spans="1:29" ht="27.75">
      <c r="A75" s="1213" t="s">
        <v>1096</v>
      </c>
      <c r="B75" s="1214" t="s">
        <v>1043</v>
      </c>
      <c r="C75" s="1352" t="s">
        <v>1513</v>
      </c>
      <c r="D75" s="1156" t="s">
        <v>1555</v>
      </c>
      <c r="E75" s="1156" t="s">
        <v>1556</v>
      </c>
      <c r="F75" s="1156"/>
      <c r="G75" s="1156"/>
      <c r="H75" s="1156"/>
      <c r="I75" s="1156"/>
      <c r="J75" s="1156"/>
      <c r="K75" s="1261"/>
      <c r="L75" s="1262"/>
      <c r="M75" s="1263"/>
      <c r="N75" s="1264"/>
      <c r="O75" s="1264"/>
      <c r="P75" s="1265"/>
      <c r="Q75" s="1188"/>
      <c r="R75" s="1086"/>
      <c r="S75" s="1086"/>
      <c r="T75" s="1086"/>
      <c r="U75" s="1086"/>
      <c r="V75" s="1086"/>
      <c r="W75" s="1086"/>
      <c r="X75" s="1086"/>
      <c r="Y75" s="1086"/>
      <c r="Z75" s="1086"/>
      <c r="AA75" s="1086"/>
      <c r="AB75" s="1086"/>
      <c r="AC75" s="1086"/>
    </row>
    <row r="76" spans="1:29" ht="15">
      <c r="A76" s="1215"/>
      <c r="B76" s="1216"/>
      <c r="C76" s="1217">
        <v>100</v>
      </c>
      <c r="D76" s="1217">
        <v>98</v>
      </c>
      <c r="E76" s="1217">
        <v>96</v>
      </c>
      <c r="F76" s="1217"/>
      <c r="G76" s="1217"/>
      <c r="H76" s="1217"/>
      <c r="I76" s="1217"/>
      <c r="J76" s="1217"/>
      <c r="K76" s="1217"/>
      <c r="L76" s="1217"/>
      <c r="M76" s="1266"/>
      <c r="N76" s="1267"/>
      <c r="O76" s="1267"/>
      <c r="P76" s="1265"/>
      <c r="Q76" s="1188"/>
      <c r="R76" s="1086"/>
      <c r="S76" s="1086"/>
      <c r="T76" s="1086"/>
      <c r="U76" s="1086"/>
      <c r="V76" s="1086"/>
      <c r="W76" s="1086"/>
      <c r="X76" s="1086"/>
      <c r="Y76" s="1086"/>
      <c r="Z76" s="1086"/>
      <c r="AA76" s="1086"/>
      <c r="AB76" s="1086"/>
      <c r="AC76" s="1086"/>
    </row>
    <row r="77" spans="1:29" ht="27">
      <c r="A77" s="1215"/>
      <c r="B77" s="1218" t="s">
        <v>1047</v>
      </c>
      <c r="C77" s="1219"/>
      <c r="D77" s="1219"/>
      <c r="E77" s="1219"/>
      <c r="F77" s="1219"/>
      <c r="G77" s="1219"/>
      <c r="H77" s="1219"/>
      <c r="I77" s="1219"/>
      <c r="J77" s="1219"/>
      <c r="K77" s="1268"/>
      <c r="L77" s="1269"/>
      <c r="M77" s="1270"/>
      <c r="N77" s="1264"/>
      <c r="O77" s="1264"/>
      <c r="P77" s="1265"/>
      <c r="Q77" s="1188"/>
      <c r="R77" s="1086"/>
      <c r="S77" s="1086"/>
      <c r="T77" s="1086"/>
      <c r="U77" s="1086"/>
      <c r="V77" s="1086"/>
      <c r="W77" s="1086"/>
      <c r="X77" s="1086"/>
      <c r="Y77" s="1086"/>
      <c r="Z77" s="1086"/>
      <c r="AA77" s="1086"/>
      <c r="AB77" s="1086"/>
      <c r="AC77" s="1086"/>
    </row>
    <row r="78" spans="1:29" ht="15">
      <c r="A78" s="1215"/>
      <c r="B78" s="1220"/>
      <c r="C78" s="1221"/>
      <c r="D78" s="1221"/>
      <c r="E78" s="1221"/>
      <c r="F78" s="1221"/>
      <c r="G78" s="1221"/>
      <c r="H78" s="1221"/>
      <c r="I78" s="1221"/>
      <c r="J78" s="1221"/>
      <c r="K78" s="1221"/>
      <c r="L78" s="1221"/>
      <c r="M78" s="1271"/>
      <c r="N78" s="1267"/>
      <c r="O78" s="1267"/>
      <c r="P78" s="1265"/>
      <c r="Q78" s="1188"/>
      <c r="R78" s="1086"/>
      <c r="S78" s="1086"/>
      <c r="T78" s="1086"/>
      <c r="U78" s="1086"/>
      <c r="V78" s="1086"/>
      <c r="W78" s="1086"/>
      <c r="X78" s="1086"/>
      <c r="Y78" s="1086"/>
      <c r="Z78" s="1086"/>
      <c r="AA78" s="1086"/>
      <c r="AB78" s="1086"/>
      <c r="AC78" s="1086"/>
    </row>
    <row r="79" spans="1:29" ht="15">
      <c r="A79" s="1215"/>
      <c r="B79" s="1222" t="s">
        <v>1049</v>
      </c>
      <c r="C79" s="1223" t="str">
        <f>C80&amp;"（含）"&amp;"-"&amp;D80</f>
        <v>0（含）-0.5</v>
      </c>
      <c r="D79" s="1223" t="str">
        <f t="shared" ref="D79:L79" si="20">D80&amp;"（含）"&amp;"-"&amp;E80</f>
        <v>0.5（含）-1</v>
      </c>
      <c r="E79" s="1223" t="str">
        <f t="shared" si="20"/>
        <v>1（含）-1.5</v>
      </c>
      <c r="F79" s="1223" t="str">
        <f t="shared" si="20"/>
        <v>1.5（含）-2</v>
      </c>
      <c r="G79" s="1223" t="str">
        <f t="shared" si="20"/>
        <v>2（含）-2.5</v>
      </c>
      <c r="H79" s="1223" t="str">
        <f t="shared" si="20"/>
        <v>2.5（含）-3</v>
      </c>
      <c r="I79" s="1223" t="str">
        <f t="shared" si="20"/>
        <v>3（含）-</v>
      </c>
      <c r="J79" s="1223" t="str">
        <f t="shared" si="20"/>
        <v>（含）-</v>
      </c>
      <c r="K79" s="1223" t="str">
        <f t="shared" si="20"/>
        <v>（含）-</v>
      </c>
      <c r="L79" s="1223" t="str">
        <f t="shared" si="20"/>
        <v>（含）-</v>
      </c>
      <c r="M79" s="1032" t="str">
        <f>M80&amp;"（含）"&amp;"-"&amp;P80</f>
        <v>（含）-</v>
      </c>
      <c r="N79" s="1267"/>
      <c r="O79" s="1267"/>
      <c r="P79" s="1265"/>
      <c r="Q79" s="1188"/>
      <c r="R79" s="1086"/>
      <c r="S79" s="1086"/>
      <c r="T79" s="1086"/>
      <c r="U79" s="1086"/>
      <c r="V79" s="1086"/>
      <c r="W79" s="1086"/>
      <c r="X79" s="1086"/>
      <c r="Y79" s="1086"/>
      <c r="Z79" s="1086"/>
      <c r="AA79" s="1086"/>
      <c r="AB79" s="1086"/>
      <c r="AC79" s="1086"/>
    </row>
    <row r="80" spans="1:29" ht="15">
      <c r="A80" s="1215"/>
      <c r="B80" s="1224"/>
      <c r="C80" s="1017">
        <v>0</v>
      </c>
      <c r="D80" s="1017">
        <v>0.5</v>
      </c>
      <c r="E80" s="1017">
        <v>1</v>
      </c>
      <c r="F80" s="1017">
        <v>1.5</v>
      </c>
      <c r="G80" s="1017">
        <v>2</v>
      </c>
      <c r="H80" s="1017">
        <v>2.5</v>
      </c>
      <c r="I80" s="1017">
        <v>3</v>
      </c>
      <c r="J80" s="1017"/>
      <c r="K80" s="1272"/>
      <c r="L80" s="1273"/>
      <c r="M80" s="1274"/>
      <c r="N80" s="1264"/>
      <c r="O80" s="1264"/>
      <c r="P80" s="1265"/>
      <c r="Q80" s="1188"/>
      <c r="R80" s="1086"/>
      <c r="S80" s="1086"/>
      <c r="T80" s="1086"/>
      <c r="U80" s="1086"/>
      <c r="V80" s="1086"/>
      <c r="W80" s="1086"/>
      <c r="X80" s="1086"/>
      <c r="Y80" s="1086"/>
      <c r="Z80" s="1086"/>
      <c r="AA80" s="1086"/>
      <c r="AB80" s="1086"/>
      <c r="AC80" s="1086"/>
    </row>
    <row r="81" spans="1:29" ht="15">
      <c r="A81" s="1215"/>
      <c r="B81" s="1216"/>
      <c r="C81" s="1221">
        <v>100</v>
      </c>
      <c r="D81" s="1221">
        <f t="shared" ref="D81:M81" si="21">IF($B$46="单位面积地价",C81+$K11,C81-$K11)</f>
        <v>99.5</v>
      </c>
      <c r="E81" s="1221">
        <f t="shared" si="21"/>
        <v>99</v>
      </c>
      <c r="F81" s="1221">
        <f t="shared" si="21"/>
        <v>98.5</v>
      </c>
      <c r="G81" s="1221">
        <f t="shared" si="21"/>
        <v>98</v>
      </c>
      <c r="H81" s="1221">
        <f t="shared" si="21"/>
        <v>97.5</v>
      </c>
      <c r="I81" s="1221">
        <f t="shared" si="21"/>
        <v>97</v>
      </c>
      <c r="J81" s="1221">
        <f t="shared" si="21"/>
        <v>96.5</v>
      </c>
      <c r="K81" s="1221">
        <f t="shared" si="21"/>
        <v>96</v>
      </c>
      <c r="L81" s="1221">
        <f t="shared" si="21"/>
        <v>95.5</v>
      </c>
      <c r="M81" s="1221">
        <f t="shared" si="21"/>
        <v>95</v>
      </c>
      <c r="N81" s="1267"/>
      <c r="O81" s="1267"/>
      <c r="P81" s="1265"/>
      <c r="Q81" s="1188"/>
      <c r="R81" s="1086"/>
      <c r="S81" s="1086"/>
      <c r="T81" s="1086"/>
      <c r="U81" s="1086"/>
      <c r="V81" s="1086"/>
      <c r="W81" s="1086"/>
      <c r="X81" s="1086"/>
      <c r="Y81" s="1086"/>
      <c r="Z81" s="1086"/>
      <c r="AA81" s="1086"/>
      <c r="AB81" s="1086"/>
      <c r="AC81" s="1086"/>
    </row>
    <row r="82" spans="1:29" s="972" customFormat="1" ht="36" customHeight="1">
      <c r="A82" s="1225"/>
      <c r="B82" s="1218" t="str">
        <f>B12</f>
        <v>项目类型</v>
      </c>
      <c r="C82" s="1353" t="str">
        <f>C12</f>
        <v>企业利用自有用地建设共有产权房</v>
      </c>
      <c r="D82" s="1353" t="str">
        <f>I12</f>
        <v>一级开发</v>
      </c>
      <c r="E82" s="1353"/>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pans="1:29" s="972" customFormat="1" ht="15">
      <c r="A83" s="1225"/>
      <c r="B83" s="1220"/>
      <c r="C83" s="1228">
        <v>100</v>
      </c>
      <c r="D83" s="1217">
        <v>101</v>
      </c>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pans="1:29" s="972" customFormat="1" ht="15">
      <c r="A84" s="1225"/>
      <c r="B84" s="1218">
        <f>B13</f>
        <v>111</v>
      </c>
      <c r="C84" s="1226"/>
      <c r="D84" s="1226"/>
      <c r="E84" s="1226"/>
      <c r="F84" s="1226"/>
      <c r="G84" s="1226"/>
      <c r="H84" s="1227"/>
      <c r="I84" s="1227"/>
      <c r="J84" s="1227"/>
      <c r="K84" s="1227"/>
      <c r="L84" s="1275"/>
      <c r="M84" s="1276"/>
      <c r="N84" s="1277"/>
      <c r="O84" s="1277"/>
      <c r="P84" s="1154"/>
      <c r="Q84" s="1311"/>
      <c r="R84" s="1310"/>
      <c r="S84" s="1310"/>
      <c r="T84" s="1310"/>
      <c r="U84" s="1310"/>
      <c r="V84" s="1310"/>
      <c r="W84" s="1310"/>
      <c r="X84" s="1310"/>
      <c r="Y84" s="1310"/>
      <c r="Z84" s="1310"/>
      <c r="AA84" s="1310"/>
      <c r="AB84" s="1310"/>
      <c r="AC84" s="1310"/>
    </row>
    <row r="85" spans="1:29" s="972" customFormat="1" ht="15">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pans="1:29" s="972" customFormat="1" ht="15">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pans="1:29" s="972" customFormat="1" ht="15">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1051</v>
      </c>
      <c r="B88" s="1214" t="s">
        <v>1052</v>
      </c>
      <c r="C88" s="1235" t="s">
        <v>1104</v>
      </c>
      <c r="D88" s="1235" t="s">
        <v>1105</v>
      </c>
      <c r="E88" s="1235" t="s">
        <v>1106</v>
      </c>
      <c r="F88" s="1235" t="s">
        <v>1107</v>
      </c>
      <c r="G88" s="1235" t="s">
        <v>1108</v>
      </c>
      <c r="H88" s="1236"/>
      <c r="I88" s="1236"/>
      <c r="J88" s="1236"/>
      <c r="K88" s="1284"/>
      <c r="L88" s="1285"/>
      <c r="M88" s="1286"/>
      <c r="N88" s="1264"/>
      <c r="O88" s="1264"/>
      <c r="P88" s="1287"/>
      <c r="Q88" s="1188"/>
      <c r="R88" s="1086"/>
      <c r="S88" s="1086"/>
      <c r="T88" s="1086"/>
      <c r="U88" s="1086"/>
      <c r="V88" s="1086"/>
      <c r="W88" s="1086"/>
      <c r="X88" s="1086"/>
      <c r="Y88" s="1086"/>
      <c r="Z88" s="1086"/>
      <c r="AA88" s="1086"/>
      <c r="AB88" s="1086"/>
      <c r="AC88" s="1086"/>
    </row>
    <row r="89" spans="1:29" ht="15">
      <c r="A89" s="1215"/>
      <c r="B89" s="1220"/>
      <c r="C89" s="1221">
        <v>100</v>
      </c>
      <c r="D89" s="1221">
        <f>C89-$K15</f>
        <v>97</v>
      </c>
      <c r="E89" s="1221">
        <f>D89-$K15</f>
        <v>94</v>
      </c>
      <c r="F89" s="1221">
        <f>E89-$K15</f>
        <v>91</v>
      </c>
      <c r="G89" s="1221">
        <f>F89-$K15</f>
        <v>88</v>
      </c>
      <c r="H89" s="1221"/>
      <c r="I89" s="1221"/>
      <c r="J89" s="1221"/>
      <c r="K89" s="1221"/>
      <c r="L89" s="1221"/>
      <c r="M89" s="1271"/>
      <c r="N89" s="1267"/>
      <c r="O89" s="1267"/>
      <c r="P89" s="1265"/>
      <c r="Q89" s="1188"/>
      <c r="R89" s="1086"/>
      <c r="S89" s="1086"/>
      <c r="T89" s="1086"/>
      <c r="U89" s="1086"/>
      <c r="V89" s="1086"/>
      <c r="W89" s="1086"/>
      <c r="X89" s="1086"/>
      <c r="Y89" s="1086"/>
      <c r="Z89" s="1086"/>
      <c r="AA89" s="1086"/>
      <c r="AB89" s="1086"/>
      <c r="AC89" s="1086"/>
    </row>
    <row r="90" spans="1:29" ht="15">
      <c r="A90" s="1215"/>
      <c r="B90" s="1218" t="s">
        <v>1472</v>
      </c>
      <c r="C90" s="1237" t="s">
        <v>1104</v>
      </c>
      <c r="D90" s="1237" t="s">
        <v>1105</v>
      </c>
      <c r="E90" s="1237" t="s">
        <v>1106</v>
      </c>
      <c r="F90" s="1237" t="s">
        <v>1107</v>
      </c>
      <c r="G90" s="1237" t="s">
        <v>1108</v>
      </c>
      <c r="H90" s="1219"/>
      <c r="I90" s="1219"/>
      <c r="J90" s="1219"/>
      <c r="K90" s="1268"/>
      <c r="L90" s="1269"/>
      <c r="M90" s="1270"/>
      <c r="N90" s="1264"/>
      <c r="O90" s="1264"/>
      <c r="P90" s="1265"/>
      <c r="Q90" s="1188"/>
      <c r="R90" s="1086"/>
      <c r="S90" s="1086"/>
      <c r="T90" s="1086"/>
      <c r="U90" s="1086"/>
      <c r="V90" s="1086"/>
      <c r="W90" s="1086"/>
      <c r="X90" s="1086"/>
      <c r="Y90" s="1086"/>
      <c r="Z90" s="1086"/>
      <c r="AA90" s="1086"/>
      <c r="AB90" s="1086"/>
      <c r="AC90" s="1086"/>
    </row>
    <row r="91" spans="1:29" ht="15">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8"/>
      <c r="R91" s="1086"/>
      <c r="S91" s="1086"/>
      <c r="T91" s="1086"/>
      <c r="U91" s="1086"/>
      <c r="V91" s="1086"/>
      <c r="W91" s="1086"/>
      <c r="X91" s="1086"/>
      <c r="Y91" s="1086"/>
      <c r="Z91" s="1086"/>
      <c r="AA91" s="1086"/>
      <c r="AB91" s="1086"/>
      <c r="AC91" s="1086"/>
    </row>
    <row r="92" spans="1:29" ht="15">
      <c r="A92" s="1215"/>
      <c r="B92" s="1218" t="s">
        <v>1485</v>
      </c>
      <c r="C92" s="1237" t="s">
        <v>1104</v>
      </c>
      <c r="D92" s="1237" t="s">
        <v>1105</v>
      </c>
      <c r="E92" s="1237" t="s">
        <v>1106</v>
      </c>
      <c r="F92" s="1237" t="s">
        <v>1107</v>
      </c>
      <c r="G92" s="1237" t="s">
        <v>1108</v>
      </c>
      <c r="H92" s="1219"/>
      <c r="I92" s="1219"/>
      <c r="J92" s="1219"/>
      <c r="K92" s="1268"/>
      <c r="L92" s="1269"/>
      <c r="M92" s="1270"/>
      <c r="N92" s="1264"/>
      <c r="O92" s="1264"/>
      <c r="P92" s="1265"/>
      <c r="Q92" s="1188"/>
      <c r="R92" s="1086"/>
      <c r="S92" s="1086"/>
      <c r="T92" s="1086"/>
      <c r="U92" s="1086"/>
      <c r="V92" s="1086"/>
      <c r="W92" s="1086"/>
      <c r="X92" s="1086"/>
      <c r="Y92" s="1086"/>
      <c r="Z92" s="1086"/>
      <c r="AA92" s="1086"/>
      <c r="AB92" s="1086"/>
      <c r="AC92" s="1086"/>
    </row>
    <row r="93" spans="1:29" ht="15">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8"/>
      <c r="R93" s="1086"/>
      <c r="S93" s="1086"/>
      <c r="T93" s="1086"/>
      <c r="U93" s="1086"/>
      <c r="V93" s="1086"/>
      <c r="W93" s="1086"/>
      <c r="X93" s="1086"/>
      <c r="Y93" s="1086"/>
      <c r="Z93" s="1086"/>
      <c r="AA93" s="1086"/>
      <c r="AB93" s="1086"/>
      <c r="AC93" s="1086"/>
    </row>
    <row r="94" spans="1:29" ht="15">
      <c r="A94" s="1215"/>
      <c r="B94" s="1218" t="s">
        <v>1056</v>
      </c>
      <c r="C94" s="1237" t="s">
        <v>1104</v>
      </c>
      <c r="D94" s="1237" t="s">
        <v>1105</v>
      </c>
      <c r="E94" s="1237" t="s">
        <v>1106</v>
      </c>
      <c r="F94" s="1237" t="s">
        <v>1107</v>
      </c>
      <c r="G94" s="1237" t="s">
        <v>1108</v>
      </c>
      <c r="H94" s="1219"/>
      <c r="I94" s="1219"/>
      <c r="J94" s="1219"/>
      <c r="K94" s="1268"/>
      <c r="L94" s="1269"/>
      <c r="M94" s="1270"/>
      <c r="N94" s="1264"/>
      <c r="O94" s="1264"/>
      <c r="P94" s="1265"/>
      <c r="Q94" s="1188"/>
      <c r="R94" s="1086"/>
      <c r="S94" s="1086"/>
      <c r="T94" s="1086"/>
      <c r="U94" s="1086"/>
      <c r="V94" s="1086"/>
      <c r="W94" s="1086"/>
      <c r="X94" s="1086"/>
      <c r="Y94" s="1086"/>
      <c r="Z94" s="1086"/>
      <c r="AA94" s="1086"/>
      <c r="AB94" s="1086"/>
      <c r="AC94" s="1086"/>
    </row>
    <row r="95" spans="1:29" ht="15">
      <c r="A95" s="1215"/>
      <c r="B95" s="1220"/>
      <c r="C95" s="1221">
        <v>100</v>
      </c>
      <c r="D95" s="1221">
        <f>C95-$K21</f>
        <v>97</v>
      </c>
      <c r="E95" s="1221">
        <f>D95-$K21</f>
        <v>94</v>
      </c>
      <c r="F95" s="1221">
        <f>E95-$K21</f>
        <v>91</v>
      </c>
      <c r="G95" s="1221">
        <f>F95-$K21</f>
        <v>88</v>
      </c>
      <c r="H95" s="1221"/>
      <c r="I95" s="1221"/>
      <c r="J95" s="1221"/>
      <c r="K95" s="1221"/>
      <c r="L95" s="1221"/>
      <c r="M95" s="1271"/>
      <c r="N95" s="1267"/>
      <c r="O95" s="1267"/>
      <c r="P95" s="1265"/>
      <c r="Q95" s="1188"/>
      <c r="R95" s="1086"/>
      <c r="S95" s="1086"/>
      <c r="T95" s="1086"/>
      <c r="U95" s="1086"/>
      <c r="V95" s="1086"/>
      <c r="W95" s="1086"/>
      <c r="X95" s="1086"/>
      <c r="Y95" s="1086"/>
      <c r="Z95" s="1086"/>
      <c r="AA95" s="1086"/>
      <c r="AB95" s="1086"/>
      <c r="AC95" s="1086"/>
    </row>
    <row r="96" spans="1:29" s="970" customFormat="1" ht="15">
      <c r="A96" s="1238"/>
      <c r="B96" s="1218" t="s">
        <v>1515</v>
      </c>
      <c r="C96" s="1237" t="s">
        <v>1104</v>
      </c>
      <c r="D96" s="1237" t="s">
        <v>1105</v>
      </c>
      <c r="E96" s="1237" t="s">
        <v>1106</v>
      </c>
      <c r="F96" s="1237" t="s">
        <v>1107</v>
      </c>
      <c r="G96" s="1237" t="s">
        <v>1108</v>
      </c>
      <c r="H96" s="1237"/>
      <c r="I96" s="1237"/>
      <c r="J96" s="1237"/>
      <c r="K96" s="1237"/>
      <c r="L96" s="1288"/>
      <c r="M96" s="1289"/>
      <c r="N96" s="1258"/>
      <c r="O96" s="1258"/>
      <c r="P96" s="1265"/>
      <c r="Q96" s="1188"/>
      <c r="R96" s="1308"/>
      <c r="S96" s="1308"/>
      <c r="T96" s="1308"/>
      <c r="U96" s="1308"/>
      <c r="V96" s="1308"/>
      <c r="W96" s="1308"/>
      <c r="X96" s="1308"/>
      <c r="Y96" s="1308"/>
      <c r="Z96" s="1308"/>
      <c r="AA96" s="1308"/>
      <c r="AB96" s="1308"/>
      <c r="AC96" s="1308"/>
    </row>
    <row r="97" spans="1:29" s="970" customFormat="1" ht="15">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8"/>
      <c r="R97" s="1308"/>
      <c r="S97" s="1308"/>
      <c r="T97" s="1308"/>
      <c r="U97" s="1308"/>
      <c r="V97" s="1308"/>
      <c r="W97" s="1308"/>
      <c r="X97" s="1308"/>
      <c r="Y97" s="1308"/>
      <c r="Z97" s="1308"/>
      <c r="AA97" s="1308"/>
      <c r="AB97" s="1308"/>
      <c r="AC97" s="1308"/>
    </row>
    <row r="98" spans="1:29" s="970" customFormat="1" ht="27">
      <c r="A98" s="1238"/>
      <c r="B98" s="1218" t="s">
        <v>1516</v>
      </c>
      <c r="C98" s="1235" t="s">
        <v>1104</v>
      </c>
      <c r="D98" s="1235" t="s">
        <v>1105</v>
      </c>
      <c r="E98" s="1235" t="s">
        <v>1106</v>
      </c>
      <c r="F98" s="1235" t="s">
        <v>1107</v>
      </c>
      <c r="G98" s="1235" t="s">
        <v>1108</v>
      </c>
      <c r="H98" s="1237"/>
      <c r="I98" s="1237"/>
      <c r="J98" s="1237"/>
      <c r="K98" s="1237"/>
      <c r="L98" s="1237"/>
      <c r="M98" s="1289"/>
      <c r="N98" s="1258"/>
      <c r="O98" s="1258"/>
      <c r="P98" s="1265"/>
      <c r="Q98" s="1188"/>
      <c r="R98" s="1308"/>
      <c r="S98" s="1308"/>
      <c r="T98" s="1308"/>
      <c r="U98" s="1308"/>
      <c r="V98" s="1308"/>
      <c r="W98" s="1308"/>
      <c r="X98" s="1308"/>
      <c r="Y98" s="1308"/>
      <c r="Z98" s="1308"/>
      <c r="AA98" s="1308"/>
      <c r="AB98" s="1308"/>
      <c r="AC98" s="1308"/>
    </row>
    <row r="99" spans="1:29" s="970" customFormat="1" ht="15">
      <c r="A99" s="1238"/>
      <c r="B99" s="1220"/>
      <c r="C99" s="1221">
        <v>100</v>
      </c>
      <c r="D99" s="1221">
        <f>C99-$K25</f>
        <v>98</v>
      </c>
      <c r="E99" s="1221">
        <f>D99-$K25</f>
        <v>96</v>
      </c>
      <c r="F99" s="1221">
        <f>E99-$K25</f>
        <v>94</v>
      </c>
      <c r="G99" s="1221">
        <f>F99-$K25</f>
        <v>92</v>
      </c>
      <c r="H99" s="1221"/>
      <c r="I99" s="1221"/>
      <c r="J99" s="1221"/>
      <c r="K99" s="1221"/>
      <c r="L99" s="1221"/>
      <c r="M99" s="1271"/>
      <c r="N99" s="1267"/>
      <c r="O99" s="1267"/>
      <c r="P99" s="1265"/>
      <c r="Q99" s="1188"/>
      <c r="R99" s="1308"/>
      <c r="S99" s="1308"/>
      <c r="T99" s="1308"/>
      <c r="U99" s="1308"/>
      <c r="V99" s="1308"/>
      <c r="W99" s="1308"/>
      <c r="X99" s="1308"/>
      <c r="Y99" s="1308"/>
      <c r="Z99" s="1308"/>
      <c r="AA99" s="1308"/>
      <c r="AB99" s="1308"/>
      <c r="AC99" s="1308"/>
    </row>
    <row r="100" spans="1:29" s="972" customFormat="1" ht="15">
      <c r="A100" s="1225"/>
      <c r="B100" s="1218" t="s">
        <v>1057</v>
      </c>
      <c r="C100" s="1235" t="s">
        <v>1104</v>
      </c>
      <c r="D100" s="1235" t="s">
        <v>1105</v>
      </c>
      <c r="E100" s="1235" t="s">
        <v>1106</v>
      </c>
      <c r="F100" s="1235" t="s">
        <v>1107</v>
      </c>
      <c r="G100" s="1235" t="s">
        <v>1108</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pans="1:29" s="972" customFormat="1" ht="15">
      <c r="A101" s="1225"/>
      <c r="B101" s="1220"/>
      <c r="C101" s="1221">
        <v>100</v>
      </c>
      <c r="D101" s="1221">
        <f>C101-$K27</f>
        <v>95</v>
      </c>
      <c r="E101" s="1221">
        <f>D101-$K27</f>
        <v>90</v>
      </c>
      <c r="F101" s="1221">
        <f>E101-$K27</f>
        <v>85</v>
      </c>
      <c r="G101" s="1221">
        <f>F101-$K27</f>
        <v>80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pans="1:29" s="972" customFormat="1" ht="15">
      <c r="A102" s="1225"/>
      <c r="B102" s="1222" t="s">
        <v>1058</v>
      </c>
      <c r="C102" s="1242" t="s">
        <v>1109</v>
      </c>
      <c r="D102" s="1242" t="s">
        <v>1110</v>
      </c>
      <c r="E102" s="1242" t="s">
        <v>1111</v>
      </c>
      <c r="F102" s="1242" t="s">
        <v>1112</v>
      </c>
      <c r="G102" s="1242" t="s">
        <v>1113</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pans="1:29" s="972" customFormat="1" ht="15">
      <c r="A103" s="1225"/>
      <c r="B103" s="1222"/>
      <c r="C103" s="1221">
        <v>100</v>
      </c>
      <c r="D103" s="1221">
        <f>C103-$K29</f>
        <v>99</v>
      </c>
      <c r="E103" s="1221">
        <f>D103-$K29</f>
        <v>98</v>
      </c>
      <c r="F103" s="1221">
        <f>E103-$K29</f>
        <v>97</v>
      </c>
      <c r="G103" s="1221">
        <f>F103-$K29</f>
        <v>96</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spans="1:29" ht="15">
      <c r="A104" s="1215"/>
      <c r="B104" s="1218" t="str">
        <f>B31</f>
        <v>临街状况</v>
      </c>
      <c r="C104" s="1219" t="s">
        <v>1557</v>
      </c>
      <c r="D104" s="1219" t="s">
        <v>1558</v>
      </c>
      <c r="E104" s="1219" t="s">
        <v>1559</v>
      </c>
      <c r="F104" s="1219" t="s">
        <v>1560</v>
      </c>
      <c r="G104" s="1219"/>
      <c r="H104" s="1219"/>
      <c r="I104" s="1219"/>
      <c r="J104" s="1219"/>
      <c r="K104" s="1268"/>
      <c r="L104" s="1269"/>
      <c r="M104" s="1270"/>
      <c r="N104" s="1264"/>
      <c r="O104" s="1264"/>
      <c r="P104" s="1265"/>
      <c r="Q104" s="1188"/>
      <c r="R104" s="1086"/>
      <c r="S104" s="1086"/>
      <c r="T104" s="1086"/>
      <c r="U104" s="1086"/>
      <c r="V104" s="1086"/>
      <c r="W104" s="1086"/>
      <c r="X104" s="1086"/>
      <c r="Y104" s="1086"/>
      <c r="Z104" s="1086"/>
      <c r="AA104" s="1086"/>
      <c r="AB104" s="1086"/>
      <c r="AC104" s="1086"/>
    </row>
    <row r="105" spans="1:29" ht="15">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8"/>
      <c r="R105" s="1086"/>
      <c r="S105" s="1086"/>
      <c r="T105" s="1086"/>
      <c r="U105" s="1086"/>
      <c r="V105" s="1086"/>
      <c r="W105" s="1086"/>
      <c r="X105" s="1086"/>
      <c r="Y105" s="1086"/>
      <c r="Z105" s="1086"/>
      <c r="AA105" s="1086"/>
      <c r="AB105" s="1086"/>
      <c r="AC105" s="1086"/>
    </row>
    <row r="106" spans="1:29" ht="27">
      <c r="A106" s="1215"/>
      <c r="B106" s="1218" t="s">
        <v>1487</v>
      </c>
      <c r="C106" s="1353" t="s">
        <v>1561</v>
      </c>
      <c r="D106" s="1353" t="s">
        <v>1562</v>
      </c>
      <c r="E106" s="1353" t="s">
        <v>1563</v>
      </c>
      <c r="F106" s="1353" t="s">
        <v>1564</v>
      </c>
      <c r="G106" s="1353" t="s">
        <v>1565</v>
      </c>
      <c r="H106" s="1243"/>
      <c r="I106" s="1243"/>
      <c r="J106" s="1243"/>
      <c r="K106" s="1294"/>
      <c r="L106" s="1295"/>
      <c r="M106" s="1296"/>
      <c r="N106" s="1264"/>
      <c r="O106" s="1264"/>
      <c r="P106" s="1265"/>
      <c r="Q106" s="1188"/>
      <c r="R106" s="1086"/>
      <c r="S106" s="1086"/>
      <c r="T106" s="1086"/>
      <c r="U106" s="1086"/>
      <c r="V106" s="1086"/>
      <c r="W106" s="1086"/>
      <c r="X106" s="1086"/>
      <c r="Y106" s="1086"/>
      <c r="Z106" s="1086"/>
      <c r="AA106" s="1086"/>
      <c r="AB106" s="1086"/>
      <c r="AC106" s="1086"/>
    </row>
    <row r="107" spans="1:29" ht="15">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8"/>
      <c r="R107" s="1086"/>
      <c r="S107" s="1086"/>
      <c r="T107" s="1086"/>
      <c r="U107" s="1086"/>
      <c r="V107" s="1086"/>
      <c r="W107" s="1086"/>
      <c r="X107" s="1086"/>
      <c r="Y107" s="1086"/>
      <c r="Z107" s="1086"/>
      <c r="AA107" s="1086"/>
      <c r="AB107" s="1086"/>
      <c r="AC107" s="1086"/>
    </row>
    <row r="108" spans="1:29" ht="15">
      <c r="A108" s="1215"/>
      <c r="B108" s="1218" t="s">
        <v>1517</v>
      </c>
      <c r="C108" s="1354" t="s">
        <v>275</v>
      </c>
      <c r="D108" s="1354" t="s">
        <v>280</v>
      </c>
      <c r="E108" s="1354" t="s">
        <v>285</v>
      </c>
      <c r="F108" s="1354" t="s">
        <v>288</v>
      </c>
      <c r="G108" s="1243"/>
      <c r="H108" s="1243"/>
      <c r="I108" s="1243"/>
      <c r="J108" s="1243"/>
      <c r="K108" s="1294"/>
      <c r="L108" s="1295"/>
      <c r="M108" s="1296"/>
      <c r="N108" s="1264"/>
      <c r="O108" s="1264"/>
      <c r="P108" s="1265"/>
      <c r="Q108" s="1188"/>
      <c r="R108" s="1086"/>
      <c r="S108" s="1086"/>
      <c r="T108" s="1086"/>
      <c r="U108" s="1086"/>
      <c r="V108" s="1086"/>
      <c r="W108" s="1086"/>
      <c r="X108" s="1086"/>
      <c r="Y108" s="1086"/>
      <c r="Z108" s="1086"/>
      <c r="AA108" s="1086"/>
      <c r="AB108" s="1086"/>
      <c r="AC108" s="1086"/>
    </row>
    <row r="109" spans="1:29" ht="15">
      <c r="A109" s="1215"/>
      <c r="B109" s="1220"/>
      <c r="C109" s="1221">
        <v>100</v>
      </c>
      <c r="D109" s="1221">
        <f>C109-$K34</f>
        <v>99</v>
      </c>
      <c r="E109" s="1221">
        <f t="shared" ref="E109:M109" si="24">D109-$K34</f>
        <v>98</v>
      </c>
      <c r="F109" s="1221">
        <f t="shared" si="24"/>
        <v>97</v>
      </c>
      <c r="G109" s="1221">
        <f t="shared" si="24"/>
        <v>96</v>
      </c>
      <c r="H109" s="1221">
        <f t="shared" si="24"/>
        <v>95</v>
      </c>
      <c r="I109" s="1221">
        <f t="shared" si="24"/>
        <v>94</v>
      </c>
      <c r="J109" s="1221">
        <f t="shared" si="24"/>
        <v>93</v>
      </c>
      <c r="K109" s="1221">
        <f t="shared" si="24"/>
        <v>92</v>
      </c>
      <c r="L109" s="1221">
        <f t="shared" si="24"/>
        <v>91</v>
      </c>
      <c r="M109" s="1221">
        <f t="shared" si="24"/>
        <v>90</v>
      </c>
      <c r="N109" s="1267"/>
      <c r="O109" s="1267"/>
      <c r="P109" s="1265"/>
      <c r="Q109" s="1188"/>
      <c r="R109" s="1086"/>
      <c r="S109" s="1086"/>
      <c r="T109" s="1086"/>
      <c r="U109" s="1086"/>
      <c r="V109" s="1086"/>
      <c r="W109" s="1086"/>
      <c r="X109" s="1086"/>
      <c r="Y109" s="1086"/>
      <c r="Z109" s="1086"/>
      <c r="AA109" s="1086"/>
      <c r="AB109" s="1086"/>
      <c r="AC109" s="1086"/>
    </row>
    <row r="110" spans="1:29" ht="15">
      <c r="A110" s="1215"/>
      <c r="B110" s="1222">
        <f>B35</f>
        <v>111</v>
      </c>
      <c r="C110" s="1226"/>
      <c r="D110" s="1226"/>
      <c r="E110" s="1226"/>
      <c r="F110" s="1226"/>
      <c r="G110" s="1244"/>
      <c r="H110" s="1244"/>
      <c r="I110" s="1244"/>
      <c r="J110" s="1244"/>
      <c r="K110" s="1297"/>
      <c r="L110" s="1298"/>
      <c r="M110" s="1299"/>
      <c r="N110" s="1264"/>
      <c r="O110" s="1264"/>
      <c r="P110" s="1265"/>
      <c r="Q110" s="1188"/>
      <c r="R110" s="1086"/>
      <c r="S110" s="1086"/>
      <c r="T110" s="1086"/>
      <c r="U110" s="1086"/>
      <c r="V110" s="1086"/>
      <c r="W110" s="1086"/>
      <c r="X110" s="1086"/>
      <c r="Y110" s="1086"/>
      <c r="Z110" s="1086"/>
      <c r="AA110" s="1086"/>
      <c r="AB110" s="1086"/>
      <c r="AC110" s="1086"/>
    </row>
    <row r="111" spans="1:29" ht="15">
      <c r="A111" s="1215"/>
      <c r="B111" s="1232"/>
      <c r="C111" s="1228"/>
      <c r="D111" s="1228"/>
      <c r="E111" s="1228"/>
      <c r="F111" s="1228"/>
      <c r="G111" s="1245"/>
      <c r="H111" s="1245"/>
      <c r="I111" s="1245"/>
      <c r="J111" s="1245"/>
      <c r="K111" s="1245"/>
      <c r="L111" s="1245"/>
      <c r="M111" s="1300"/>
      <c r="N111" s="1267"/>
      <c r="O111" s="1267"/>
      <c r="P111" s="1265"/>
      <c r="Q111" s="1188"/>
      <c r="R111" s="1086"/>
      <c r="S111" s="1086"/>
      <c r="T111" s="1086"/>
      <c r="U111" s="1086"/>
      <c r="V111" s="1086"/>
      <c r="W111" s="1086"/>
      <c r="X111" s="1086"/>
      <c r="Y111" s="1086"/>
      <c r="Z111" s="1086"/>
      <c r="AA111" s="1086"/>
      <c r="AB111" s="1086"/>
      <c r="AC111" s="1086"/>
    </row>
    <row r="112" spans="1:29">
      <c r="A112" s="1052"/>
      <c r="B112" s="1218">
        <f>B36</f>
        <v>111</v>
      </c>
      <c r="C112" s="1210"/>
      <c r="D112" s="1210"/>
      <c r="E112" s="1210"/>
      <c r="F112" s="1210"/>
      <c r="G112" s="1243"/>
      <c r="H112" s="1243"/>
      <c r="I112" s="1243"/>
      <c r="J112" s="1243"/>
      <c r="K112" s="1294"/>
      <c r="L112" s="1295"/>
      <c r="M112" s="1296"/>
      <c r="N112" s="1264"/>
      <c r="O112" s="1264"/>
      <c r="P112" s="1265"/>
      <c r="Q112" s="1188"/>
      <c r="R112" s="1086"/>
      <c r="S112" s="1086"/>
      <c r="T112" s="1086"/>
      <c r="U112" s="1086"/>
      <c r="V112" s="1086"/>
      <c r="W112" s="1086"/>
      <c r="X112" s="1086"/>
      <c r="Y112" s="1086"/>
      <c r="Z112" s="1086"/>
      <c r="AA112" s="1086"/>
      <c r="AB112" s="1086"/>
      <c r="AC112" s="1086"/>
    </row>
    <row r="113" spans="1:29" ht="15">
      <c r="A113" s="1215"/>
      <c r="B113" s="1220"/>
      <c r="C113" s="1233"/>
      <c r="D113" s="1233"/>
      <c r="E113" s="1233"/>
      <c r="F113" s="1233"/>
      <c r="G113" s="1217"/>
      <c r="H113" s="1217"/>
      <c r="I113" s="1217"/>
      <c r="J113" s="1217"/>
      <c r="K113" s="1217"/>
      <c r="L113" s="1217"/>
      <c r="M113" s="1266"/>
      <c r="N113" s="1267"/>
      <c r="O113" s="1267"/>
      <c r="P113" s="1265"/>
      <c r="Q113" s="1188"/>
      <c r="R113" s="1086"/>
      <c r="S113" s="1086"/>
      <c r="T113" s="1086"/>
      <c r="U113" s="1086"/>
      <c r="V113" s="1086"/>
      <c r="W113" s="1086"/>
      <c r="X113" s="1086"/>
      <c r="Y113" s="1086"/>
      <c r="Z113" s="1086"/>
      <c r="AA113" s="1086"/>
      <c r="AB113" s="1086"/>
      <c r="AC113" s="1086"/>
    </row>
    <row r="114" spans="1:29" s="972" customFormat="1">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pans="1:29" s="972" customFormat="1" ht="15">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ht="28.5">
      <c r="A116" s="1213" t="s">
        <v>1065</v>
      </c>
      <c r="B116" s="1214" t="s">
        <v>1518</v>
      </c>
      <c r="C116" s="1236" t="str">
        <f>C117&amp;"(含)"&amp;"-"&amp;D117</f>
        <v>0(含)-10000</v>
      </c>
      <c r="D116" s="1236" t="str">
        <f t="shared" ref="D116:M116" si="25">D117&amp;"(含)"&amp;"-"&amp;E117</f>
        <v>10000(含)-20000</v>
      </c>
      <c r="E116" s="1236" t="str">
        <f t="shared" si="25"/>
        <v>20000(含)-30000</v>
      </c>
      <c r="F116" s="1236" t="str">
        <f t="shared" si="25"/>
        <v>30000(含)-40000</v>
      </c>
      <c r="G116" s="1236" t="str">
        <f t="shared" si="25"/>
        <v>40000(含)-50000</v>
      </c>
      <c r="H116" s="1236" t="str">
        <f t="shared" si="25"/>
        <v>50000(含)-60000</v>
      </c>
      <c r="I116" s="1236" t="str">
        <f t="shared" si="25"/>
        <v>60000(含)-70000</v>
      </c>
      <c r="J116" s="1236" t="str">
        <f t="shared" si="25"/>
        <v>70000(含)-80000</v>
      </c>
      <c r="K116" s="1236" t="str">
        <f t="shared" si="25"/>
        <v>80000(含)-90000</v>
      </c>
      <c r="L116" s="1236" t="str">
        <f t="shared" si="25"/>
        <v>90000(含)-100000</v>
      </c>
      <c r="M116" s="1236" t="str">
        <f t="shared" si="25"/>
        <v>100000(含)-</v>
      </c>
      <c r="N116" s="1264"/>
      <c r="O116" s="1264"/>
      <c r="P116" s="1265"/>
      <c r="Q116" s="1188"/>
      <c r="R116" s="1086"/>
      <c r="S116" s="1086"/>
      <c r="T116" s="1086"/>
      <c r="U116" s="1086"/>
      <c r="V116" s="1086"/>
      <c r="W116" s="1086"/>
      <c r="X116" s="1086"/>
      <c r="Y116" s="1086"/>
      <c r="Z116" s="1086"/>
      <c r="AA116" s="1086"/>
      <c r="AB116" s="1086"/>
      <c r="AC116" s="1086"/>
    </row>
    <row r="117" spans="1:29" ht="15">
      <c r="A117" s="1215"/>
      <c r="B117" s="1222"/>
      <c r="C117" s="1202">
        <v>0</v>
      </c>
      <c r="D117" s="1202">
        <v>10000</v>
      </c>
      <c r="E117" s="1202">
        <v>20000</v>
      </c>
      <c r="F117" s="1202">
        <v>30000</v>
      </c>
      <c r="G117" s="1202">
        <v>40000</v>
      </c>
      <c r="H117" s="1202">
        <v>50000</v>
      </c>
      <c r="I117" s="1202">
        <v>60000</v>
      </c>
      <c r="J117" s="1301">
        <v>70000</v>
      </c>
      <c r="K117" s="1301">
        <v>80000</v>
      </c>
      <c r="L117" s="1302">
        <v>90000</v>
      </c>
      <c r="M117" s="1303">
        <v>100000</v>
      </c>
      <c r="N117" s="1264"/>
      <c r="O117" s="1264"/>
      <c r="P117" s="1265"/>
      <c r="Q117" s="1188"/>
      <c r="R117" s="1086"/>
      <c r="S117" s="1086"/>
      <c r="T117" s="1086"/>
      <c r="U117" s="1086"/>
      <c r="V117" s="1086"/>
      <c r="W117" s="1086"/>
      <c r="X117" s="1086"/>
      <c r="Y117" s="1086"/>
      <c r="Z117" s="1086"/>
      <c r="AA117" s="1086"/>
      <c r="AB117" s="1086"/>
      <c r="AC117" s="1086"/>
    </row>
    <row r="118" spans="1:29" ht="15">
      <c r="A118" s="1215"/>
      <c r="B118" s="1220"/>
      <c r="C118" s="1233">
        <v>100</v>
      </c>
      <c r="D118" s="1245">
        <v>102.5</v>
      </c>
      <c r="E118" s="1233">
        <v>105</v>
      </c>
      <c r="F118" s="1245">
        <v>107.5</v>
      </c>
      <c r="G118" s="1233">
        <v>110</v>
      </c>
      <c r="H118" s="1245">
        <v>112.5</v>
      </c>
      <c r="I118" s="1245">
        <v>115</v>
      </c>
      <c r="J118" s="1245">
        <v>117.5</v>
      </c>
      <c r="K118" s="1245">
        <v>120</v>
      </c>
      <c r="L118" s="1245">
        <v>122.5</v>
      </c>
      <c r="M118" s="1300">
        <v>125</v>
      </c>
      <c r="N118" s="1267"/>
      <c r="O118" s="1267"/>
      <c r="P118" s="1265"/>
      <c r="Q118" s="1188"/>
      <c r="R118" s="1086"/>
      <c r="S118" s="1086"/>
      <c r="T118" s="1086"/>
      <c r="U118" s="1086"/>
      <c r="V118" s="1086"/>
      <c r="W118" s="1086"/>
      <c r="X118" s="1086"/>
      <c r="Y118" s="1086"/>
      <c r="Z118" s="1086"/>
      <c r="AA118" s="1086"/>
      <c r="AB118" s="1086"/>
      <c r="AC118" s="1086"/>
    </row>
    <row r="119" spans="1:29">
      <c r="A119" s="1249"/>
      <c r="B119" s="1218" t="s">
        <v>1519</v>
      </c>
      <c r="C119" s="1354" t="s">
        <v>1566</v>
      </c>
      <c r="D119" s="1354" t="s">
        <v>1520</v>
      </c>
      <c r="E119" s="1354" t="s">
        <v>1055</v>
      </c>
      <c r="F119" s="1354" t="s">
        <v>1567</v>
      </c>
      <c r="G119" s="1354" t="s">
        <v>1568</v>
      </c>
      <c r="H119" s="1243"/>
      <c r="I119" s="1243"/>
      <c r="J119" s="1243"/>
      <c r="K119" s="1294"/>
      <c r="L119" s="1295"/>
      <c r="M119" s="1296"/>
      <c r="N119" s="1264"/>
      <c r="O119" s="1264"/>
      <c r="P119" s="1265"/>
      <c r="Q119" s="1188"/>
      <c r="R119" s="1086"/>
      <c r="S119" s="1086"/>
      <c r="T119" s="1086"/>
      <c r="U119" s="1086"/>
      <c r="V119" s="1086"/>
      <c r="W119" s="1086"/>
      <c r="X119" s="1086"/>
      <c r="Y119" s="1086"/>
      <c r="Z119" s="1086"/>
      <c r="AA119" s="1086"/>
      <c r="AB119" s="1086"/>
      <c r="AC119" s="1086"/>
    </row>
    <row r="120" spans="1:29" ht="15">
      <c r="A120" s="1215"/>
      <c r="B120" s="1220"/>
      <c r="C120" s="1221">
        <v>100</v>
      </c>
      <c r="D120" s="1221">
        <f t="shared" ref="D120:M120" si="26">C120-$K39</f>
        <v>99</v>
      </c>
      <c r="E120" s="1221">
        <f t="shared" si="26"/>
        <v>98</v>
      </c>
      <c r="F120" s="1221">
        <f t="shared" si="26"/>
        <v>97</v>
      </c>
      <c r="G120" s="1221">
        <f t="shared" si="26"/>
        <v>96</v>
      </c>
      <c r="H120" s="1221">
        <f t="shared" si="26"/>
        <v>95</v>
      </c>
      <c r="I120" s="1221">
        <f t="shared" si="26"/>
        <v>94</v>
      </c>
      <c r="J120" s="1221">
        <f t="shared" si="26"/>
        <v>93</v>
      </c>
      <c r="K120" s="1221">
        <f t="shared" si="26"/>
        <v>92</v>
      </c>
      <c r="L120" s="1221">
        <f t="shared" si="26"/>
        <v>91</v>
      </c>
      <c r="M120" s="1271">
        <f t="shared" si="26"/>
        <v>90</v>
      </c>
      <c r="N120" s="1267"/>
      <c r="O120" s="1267"/>
      <c r="P120" s="1265"/>
      <c r="Q120" s="1188"/>
      <c r="R120" s="1086"/>
      <c r="S120" s="1086"/>
      <c r="T120" s="1086"/>
      <c r="U120" s="1086"/>
      <c r="V120" s="1086"/>
      <c r="W120" s="1086"/>
      <c r="X120" s="1086"/>
      <c r="Y120" s="1086"/>
      <c r="Z120" s="1086"/>
      <c r="AA120" s="1086"/>
      <c r="AB120" s="1086"/>
      <c r="AC120" s="1086"/>
    </row>
    <row r="121" spans="1:29">
      <c r="A121" s="1249"/>
      <c r="B121" s="1218" t="s">
        <v>1521</v>
      </c>
      <c r="C121" s="1226"/>
      <c r="D121" s="1226"/>
      <c r="E121" s="1226"/>
      <c r="F121" s="1243"/>
      <c r="G121" s="1243"/>
      <c r="H121" s="1243"/>
      <c r="I121" s="1243"/>
      <c r="J121" s="1243"/>
      <c r="K121" s="1294"/>
      <c r="L121" s="1295"/>
      <c r="M121" s="1296"/>
      <c r="N121" s="1264"/>
      <c r="O121" s="1264"/>
      <c r="P121" s="1265"/>
      <c r="Q121" s="1188"/>
      <c r="R121" s="1086"/>
      <c r="S121" s="1086"/>
      <c r="T121" s="1086"/>
      <c r="U121" s="1086"/>
      <c r="V121" s="1086"/>
      <c r="W121" s="1086"/>
      <c r="X121" s="1086"/>
      <c r="Y121" s="1086"/>
      <c r="Z121" s="1086"/>
      <c r="AA121" s="1086"/>
      <c r="AB121" s="1086"/>
      <c r="AC121" s="1086"/>
    </row>
    <row r="122" spans="1:29" ht="15">
      <c r="A122" s="1215"/>
      <c r="B122" s="1220"/>
      <c r="C122" s="1221">
        <v>100</v>
      </c>
      <c r="D122" s="1221">
        <f t="shared" ref="D122:M122" si="27">C122-$K40</f>
        <v>99</v>
      </c>
      <c r="E122" s="1221">
        <f t="shared" si="27"/>
        <v>98</v>
      </c>
      <c r="F122" s="1221">
        <f t="shared" si="27"/>
        <v>97</v>
      </c>
      <c r="G122" s="1221">
        <f t="shared" si="27"/>
        <v>96</v>
      </c>
      <c r="H122" s="1221">
        <f t="shared" si="27"/>
        <v>95</v>
      </c>
      <c r="I122" s="1221">
        <f t="shared" si="27"/>
        <v>94</v>
      </c>
      <c r="J122" s="1221">
        <f t="shared" si="27"/>
        <v>93</v>
      </c>
      <c r="K122" s="1221">
        <f t="shared" si="27"/>
        <v>92</v>
      </c>
      <c r="L122" s="1221">
        <f t="shared" si="27"/>
        <v>91</v>
      </c>
      <c r="M122" s="1271">
        <f t="shared" si="27"/>
        <v>90</v>
      </c>
      <c r="N122" s="1267"/>
      <c r="O122" s="1267"/>
      <c r="P122" s="1265"/>
      <c r="Q122" s="1188"/>
      <c r="R122" s="1086"/>
      <c r="S122" s="1086"/>
      <c r="T122" s="1086"/>
      <c r="U122" s="1086"/>
      <c r="V122" s="1086"/>
      <c r="W122" s="1086"/>
      <c r="X122" s="1086"/>
      <c r="Y122" s="1086"/>
      <c r="Z122" s="1086"/>
      <c r="AA122" s="1086"/>
      <c r="AB122" s="1086"/>
      <c r="AC122" s="1086"/>
    </row>
    <row r="123" spans="1:29" s="972" customFormat="1">
      <c r="A123" s="1246"/>
      <c r="B123" s="1218" t="s">
        <v>1522</v>
      </c>
      <c r="C123" s="1353" t="s">
        <v>1078</v>
      </c>
      <c r="D123" s="1353" t="s">
        <v>1119</v>
      </c>
      <c r="E123" s="1353" t="s">
        <v>1080</v>
      </c>
      <c r="F123" s="1353" t="s">
        <v>1120</v>
      </c>
      <c r="G123" s="1353" t="s">
        <v>1079</v>
      </c>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pans="1:29" s="972" customFormat="1" ht="15">
      <c r="A124" s="1225"/>
      <c r="B124" s="1220"/>
      <c r="C124" s="1221">
        <v>100</v>
      </c>
      <c r="D124" s="1221">
        <f>C124-$K41</f>
        <v>99</v>
      </c>
      <c r="E124" s="1221">
        <f t="shared" ref="E124:M124" si="28">D124-$K41</f>
        <v>98</v>
      </c>
      <c r="F124" s="1221">
        <f t="shared" si="28"/>
        <v>97</v>
      </c>
      <c r="G124" s="1221">
        <f t="shared" si="28"/>
        <v>96</v>
      </c>
      <c r="H124" s="1221">
        <f t="shared" si="28"/>
        <v>95</v>
      </c>
      <c r="I124" s="1221">
        <f t="shared" si="28"/>
        <v>94</v>
      </c>
      <c r="J124" s="1221">
        <f t="shared" si="28"/>
        <v>93</v>
      </c>
      <c r="K124" s="1221">
        <f t="shared" si="28"/>
        <v>92</v>
      </c>
      <c r="L124" s="1221">
        <f t="shared" si="28"/>
        <v>91</v>
      </c>
      <c r="M124" s="1271">
        <f t="shared" si="28"/>
        <v>90</v>
      </c>
      <c r="N124" s="1277"/>
      <c r="O124" s="1277"/>
      <c r="P124" s="1278"/>
      <c r="Q124" s="1309"/>
      <c r="R124" s="1310"/>
      <c r="S124" s="1310"/>
      <c r="T124" s="1310"/>
      <c r="U124" s="1310"/>
      <c r="V124" s="1310"/>
      <c r="W124" s="1310"/>
      <c r="X124" s="1310"/>
      <c r="Y124" s="1310"/>
      <c r="Z124" s="1310"/>
      <c r="AA124" s="1310"/>
      <c r="AB124" s="1310"/>
      <c r="AC124" s="1310"/>
    </row>
    <row r="125" spans="1:29">
      <c r="A125" s="1249"/>
      <c r="B125" s="1218" t="s">
        <v>1523</v>
      </c>
      <c r="C125" s="1353" t="s">
        <v>1060</v>
      </c>
      <c r="D125" s="1353" t="s">
        <v>1054</v>
      </c>
      <c r="E125" s="1354" t="s">
        <v>1055</v>
      </c>
      <c r="F125" s="1354" t="s">
        <v>1569</v>
      </c>
      <c r="G125" s="1243"/>
      <c r="H125" s="1243"/>
      <c r="I125" s="1243"/>
      <c r="J125" s="1243"/>
      <c r="K125" s="1294"/>
      <c r="L125" s="1295"/>
      <c r="M125" s="1296"/>
      <c r="N125" s="1264"/>
      <c r="O125" s="1264"/>
      <c r="P125" s="1265"/>
      <c r="Q125" s="1188"/>
      <c r="R125" s="1086"/>
      <c r="S125" s="1086"/>
      <c r="T125" s="1086"/>
      <c r="U125" s="1086"/>
      <c r="V125" s="1086"/>
      <c r="W125" s="1086"/>
      <c r="X125" s="1086"/>
      <c r="Y125" s="1086"/>
      <c r="Z125" s="1086"/>
      <c r="AA125" s="1086"/>
      <c r="AB125" s="1086"/>
      <c r="AC125" s="1086"/>
    </row>
    <row r="126" spans="1:29" ht="15">
      <c r="A126" s="1215"/>
      <c r="B126" s="1220"/>
      <c r="C126" s="1221">
        <v>100</v>
      </c>
      <c r="D126" s="1221">
        <f t="shared" ref="D126:M126" si="29">C126-$K42</f>
        <v>99</v>
      </c>
      <c r="E126" s="1221">
        <f t="shared" si="29"/>
        <v>98</v>
      </c>
      <c r="F126" s="1221">
        <f t="shared" si="29"/>
        <v>97</v>
      </c>
      <c r="G126" s="1221">
        <f t="shared" si="29"/>
        <v>96</v>
      </c>
      <c r="H126" s="1221">
        <f t="shared" si="29"/>
        <v>95</v>
      </c>
      <c r="I126" s="1221">
        <f t="shared" si="29"/>
        <v>94</v>
      </c>
      <c r="J126" s="1221">
        <f t="shared" si="29"/>
        <v>93</v>
      </c>
      <c r="K126" s="1221">
        <f t="shared" si="29"/>
        <v>92</v>
      </c>
      <c r="L126" s="1221">
        <f t="shared" si="29"/>
        <v>91</v>
      </c>
      <c r="M126" s="1271">
        <f t="shared" si="29"/>
        <v>90</v>
      </c>
      <c r="N126" s="1267"/>
      <c r="O126" s="1267"/>
      <c r="P126" s="1265"/>
      <c r="Q126" s="1188"/>
      <c r="R126" s="1086"/>
      <c r="S126" s="1086"/>
      <c r="T126" s="1086"/>
      <c r="U126" s="1086"/>
      <c r="V126" s="1086"/>
      <c r="W126" s="1086"/>
      <c r="X126" s="1086"/>
      <c r="Y126" s="1086"/>
      <c r="Z126" s="1086"/>
      <c r="AA126" s="1086"/>
      <c r="AB126" s="1086"/>
      <c r="AC126" s="1086"/>
    </row>
    <row r="127" spans="1:29">
      <c r="A127" s="1249"/>
      <c r="B127" s="1218" t="str">
        <f>B43</f>
        <v>宗地规划限制</v>
      </c>
      <c r="C127" s="1353" t="s">
        <v>1570</v>
      </c>
      <c r="D127" s="1353" t="s">
        <v>1525</v>
      </c>
      <c r="E127" s="1226"/>
      <c r="F127" s="1226"/>
      <c r="G127" s="1226"/>
      <c r="H127" s="1243"/>
      <c r="I127" s="1243"/>
      <c r="J127" s="1243"/>
      <c r="K127" s="1294"/>
      <c r="L127" s="1295"/>
      <c r="M127" s="1296"/>
      <c r="N127" s="1264"/>
      <c r="O127" s="1264"/>
      <c r="P127" s="1265"/>
      <c r="Q127" s="1188"/>
      <c r="R127" s="1086"/>
      <c r="S127" s="1086"/>
      <c r="T127" s="1086"/>
      <c r="U127" s="1086"/>
      <c r="V127" s="1086"/>
      <c r="W127" s="1086"/>
      <c r="X127" s="1086"/>
      <c r="Y127" s="1086"/>
      <c r="Z127" s="1086"/>
      <c r="AA127" s="1086"/>
      <c r="AB127" s="1086"/>
      <c r="AC127" s="1086"/>
    </row>
    <row r="128" spans="1:29" ht="15">
      <c r="A128" s="1215"/>
      <c r="B128" s="1220"/>
      <c r="C128" s="1228">
        <v>90</v>
      </c>
      <c r="D128" s="1228">
        <v>100</v>
      </c>
      <c r="E128" s="1228"/>
      <c r="F128" s="1228"/>
      <c r="G128" s="1217"/>
      <c r="H128" s="1217"/>
      <c r="I128" s="1217"/>
      <c r="J128" s="1217"/>
      <c r="K128" s="1217"/>
      <c r="L128" s="1217"/>
      <c r="M128" s="1266"/>
      <c r="N128" s="1267"/>
      <c r="O128" s="1267"/>
      <c r="P128" s="1265"/>
      <c r="Q128" s="1188"/>
      <c r="R128" s="1086"/>
      <c r="S128" s="1086"/>
      <c r="T128" s="1086"/>
      <c r="U128" s="1086"/>
      <c r="V128" s="1086"/>
      <c r="W128" s="1086"/>
      <c r="X128" s="1086"/>
      <c r="Y128" s="1086"/>
      <c r="Z128" s="1086"/>
      <c r="AA128" s="1086"/>
      <c r="AB128" s="1086"/>
      <c r="AC128" s="1086"/>
    </row>
    <row r="129" spans="1:29">
      <c r="A129" s="1249"/>
      <c r="B129" s="1218">
        <f>B44</f>
        <v>111</v>
      </c>
      <c r="C129" s="1210"/>
      <c r="D129" s="1210"/>
      <c r="E129" s="1210"/>
      <c r="F129" s="1210"/>
      <c r="G129" s="1243"/>
      <c r="H129" s="1243"/>
      <c r="I129" s="1243"/>
      <c r="J129" s="1243"/>
      <c r="K129" s="1294"/>
      <c r="L129" s="1295"/>
      <c r="M129" s="1296"/>
      <c r="N129" s="1264"/>
      <c r="O129" s="1264"/>
      <c r="P129" s="1265"/>
      <c r="Q129" s="1188"/>
      <c r="R129" s="1086"/>
      <c r="S129" s="1086"/>
      <c r="T129" s="1086"/>
      <c r="U129" s="1086"/>
      <c r="V129" s="1086"/>
      <c r="W129" s="1086"/>
      <c r="X129" s="1086"/>
      <c r="Y129" s="1086"/>
      <c r="Z129" s="1086"/>
      <c r="AA129" s="1086"/>
      <c r="AB129" s="1086"/>
      <c r="AC129" s="1086"/>
    </row>
    <row r="130" spans="1:29" ht="15">
      <c r="A130" s="1215"/>
      <c r="B130" s="1220"/>
      <c r="C130" s="1233"/>
      <c r="D130" s="1233"/>
      <c r="E130" s="1233"/>
      <c r="F130" s="1233"/>
      <c r="G130" s="1217"/>
      <c r="H130" s="1217"/>
      <c r="I130" s="1217"/>
      <c r="J130" s="1217"/>
      <c r="K130" s="1217"/>
      <c r="L130" s="1217"/>
      <c r="M130" s="1266"/>
      <c r="N130" s="1267"/>
      <c r="O130" s="1267"/>
      <c r="P130" s="1265"/>
      <c r="Q130" s="1188"/>
      <c r="R130" s="1086"/>
      <c r="S130" s="1086"/>
      <c r="T130" s="1086"/>
      <c r="U130" s="1086"/>
      <c r="V130" s="1086"/>
      <c r="W130" s="1086"/>
      <c r="X130" s="1086"/>
      <c r="Y130" s="1086"/>
      <c r="Z130" s="1086"/>
      <c r="AA130" s="1086"/>
      <c r="AB130" s="1086"/>
      <c r="AC130" s="1086"/>
    </row>
    <row r="131" spans="1:29" s="972" customFormat="1">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pans="1:29" s="972" customFormat="1" ht="15">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59" priority="4">
      <formula>$D$47="简单平均"</formula>
    </cfRule>
  </conditionalFormatting>
  <conditionalFormatting sqref="H47">
    <cfRule type="expression" dxfId="58" priority="3">
      <formula>$D$47="简单平均"</formula>
    </cfRule>
  </conditionalFormatting>
  <conditionalFormatting sqref="J47">
    <cfRule type="expression" dxfId="57" priority="2">
      <formula>$D$47="简单平均"</formula>
    </cfRule>
  </conditionalFormatting>
  <conditionalFormatting sqref="E51">
    <cfRule type="expression" dxfId="56" priority="13" stopIfTrue="1">
      <formula>$F$51="超过30%"</formula>
    </cfRule>
  </conditionalFormatting>
  <conditionalFormatting sqref="G51">
    <cfRule type="expression" dxfId="55" priority="9" stopIfTrue="1">
      <formula>$H$53+$H$51="超过30%"</formula>
    </cfRule>
  </conditionalFormatting>
  <conditionalFormatting sqref="I51">
    <cfRule type="expression" dxfId="54" priority="7" stopIfTrue="1">
      <formula>$J$51="超过30%"</formula>
    </cfRule>
  </conditionalFormatting>
  <conditionalFormatting sqref="E52">
    <cfRule type="expression" dxfId="53" priority="11" stopIfTrue="1">
      <formula>$F$52="超过20%"</formula>
    </cfRule>
  </conditionalFormatting>
  <conditionalFormatting sqref="G52">
    <cfRule type="expression" dxfId="52" priority="8" stopIfTrue="1">
      <formula>$H$52="超过20%"</formula>
    </cfRule>
  </conditionalFormatting>
  <conditionalFormatting sqref="I52">
    <cfRule type="expression" dxfId="51" priority="6" stopIfTrue="1">
      <formula>$J$52="超过20%"</formula>
    </cfRule>
  </conditionalFormatting>
  <conditionalFormatting sqref="E53">
    <cfRule type="expression" dxfId="50" priority="10" stopIfTrue="1">
      <formula>$F$53="超过30%"</formula>
    </cfRule>
  </conditionalFormatting>
  <conditionalFormatting sqref="F53">
    <cfRule type="containsText" dxfId="49" priority="15" stopIfTrue="1" operator="containsText" text="超过">
      <formula>NOT(ISERROR(SEARCH("超过",F53)))</formula>
    </cfRule>
  </conditionalFormatting>
  <conditionalFormatting sqref="G53">
    <cfRule type="expression" dxfId="48" priority="12" stopIfTrue="1">
      <formula>$H$53="超过30%"</formula>
    </cfRule>
  </conditionalFormatting>
  <conditionalFormatting sqref="H53">
    <cfRule type="containsText" dxfId="47" priority="16" stopIfTrue="1" operator="containsText" text="超过">
      <formula>NOT(ISERROR(SEARCH("超过",H53)))</formula>
    </cfRule>
  </conditionalFormatting>
  <conditionalFormatting sqref="I53">
    <cfRule type="expression" dxfId="46" priority="5" stopIfTrue="1">
      <formula>$J$53="超过30%"</formula>
    </cfRule>
  </conditionalFormatting>
  <conditionalFormatting sqref="J53">
    <cfRule type="containsText" dxfId="45" priority="17" stopIfTrue="1" operator="containsText" text="超过">
      <formula>NOT(ISERROR(SEARCH("超过",J53)))</formula>
    </cfRule>
  </conditionalFormatting>
  <conditionalFormatting sqref="F7:F45 H7:H45 J7:J45">
    <cfRule type="cellIs" dxfId="44" priority="1" operator="notEqual">
      <formula>100</formula>
    </cfRule>
  </conditionalFormatting>
  <conditionalFormatting sqref="F51 H51 J51">
    <cfRule type="containsText" dxfId="43" priority="18" stopIfTrue="1" operator="containsText" text="超过">
      <formula>NOT(ISERROR(SEARCH("超过",F51)))</formula>
    </cfRule>
  </conditionalFormatting>
  <conditionalFormatting sqref="F52 H52 J52">
    <cfRule type="containsText" dxfId="42"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969" customFormat="1" ht="28.5" customHeight="1">
      <c r="A1" s="979" t="s">
        <v>1511</v>
      </c>
      <c r="B1" s="980"/>
      <c r="C1" s="981" t="s">
        <v>1491</v>
      </c>
      <c r="D1" s="982"/>
      <c r="E1" s="982"/>
      <c r="F1" s="983" t="s">
        <v>1023</v>
      </c>
      <c r="G1" s="982"/>
      <c r="H1" s="982"/>
      <c r="I1" s="982"/>
      <c r="J1" s="982"/>
      <c r="K1" s="1126"/>
      <c r="L1" s="1127"/>
      <c r="M1" s="1128"/>
      <c r="N1" s="1128"/>
      <c r="O1" s="1128"/>
      <c r="P1" s="1129"/>
      <c r="Q1" s="1129"/>
      <c r="R1" s="1129"/>
      <c r="S1" s="1129"/>
      <c r="T1" s="1129"/>
      <c r="U1" s="1129"/>
      <c r="V1" s="1129"/>
      <c r="W1" s="1129"/>
      <c r="X1" s="1129"/>
      <c r="Y1" s="1129"/>
      <c r="Z1" s="1129"/>
      <c r="AA1" s="1129"/>
      <c r="AB1" s="1129"/>
      <c r="AC1" s="1189"/>
    </row>
    <row r="2" spans="1:29" s="969" customFormat="1" ht="28.5" customHeight="1">
      <c r="A2" s="238" t="s">
        <v>923</v>
      </c>
      <c r="B2" s="984" t="e">
        <f>F61</f>
        <v>#DIV/0!</v>
      </c>
      <c r="C2" s="985"/>
      <c r="D2" s="985"/>
      <c r="E2" s="985"/>
      <c r="F2" s="986"/>
      <c r="G2" s="985"/>
      <c r="H2" s="985"/>
      <c r="I2" s="985"/>
      <c r="J2" s="985"/>
      <c r="K2" s="1130"/>
      <c r="L2" s="1131"/>
      <c r="M2" s="1132"/>
      <c r="N2" s="1132"/>
      <c r="O2" s="1132"/>
      <c r="P2" s="1129"/>
      <c r="Q2" s="1129"/>
      <c r="R2" s="1129"/>
      <c r="S2" s="1129"/>
      <c r="T2" s="1129"/>
      <c r="U2" s="1129"/>
      <c r="V2" s="1129"/>
      <c r="W2" s="1129"/>
      <c r="X2" s="1129"/>
      <c r="Y2" s="1129"/>
      <c r="Z2" s="1129"/>
      <c r="AA2" s="1129"/>
      <c r="AB2" s="1129"/>
      <c r="AC2" s="1189"/>
    </row>
    <row r="3" spans="1:29" s="969" customFormat="1" ht="28.5" customHeight="1">
      <c r="A3" s="241" t="s">
        <v>925</v>
      </c>
      <c r="B3" s="987" t="e">
        <f>ROUND(IF(D3="",B2*10000/'数据-汇总表'!E3,B2*10000/D3),0)</f>
        <v>#DIV/0!</v>
      </c>
      <c r="C3" s="241" t="s">
        <v>1024</v>
      </c>
      <c r="D3" s="988"/>
      <c r="E3" s="985"/>
      <c r="F3" s="986"/>
      <c r="G3" s="985"/>
      <c r="H3" s="985"/>
      <c r="I3" s="985"/>
      <c r="J3" s="985"/>
      <c r="K3" s="1130"/>
      <c r="L3" s="1131"/>
      <c r="M3" s="1132"/>
      <c r="N3" s="1132"/>
      <c r="O3" s="1132"/>
      <c r="P3" s="1129"/>
      <c r="Q3" s="1129"/>
      <c r="R3" s="1129"/>
      <c r="S3" s="1129"/>
      <c r="T3" s="1129"/>
      <c r="U3" s="1129"/>
      <c r="V3" s="1129"/>
      <c r="W3" s="1129"/>
      <c r="X3" s="1129"/>
      <c r="Y3" s="1129"/>
      <c r="Z3" s="1129"/>
      <c r="AA3" s="1129"/>
      <c r="AB3" s="1190"/>
      <c r="AC3" s="1191"/>
    </row>
    <row r="4" spans="1:29" ht="15">
      <c r="A4" s="989" t="s">
        <v>1025</v>
      </c>
      <c r="B4" s="990"/>
      <c r="C4" s="3443" t="s">
        <v>1026</v>
      </c>
      <c r="D4" s="3444"/>
      <c r="E4" s="3445" t="s">
        <v>1027</v>
      </c>
      <c r="F4" s="3446"/>
      <c r="G4" s="3443" t="s">
        <v>1028</v>
      </c>
      <c r="H4" s="3444"/>
      <c r="I4" s="3443" t="s">
        <v>1029</v>
      </c>
      <c r="J4" s="3444"/>
      <c r="K4" s="1133" t="s">
        <v>1030</v>
      </c>
      <c r="L4" s="1134"/>
      <c r="M4" s="1135"/>
      <c r="N4" s="1135"/>
      <c r="O4" s="1135"/>
      <c r="P4" s="3477" t="s">
        <v>1031</v>
      </c>
      <c r="Q4" s="3478"/>
      <c r="R4" s="3483" t="s">
        <v>1027</v>
      </c>
      <c r="S4" s="3484"/>
      <c r="T4" s="3483" t="s">
        <v>1028</v>
      </c>
      <c r="U4" s="3484"/>
      <c r="V4" s="3459" t="s">
        <v>1029</v>
      </c>
      <c r="W4" s="3459"/>
      <c r="X4" s="1177"/>
      <c r="Y4" s="3483" t="s">
        <v>1031</v>
      </c>
      <c r="Z4" s="3484"/>
      <c r="AA4" s="3474" t="s">
        <v>1027</v>
      </c>
      <c r="AB4" s="3475" t="s">
        <v>1028</v>
      </c>
      <c r="AC4" s="3474" t="s">
        <v>1029</v>
      </c>
    </row>
    <row r="5" spans="1:29" ht="15">
      <c r="A5" s="991"/>
      <c r="B5" s="992"/>
      <c r="C5" s="3447" t="s">
        <v>1032</v>
      </c>
      <c r="D5" s="3448"/>
      <c r="E5" s="3449" t="s">
        <v>1469</v>
      </c>
      <c r="F5" s="3450"/>
      <c r="G5" s="3447" t="s">
        <v>1470</v>
      </c>
      <c r="H5" s="3448"/>
      <c r="I5" s="3447" t="s">
        <v>1471</v>
      </c>
      <c r="J5" s="3448"/>
      <c r="K5" s="1133"/>
      <c r="L5" s="1134"/>
      <c r="M5" s="1135"/>
      <c r="N5" s="1135"/>
      <c r="O5" s="1135"/>
      <c r="P5" s="3479"/>
      <c r="Q5" s="3480"/>
      <c r="R5" s="3485"/>
      <c r="S5" s="3486"/>
      <c r="T5" s="3485"/>
      <c r="U5" s="3486"/>
      <c r="V5" s="3459"/>
      <c r="W5" s="3459"/>
      <c r="X5" s="1177"/>
      <c r="Y5" s="3485"/>
      <c r="Z5" s="3486"/>
      <c r="AA5" s="3475"/>
      <c r="AB5" s="3475"/>
      <c r="AC5" s="3475"/>
    </row>
    <row r="6" spans="1:29" ht="15">
      <c r="A6" s="993"/>
      <c r="B6" s="994"/>
      <c r="C6" s="3510" t="s">
        <v>1571</v>
      </c>
      <c r="D6" s="3511"/>
      <c r="E6" s="3512" t="s">
        <v>1571</v>
      </c>
      <c r="F6" s="3513"/>
      <c r="G6" s="3510" t="s">
        <v>1571</v>
      </c>
      <c r="H6" s="3511"/>
      <c r="I6" s="3510" t="s">
        <v>1571</v>
      </c>
      <c r="J6" s="3511"/>
      <c r="K6" s="1133" t="s">
        <v>1034</v>
      </c>
      <c r="L6" s="1134"/>
      <c r="M6" s="1135"/>
      <c r="N6" s="1135"/>
      <c r="O6" s="1135"/>
      <c r="P6" s="3481"/>
      <c r="Q6" s="3482"/>
      <c r="R6" s="3485"/>
      <c r="S6" s="3486"/>
      <c r="T6" s="3487"/>
      <c r="U6" s="3488"/>
      <c r="V6" s="3459"/>
      <c r="W6" s="3459"/>
      <c r="X6" s="1177"/>
      <c r="Y6" s="3487"/>
      <c r="Z6" s="3488"/>
      <c r="AA6" s="3476"/>
      <c r="AB6" s="3476"/>
      <c r="AC6" s="3476"/>
    </row>
    <row r="7" spans="1:29" s="970" customFormat="1" ht="15">
      <c r="A7" s="995" t="s">
        <v>1035</v>
      </c>
      <c r="B7" s="996"/>
      <c r="C7" s="997">
        <f>'数据-取费表'!B2</f>
        <v>44347</v>
      </c>
      <c r="D7" s="998">
        <v>100</v>
      </c>
      <c r="E7" s="999"/>
      <c r="F7" s="1000">
        <f>SUMIF(65:65,YEAR(E7)&amp;"-"&amp;INT((MONTH(E7)+2)/3),66:66)</f>
        <v>0</v>
      </c>
      <c r="G7" s="1001"/>
      <c r="H7" s="998">
        <f>SUMIF(65:65,YEAR(G7)&amp;"-"&amp;INT((MONTH(G7)+2)/3),66:66)</f>
        <v>0</v>
      </c>
      <c r="I7" s="1001"/>
      <c r="J7" s="998">
        <f>SUMIF(65:65,YEAR(I7)&amp;"-"&amp;INT((MONTH(I7)+2)/3),66:66)</f>
        <v>0</v>
      </c>
      <c r="K7" s="1136"/>
      <c r="L7" s="1137"/>
      <c r="M7" s="1138"/>
      <c r="N7" s="1138"/>
      <c r="O7" s="1138"/>
      <c r="P7" s="3455" t="s">
        <v>1036</v>
      </c>
      <c r="Q7" s="3456"/>
      <c r="R7" s="1178" t="s">
        <v>1037</v>
      </c>
      <c r="S7" s="1179">
        <f t="shared" ref="S7:S15" si="0">F7</f>
        <v>0</v>
      </c>
      <c r="T7" s="1178" t="s">
        <v>1037</v>
      </c>
      <c r="U7" s="1179">
        <f t="shared" ref="U7:U15" si="1">H7</f>
        <v>0</v>
      </c>
      <c r="V7" s="1178" t="s">
        <v>1037</v>
      </c>
      <c r="W7" s="1179">
        <f t="shared" ref="W7:W15" si="2">J7</f>
        <v>0</v>
      </c>
      <c r="X7" s="1180"/>
      <c r="Y7" s="3455" t="s">
        <v>1036</v>
      </c>
      <c r="Z7" s="3457"/>
      <c r="AA7" s="1192" t="e">
        <f>D7/F7</f>
        <v>#DIV/0!</v>
      </c>
      <c r="AB7" s="1192" t="e">
        <f>D7/H7</f>
        <v>#DIV/0!</v>
      </c>
      <c r="AC7" s="1192" t="e">
        <f>D7/J7</f>
        <v>#DIV/0!</v>
      </c>
    </row>
    <row r="8" spans="1:29" s="970" customFormat="1" ht="15">
      <c r="A8" s="995" t="s">
        <v>1038</v>
      </c>
      <c r="B8" s="996"/>
      <c r="C8" s="1002" t="s">
        <v>1039</v>
      </c>
      <c r="D8" s="998">
        <v>100</v>
      </c>
      <c r="E8" s="1002"/>
      <c r="F8" s="1000">
        <f>SUMIF(68:68,E8,69:69)-SUMIF(68:68,C8,69:69)+100</f>
        <v>0</v>
      </c>
      <c r="G8" s="1002"/>
      <c r="H8" s="998">
        <f>SUMIF(68:68,G8,69:69)-SUMIF(68:68,C8,69:69)+100</f>
        <v>0</v>
      </c>
      <c r="I8" s="1002"/>
      <c r="J8" s="998">
        <f>SUMIF(68:68,I8,69:69)-SUMIF(68:68,C8,69:69)+100</f>
        <v>0</v>
      </c>
      <c r="K8" s="1136"/>
      <c r="L8" s="1137"/>
      <c r="M8" s="1138"/>
      <c r="N8" s="1138"/>
      <c r="O8" s="1138"/>
      <c r="P8" s="3455" t="s">
        <v>1041</v>
      </c>
      <c r="Q8" s="3457"/>
      <c r="R8" s="1178" t="s">
        <v>1037</v>
      </c>
      <c r="S8" s="1179">
        <f t="shared" si="0"/>
        <v>0</v>
      </c>
      <c r="T8" s="1178" t="s">
        <v>1037</v>
      </c>
      <c r="U8" s="1179">
        <f t="shared" si="1"/>
        <v>0</v>
      </c>
      <c r="V8" s="1178" t="s">
        <v>1037</v>
      </c>
      <c r="W8" s="1179">
        <f t="shared" si="2"/>
        <v>0</v>
      </c>
      <c r="X8" s="1180"/>
      <c r="Y8" s="3455" t="s">
        <v>1041</v>
      </c>
      <c r="Z8" s="3457"/>
      <c r="AA8" s="1192" t="e">
        <f t="shared" ref="AA8:AA40" si="3">D8/F8</f>
        <v>#DIV/0!</v>
      </c>
      <c r="AB8" s="1192" t="e">
        <f t="shared" ref="AB8:AB40" si="4">D8/H8</f>
        <v>#DIV/0!</v>
      </c>
      <c r="AC8" s="1192" t="e">
        <f t="shared" ref="AC8:AC40" si="5">D8/J8</f>
        <v>#DIV/0!</v>
      </c>
    </row>
    <row r="9" spans="1:29" s="970" customFormat="1">
      <c r="A9" s="1003" t="s">
        <v>1042</v>
      </c>
      <c r="B9" s="1004" t="s">
        <v>1043</v>
      </c>
      <c r="C9" s="1005"/>
      <c r="D9" s="1006">
        <v>100</v>
      </c>
      <c r="E9" s="1005"/>
      <c r="F9" s="1006">
        <f>SUMIF(70:70,E9,71:71)-SUMIF(70:70,C9,71:71)+100</f>
        <v>100</v>
      </c>
      <c r="G9" s="1005"/>
      <c r="H9" s="1006">
        <f>SUMIF(70:70,G9,71:71)-SUMIF(70:70,C9,71:71)+100</f>
        <v>100</v>
      </c>
      <c r="I9" s="1005"/>
      <c r="J9" s="1006">
        <f>SUMIF(70:70,I9,71:71)-SUMIF(70:70,C9,71:71)+100</f>
        <v>100</v>
      </c>
      <c r="K9" s="1136"/>
      <c r="L9" s="1137"/>
      <c r="M9" s="1138"/>
      <c r="N9" s="1138"/>
      <c r="O9" s="1139"/>
      <c r="P9" s="3458" t="s">
        <v>1045</v>
      </c>
      <c r="Q9" s="1182" t="str">
        <f t="shared" ref="Q9:Q15" si="6">B9</f>
        <v>用途</v>
      </c>
      <c r="R9" s="1178" t="s">
        <v>1037</v>
      </c>
      <c r="S9" s="1179">
        <f t="shared" si="0"/>
        <v>100</v>
      </c>
      <c r="T9" s="1178" t="s">
        <v>1037</v>
      </c>
      <c r="U9" s="1179">
        <f t="shared" si="1"/>
        <v>100</v>
      </c>
      <c r="V9" s="1178" t="s">
        <v>1037</v>
      </c>
      <c r="W9" s="1179">
        <f t="shared" si="2"/>
        <v>100</v>
      </c>
      <c r="X9" s="1180"/>
      <c r="Y9" s="3411" t="s">
        <v>1046</v>
      </c>
      <c r="Z9" s="1193" t="str">
        <f t="shared" ref="Z9:Z15" si="7">Q9</f>
        <v>用途</v>
      </c>
      <c r="AA9" s="1192">
        <f t="shared" si="3"/>
        <v>1</v>
      </c>
      <c r="AB9" s="1192">
        <f t="shared" si="4"/>
        <v>1</v>
      </c>
      <c r="AC9" s="1192">
        <f t="shared" si="5"/>
        <v>1</v>
      </c>
    </row>
    <row r="10" spans="1:29" s="971" customFormat="1" ht="27">
      <c r="A10" s="1007"/>
      <c r="B10" s="1008" t="s">
        <v>1047</v>
      </c>
      <c r="C10" s="1009"/>
      <c r="D10" s="1010">
        <v>100</v>
      </c>
      <c r="E10" s="1009"/>
      <c r="F10" s="1010">
        <f>ROUND(100/'数据-取费表'!G16,0)</f>
        <v>100</v>
      </c>
      <c r="G10" s="1009"/>
      <c r="H10" s="1010">
        <f>ROUND(100/'数据-取费表'!G16,0)</f>
        <v>100</v>
      </c>
      <c r="I10" s="1009"/>
      <c r="J10" s="1010">
        <f>ROUND(100/'数据-取费表'!G16,0)</f>
        <v>100</v>
      </c>
      <c r="K10" s="1140"/>
      <c r="L10" s="1141"/>
      <c r="M10" s="1142"/>
      <c r="N10" s="1142"/>
      <c r="O10" s="1143"/>
      <c r="P10" s="3458"/>
      <c r="Q10" s="1182" t="str">
        <f t="shared" si="6"/>
        <v>土地使用年限（年）</v>
      </c>
      <c r="R10" s="1178" t="s">
        <v>1037</v>
      </c>
      <c r="S10" s="1179">
        <f t="shared" si="0"/>
        <v>100</v>
      </c>
      <c r="T10" s="1178" t="s">
        <v>1037</v>
      </c>
      <c r="U10" s="1179">
        <f t="shared" si="1"/>
        <v>100</v>
      </c>
      <c r="V10" s="1178" t="s">
        <v>1037</v>
      </c>
      <c r="W10" s="1179">
        <f t="shared" si="2"/>
        <v>100</v>
      </c>
      <c r="X10" s="1180"/>
      <c r="Y10" s="3411"/>
      <c r="Z10" s="1193" t="str">
        <f t="shared" si="7"/>
        <v>土地使用年限（年）</v>
      </c>
      <c r="AA10" s="1192">
        <f t="shared" si="3"/>
        <v>1</v>
      </c>
      <c r="AB10" s="1192">
        <f t="shared" si="4"/>
        <v>1</v>
      </c>
      <c r="AC10" s="1192">
        <f t="shared" si="5"/>
        <v>1</v>
      </c>
    </row>
    <row r="11" spans="1:29" ht="15">
      <c r="A11" s="1011"/>
      <c r="B11" s="1008" t="s">
        <v>1049</v>
      </c>
      <c r="C11" s="1012"/>
      <c r="D11" s="1010">
        <v>100</v>
      </c>
      <c r="E11" s="1012"/>
      <c r="F11" s="1010" t="e">
        <f>LOOKUP(E11,75:75,76:76)-LOOKUP(C11,75:75,76:76)+100</f>
        <v>#N/A</v>
      </c>
      <c r="G11" s="1013"/>
      <c r="H11" s="1010" t="e">
        <f>LOOKUP(G11,75:75,76:76)-LOOKUP(C11,75:75,76:76)+100</f>
        <v>#N/A</v>
      </c>
      <c r="I11" s="1012"/>
      <c r="J11" s="1010" t="e">
        <f>LOOKUP(I11,75:75,76:76)-LOOKUP(C11,75:75,76:76)+100</f>
        <v>#N/A</v>
      </c>
      <c r="K11" s="1144"/>
      <c r="L11" s="1145"/>
      <c r="M11" s="1135"/>
      <c r="N11" s="1135"/>
      <c r="O11" s="1146"/>
      <c r="P11" s="3458"/>
      <c r="Q11" s="1182" t="str">
        <f t="shared" si="6"/>
        <v>容积率</v>
      </c>
      <c r="R11" s="1178" t="s">
        <v>1037</v>
      </c>
      <c r="S11" s="1179" t="e">
        <f t="shared" si="0"/>
        <v>#N/A</v>
      </c>
      <c r="T11" s="1178" t="s">
        <v>1037</v>
      </c>
      <c r="U11" s="1179" t="e">
        <f t="shared" si="1"/>
        <v>#N/A</v>
      </c>
      <c r="V11" s="1178" t="s">
        <v>1037</v>
      </c>
      <c r="W11" s="1179" t="e">
        <f t="shared" si="2"/>
        <v>#N/A</v>
      </c>
      <c r="X11" s="1180"/>
      <c r="Y11" s="3411"/>
      <c r="Z11" s="1193" t="str">
        <f t="shared" si="7"/>
        <v>容积率</v>
      </c>
      <c r="AA11" s="1192" t="e">
        <f t="shared" si="3"/>
        <v>#N/A</v>
      </c>
      <c r="AB11" s="1192" t="e">
        <f t="shared" si="4"/>
        <v>#N/A</v>
      </c>
      <c r="AC11" s="1192" t="e">
        <f t="shared" si="5"/>
        <v>#N/A</v>
      </c>
    </row>
    <row r="12" spans="1:29" s="970" customFormat="1" ht="15">
      <c r="A12" s="1014"/>
      <c r="B12" s="1015">
        <v>111</v>
      </c>
      <c r="C12" s="1009"/>
      <c r="D12" s="1016">
        <v>100</v>
      </c>
      <c r="E12" s="1017"/>
      <c r="F12" s="1010">
        <f>SUMIF(77:77,E12,78:78)-SUMIF(77:77,C12,78:78)+100</f>
        <v>100</v>
      </c>
      <c r="G12" s="1018"/>
      <c r="H12" s="1010">
        <f>SUMIF(77:77,G12,78:78)-SUMIF(77:77,C12,78:78)+100</f>
        <v>100</v>
      </c>
      <c r="I12" s="1017"/>
      <c r="J12" s="1010">
        <f>SUMIF(77:77,I12,78:78)-SUMIF(77:77,C12,78:78)+100</f>
        <v>100</v>
      </c>
      <c r="K12" s="1140"/>
      <c r="L12" s="1137"/>
      <c r="M12" s="1138"/>
      <c r="N12" s="1138"/>
      <c r="O12" s="1139"/>
      <c r="P12" s="3458"/>
      <c r="Q12" s="1182">
        <f t="shared" si="6"/>
        <v>111</v>
      </c>
      <c r="R12" s="1178" t="s">
        <v>1037</v>
      </c>
      <c r="S12" s="1179">
        <f t="shared" si="0"/>
        <v>100</v>
      </c>
      <c r="T12" s="1178" t="s">
        <v>1037</v>
      </c>
      <c r="U12" s="1179">
        <f t="shared" si="1"/>
        <v>100</v>
      </c>
      <c r="V12" s="1178" t="s">
        <v>1037</v>
      </c>
      <c r="W12" s="1179">
        <f t="shared" si="2"/>
        <v>100</v>
      </c>
      <c r="X12" s="1180"/>
      <c r="Y12" s="3411"/>
      <c r="Z12" s="1193">
        <f t="shared" si="7"/>
        <v>111</v>
      </c>
      <c r="AA12" s="1192">
        <f t="shared" si="3"/>
        <v>1</v>
      </c>
      <c r="AB12" s="1192">
        <f t="shared" si="4"/>
        <v>1</v>
      </c>
      <c r="AC12" s="1192">
        <f t="shared" si="5"/>
        <v>1</v>
      </c>
    </row>
    <row r="13" spans="1:29" ht="15">
      <c r="A13" s="1011"/>
      <c r="B13" s="1015">
        <v>111</v>
      </c>
      <c r="C13" s="1019"/>
      <c r="D13" s="1020">
        <v>100</v>
      </c>
      <c r="E13" s="1017"/>
      <c r="F13" s="1010">
        <f>SUMIF(79:79,E13,80:80)-SUMIF(79:79,C13,80:80)+100</f>
        <v>100</v>
      </c>
      <c r="G13" s="1018"/>
      <c r="H13" s="1020">
        <f>SUMIF(79:79,G13,80:80)-SUMIF(79:79,C13,80:80)+100</f>
        <v>100</v>
      </c>
      <c r="I13" s="1017"/>
      <c r="J13" s="1020">
        <f>SUMIF(79:79,I13,80:80)-SUMIF(79:79,C13,80:80)+100</f>
        <v>100</v>
      </c>
      <c r="K13" s="1140"/>
      <c r="L13" s="1147"/>
      <c r="M13" s="1135"/>
      <c r="N13" s="1135"/>
      <c r="O13" s="1146"/>
      <c r="P13" s="3458"/>
      <c r="Q13" s="1182">
        <f t="shared" si="6"/>
        <v>111</v>
      </c>
      <c r="R13" s="1178" t="s">
        <v>1037</v>
      </c>
      <c r="S13" s="1179">
        <f t="shared" si="0"/>
        <v>100</v>
      </c>
      <c r="T13" s="1178" t="s">
        <v>1037</v>
      </c>
      <c r="U13" s="1179">
        <f t="shared" si="1"/>
        <v>100</v>
      </c>
      <c r="V13" s="1178" t="s">
        <v>1037</v>
      </c>
      <c r="W13" s="1179">
        <f t="shared" si="2"/>
        <v>100</v>
      </c>
      <c r="X13" s="1180"/>
      <c r="Y13" s="3411"/>
      <c r="Z13" s="1193">
        <f t="shared" si="7"/>
        <v>111</v>
      </c>
      <c r="AA13" s="1192">
        <f t="shared" si="3"/>
        <v>1</v>
      </c>
      <c r="AB13" s="1192">
        <f t="shared" si="4"/>
        <v>1</v>
      </c>
      <c r="AC13" s="1192">
        <f t="shared" si="5"/>
        <v>1</v>
      </c>
    </row>
    <row r="14" spans="1:29" ht="15">
      <c r="A14" s="1021"/>
      <c r="B14" s="1022">
        <v>111</v>
      </c>
      <c r="C14" s="1023"/>
      <c r="D14" s="1024">
        <v>100</v>
      </c>
      <c r="E14" s="1017"/>
      <c r="F14" s="1024">
        <f>SUMIF(81:81,E14,82:82)-SUMIF(81:81,C14,82:82)+100</f>
        <v>100</v>
      </c>
      <c r="G14" s="1018"/>
      <c r="H14" s="1024">
        <f>SUMIF(81:81,G14,82:82)-SUMIF(81:81,C14,82:82)+100</f>
        <v>100</v>
      </c>
      <c r="I14" s="1017"/>
      <c r="J14" s="1024">
        <f>SUMIF(81:81,I14,82:82)-SUMIF(81:81,C14,82:82)+100</f>
        <v>100</v>
      </c>
      <c r="K14" s="1140"/>
      <c r="L14" s="1147"/>
      <c r="M14" s="1135"/>
      <c r="N14" s="1135"/>
      <c r="O14" s="1146"/>
      <c r="P14" s="3458"/>
      <c r="Q14" s="1182">
        <f t="shared" si="6"/>
        <v>111</v>
      </c>
      <c r="R14" s="1178" t="s">
        <v>1037</v>
      </c>
      <c r="S14" s="1179">
        <f t="shared" si="0"/>
        <v>100</v>
      </c>
      <c r="T14" s="1178" t="s">
        <v>1037</v>
      </c>
      <c r="U14" s="1179">
        <f t="shared" si="1"/>
        <v>100</v>
      </c>
      <c r="V14" s="1178" t="s">
        <v>1037</v>
      </c>
      <c r="W14" s="1179">
        <f t="shared" si="2"/>
        <v>100</v>
      </c>
      <c r="X14" s="1180"/>
      <c r="Y14" s="3411"/>
      <c r="Z14" s="1193">
        <f t="shared" si="7"/>
        <v>111</v>
      </c>
      <c r="AA14" s="1192">
        <f t="shared" si="3"/>
        <v>1</v>
      </c>
      <c r="AB14" s="1192">
        <f t="shared" si="4"/>
        <v>1</v>
      </c>
      <c r="AC14" s="1192">
        <f t="shared" si="5"/>
        <v>1</v>
      </c>
    </row>
    <row r="15" spans="1:29" ht="57">
      <c r="A15" s="1025" t="s">
        <v>1051</v>
      </c>
      <c r="B15" s="1026" t="s">
        <v>1492</v>
      </c>
      <c r="C15" s="1027" t="str">
        <f>估价对象房地状况!G15</f>
        <v>估价对象位于XX开发区，园区建设成熟度XX，产业集聚程度XX</v>
      </c>
      <c r="D15" s="1028">
        <v>100</v>
      </c>
      <c r="E15" s="1029"/>
      <c r="F15" s="1028">
        <f>SUMIF(83:83,E16,84:84)-SUMIF(83:83,C16,84:84)+100</f>
        <v>100</v>
      </c>
      <c r="G15" s="1029"/>
      <c r="H15" s="1028">
        <f>SUMIF(83:83,G16,84:84)-SUMIF(83:83,C16,84:84)+100</f>
        <v>100</v>
      </c>
      <c r="I15" s="1148"/>
      <c r="J15" s="1028">
        <f>SUMIF(83:83,I16,84:84)-SUMIF(83:83,C16,84:84)+100</f>
        <v>100</v>
      </c>
      <c r="K15" s="1144"/>
      <c r="L15" s="1147"/>
      <c r="M15" s="1135"/>
      <c r="N15" s="1135"/>
      <c r="O15" s="1146"/>
      <c r="P15" s="3466" t="s">
        <v>1053</v>
      </c>
      <c r="Q15" s="746" t="str">
        <f t="shared" si="6"/>
        <v>产业集聚程度</v>
      </c>
      <c r="R15" s="1183" t="s">
        <v>1037</v>
      </c>
      <c r="S15" s="1184">
        <f t="shared" si="0"/>
        <v>100</v>
      </c>
      <c r="T15" s="1183" t="s">
        <v>1037</v>
      </c>
      <c r="U15" s="1184">
        <f t="shared" si="1"/>
        <v>100</v>
      </c>
      <c r="V15" s="1183" t="s">
        <v>1037</v>
      </c>
      <c r="W15" s="1184">
        <f t="shared" si="2"/>
        <v>100</v>
      </c>
      <c r="X15" s="1177"/>
      <c r="Y15" s="3466" t="s">
        <v>1053</v>
      </c>
      <c r="Z15" s="1167" t="str">
        <f t="shared" si="7"/>
        <v>产业集聚程度</v>
      </c>
      <c r="AA15" s="1194">
        <f t="shared" si="3"/>
        <v>1</v>
      </c>
      <c r="AB15" s="1194">
        <f t="shared" si="4"/>
        <v>1</v>
      </c>
      <c r="AC15" s="1194">
        <f t="shared" si="5"/>
        <v>1</v>
      </c>
    </row>
    <row r="16" spans="1:29" ht="15">
      <c r="A16" s="1011"/>
      <c r="B16" s="1030"/>
      <c r="C16" s="1031"/>
      <c r="D16" s="1032"/>
      <c r="E16" s="1033"/>
      <c r="F16" s="1032"/>
      <c r="G16" s="1033"/>
      <c r="H16" s="1034"/>
      <c r="I16" s="1033"/>
      <c r="J16" s="1032"/>
      <c r="K16" s="1140"/>
      <c r="L16" s="1147"/>
      <c r="M16" s="1135"/>
      <c r="N16" s="1135"/>
      <c r="O16" s="1146"/>
      <c r="P16" s="3467"/>
      <c r="Q16" s="746"/>
      <c r="R16" s="1183"/>
      <c r="S16" s="1184"/>
      <c r="T16" s="1183"/>
      <c r="U16" s="1184"/>
      <c r="V16" s="1183"/>
      <c r="W16" s="1184"/>
      <c r="X16" s="1177"/>
      <c r="Y16" s="3467"/>
      <c r="Z16" s="1167"/>
      <c r="AA16" s="1194">
        <v>1</v>
      </c>
      <c r="AB16" s="1194">
        <v>1</v>
      </c>
      <c r="AC16" s="1194">
        <v>1</v>
      </c>
    </row>
    <row r="17" spans="1:29" ht="85.5">
      <c r="A17" s="1011"/>
      <c r="B17" s="1035" t="s">
        <v>1056</v>
      </c>
      <c r="C17" s="1036" t="str">
        <f>估价对象房地状况!G16</f>
        <v>估价对象周边道路状况、公共交通通达情况、停车便捷程度，综合评价交通便捷度较好</v>
      </c>
      <c r="D17" s="1034">
        <v>100</v>
      </c>
      <c r="E17" s="1037"/>
      <c r="F17" s="1038">
        <f>SUMIF(85:85,E18,86:86)-SUMIF(85:85,C18,86:86)+100</f>
        <v>100</v>
      </c>
      <c r="G17" s="1037"/>
      <c r="H17" s="1038">
        <f>SUMIF(85:85,G18,86:86)-SUMIF(85:85,C18,86:86)+100</f>
        <v>100</v>
      </c>
      <c r="I17" s="1149"/>
      <c r="J17" s="1034">
        <f>SUMIF(85:85,I18,86:86)-SUMIF(85:85,C18,86:86)+100</f>
        <v>100</v>
      </c>
      <c r="K17" s="1144"/>
      <c r="L17" s="1147"/>
      <c r="M17" s="1135"/>
      <c r="N17" s="1135"/>
      <c r="O17" s="1146"/>
      <c r="P17" s="3467"/>
      <c r="Q17" s="746" t="str">
        <f>B17</f>
        <v>交通便捷度</v>
      </c>
      <c r="R17" s="1183" t="s">
        <v>1037</v>
      </c>
      <c r="S17" s="1184">
        <f>F17</f>
        <v>100</v>
      </c>
      <c r="T17" s="1183" t="s">
        <v>1037</v>
      </c>
      <c r="U17" s="1184">
        <f>H17</f>
        <v>100</v>
      </c>
      <c r="V17" s="1183" t="s">
        <v>1037</v>
      </c>
      <c r="W17" s="1184">
        <f>J17</f>
        <v>100</v>
      </c>
      <c r="X17" s="1177"/>
      <c r="Y17" s="3467"/>
      <c r="Z17" s="1167" t="str">
        <f>Q17</f>
        <v>交通便捷度</v>
      </c>
      <c r="AA17" s="1194">
        <f t="shared" si="3"/>
        <v>1</v>
      </c>
      <c r="AB17" s="1194">
        <f t="shared" si="4"/>
        <v>1</v>
      </c>
      <c r="AC17" s="1194">
        <f t="shared" si="5"/>
        <v>1</v>
      </c>
    </row>
    <row r="18" spans="1:29" ht="15">
      <c r="A18" s="1011"/>
      <c r="B18" s="1039"/>
      <c r="C18" s="1031"/>
      <c r="D18" s="1032"/>
      <c r="E18" s="1040"/>
      <c r="F18" s="1032"/>
      <c r="G18" s="1040"/>
      <c r="H18" s="1032"/>
      <c r="I18" s="1150"/>
      <c r="J18" s="1032"/>
      <c r="K18" s="1140"/>
      <c r="L18" s="1147"/>
      <c r="M18" s="1135"/>
      <c r="N18" s="1135"/>
      <c r="O18" s="1146"/>
      <c r="P18" s="3467"/>
      <c r="Q18" s="746"/>
      <c r="R18" s="1183"/>
      <c r="S18" s="1184"/>
      <c r="T18" s="1183"/>
      <c r="U18" s="1184"/>
      <c r="V18" s="1183"/>
      <c r="W18" s="1184"/>
      <c r="X18" s="1177"/>
      <c r="Y18" s="3467"/>
      <c r="Z18" s="1167"/>
      <c r="AA18" s="1194">
        <v>1</v>
      </c>
      <c r="AB18" s="1194">
        <v>1</v>
      </c>
      <c r="AC18" s="1194">
        <v>1</v>
      </c>
    </row>
    <row r="19" spans="1:29" ht="15">
      <c r="A19" s="1011"/>
      <c r="B19" s="1035" t="s">
        <v>1515</v>
      </c>
      <c r="C19" s="1036">
        <f>估价对象房地状况!G17</f>
        <v>0</v>
      </c>
      <c r="D19" s="1034">
        <v>100</v>
      </c>
      <c r="E19" s="1037"/>
      <c r="F19" s="1038">
        <f>SUMIF(87:87,E20,88:88)-SUMIF(87:87,C20,88:88)+100</f>
        <v>100</v>
      </c>
      <c r="G19" s="1037"/>
      <c r="H19" s="1038">
        <f>SUMIF(87:87,G20,88:88)-SUMIF(87:87,C20,88:88)+100</f>
        <v>100</v>
      </c>
      <c r="I19" s="1037"/>
      <c r="J19" s="1038">
        <f>SUMIF(87:87,I20,88:88)-SUMIF(87:87,C20,88:88)+100</f>
        <v>100</v>
      </c>
      <c r="K19" s="1144"/>
      <c r="L19" s="1147"/>
      <c r="M19" s="1135"/>
      <c r="N19" s="1135"/>
      <c r="O19" s="1146"/>
      <c r="P19" s="3467"/>
      <c r="Q19" s="746" t="str">
        <f t="shared" ref="Q19:Q34" si="8">B19</f>
        <v>区域土地利用方向</v>
      </c>
      <c r="R19" s="1183" t="s">
        <v>1037</v>
      </c>
      <c r="S19" s="1184">
        <f>F19</f>
        <v>100</v>
      </c>
      <c r="T19" s="1183" t="s">
        <v>1037</v>
      </c>
      <c r="U19" s="1184">
        <f>H19</f>
        <v>100</v>
      </c>
      <c r="V19" s="1183" t="s">
        <v>1037</v>
      </c>
      <c r="W19" s="1184">
        <f>J19</f>
        <v>100</v>
      </c>
      <c r="X19" s="1177"/>
      <c r="Y19" s="3467"/>
      <c r="Z19" s="1167" t="str">
        <f>Q19</f>
        <v>区域土地利用方向</v>
      </c>
      <c r="AA19" s="1194">
        <f t="shared" si="3"/>
        <v>1</v>
      </c>
      <c r="AB19" s="1194">
        <f t="shared" si="4"/>
        <v>1</v>
      </c>
      <c r="AC19" s="1194">
        <f t="shared" si="5"/>
        <v>1</v>
      </c>
    </row>
    <row r="20" spans="1:29" ht="15">
      <c r="A20" s="991"/>
      <c r="B20" s="1039"/>
      <c r="C20" s="1031"/>
      <c r="D20" s="1032"/>
      <c r="E20" s="1040"/>
      <c r="F20" s="1032"/>
      <c r="G20" s="1040"/>
      <c r="H20" s="1032"/>
      <c r="I20" s="1040"/>
      <c r="J20" s="1032"/>
      <c r="K20" s="1151"/>
      <c r="L20" s="1147"/>
      <c r="M20" s="1135"/>
      <c r="N20" s="1135"/>
      <c r="O20" s="1146"/>
      <c r="P20" s="3467"/>
      <c r="Q20" s="746"/>
      <c r="R20" s="1183"/>
      <c r="S20" s="1184"/>
      <c r="T20" s="1183"/>
      <c r="U20" s="1184"/>
      <c r="V20" s="1183"/>
      <c r="W20" s="1184"/>
      <c r="X20" s="1177"/>
      <c r="Y20" s="3467"/>
      <c r="Z20" s="1167"/>
      <c r="AA20" s="1194"/>
      <c r="AB20" s="1194"/>
      <c r="AC20" s="1194"/>
    </row>
    <row r="21" spans="1:29" ht="71.25">
      <c r="A21" s="991"/>
      <c r="B21" s="1035" t="s">
        <v>1572</v>
      </c>
      <c r="C21" s="1036" t="str">
        <f>估价对象房地状况!G18</f>
        <v>该园区内是否有污染型企业，绿化情况，卫生条件，整体环境状况判断</v>
      </c>
      <c r="D21" s="1034">
        <v>100</v>
      </c>
      <c r="E21" s="1037"/>
      <c r="F21" s="1034">
        <f>SUMIF(89:89,E22,90:90)-SUMIF(89:89,C22,90:90)+100</f>
        <v>100</v>
      </c>
      <c r="G21" s="1037"/>
      <c r="H21" s="1034">
        <f>SUMIF(89:89,G22,90:90)-SUMIF(89:89,C22,90:90)+100</f>
        <v>100</v>
      </c>
      <c r="I21" s="1149"/>
      <c r="J21" s="1034">
        <f>SUMIF(89:89,I22,90:90)-SUMIF(89:89,C22,90:90)+100</f>
        <v>100</v>
      </c>
      <c r="K21" s="1144"/>
      <c r="L21" s="1147"/>
      <c r="M21" s="1135"/>
      <c r="N21" s="1135"/>
      <c r="O21" s="1146"/>
      <c r="P21" s="3467"/>
      <c r="Q21" s="746" t="str">
        <f t="shared" si="8"/>
        <v>环境状况</v>
      </c>
      <c r="R21" s="1183" t="s">
        <v>1037</v>
      </c>
      <c r="S21" s="1184">
        <f>F21</f>
        <v>100</v>
      </c>
      <c r="T21" s="1183" t="s">
        <v>1037</v>
      </c>
      <c r="U21" s="1184">
        <f>H21</f>
        <v>100</v>
      </c>
      <c r="V21" s="1183" t="s">
        <v>1037</v>
      </c>
      <c r="W21" s="1184">
        <f>J21</f>
        <v>100</v>
      </c>
      <c r="X21" s="1177"/>
      <c r="Y21" s="3467"/>
      <c r="Z21" s="1167" t="str">
        <f>Q21</f>
        <v>环境状况</v>
      </c>
      <c r="AA21" s="1194">
        <f t="shared" si="3"/>
        <v>1</v>
      </c>
      <c r="AB21" s="1194">
        <f t="shared" si="4"/>
        <v>1</v>
      </c>
      <c r="AC21" s="1194">
        <f t="shared" si="5"/>
        <v>1</v>
      </c>
    </row>
    <row r="22" spans="1:29" ht="15">
      <c r="A22" s="991"/>
      <c r="B22" s="1039"/>
      <c r="C22" s="1031"/>
      <c r="D22" s="1032"/>
      <c r="E22" s="1033"/>
      <c r="F22" s="1032"/>
      <c r="G22" s="1033"/>
      <c r="H22" s="1032"/>
      <c r="I22" s="1031"/>
      <c r="J22" s="1032"/>
      <c r="K22" s="1140"/>
      <c r="L22" s="1147"/>
      <c r="M22" s="1135"/>
      <c r="N22" s="1135"/>
      <c r="O22" s="1146"/>
      <c r="P22" s="3467"/>
      <c r="Q22" s="746"/>
      <c r="R22" s="1183"/>
      <c r="S22" s="1184"/>
      <c r="T22" s="1183"/>
      <c r="U22" s="1184"/>
      <c r="V22" s="1183"/>
      <c r="W22" s="1184"/>
      <c r="X22" s="1177"/>
      <c r="Y22" s="3467"/>
      <c r="Z22" s="1167"/>
      <c r="AA22" s="1194">
        <v>1</v>
      </c>
      <c r="AB22" s="1194">
        <v>1</v>
      </c>
      <c r="AC22" s="1194">
        <v>1</v>
      </c>
    </row>
    <row r="23" spans="1:29" s="970" customFormat="1" ht="42.75">
      <c r="A23" s="1041"/>
      <c r="B23" s="1042" t="s">
        <v>1057</v>
      </c>
      <c r="C23" s="1036" t="str">
        <f>估价对象房地状况!G19</f>
        <v>估价对象所在区域公共配套设施齐备情况</v>
      </c>
      <c r="D23" s="1034">
        <v>100</v>
      </c>
      <c r="E23" s="1037"/>
      <c r="F23" s="1034">
        <f>SUMIF(91:91,E24,92:92)-SUMIF(91:91,C24,92:92)+100</f>
        <v>100</v>
      </c>
      <c r="G23" s="1037"/>
      <c r="H23" s="1034">
        <f>SUMIF(91:91,G24,92:92)-SUMIF(91:91,C24,92:92)+100</f>
        <v>100</v>
      </c>
      <c r="I23" s="1149"/>
      <c r="J23" s="1034">
        <f>SUMIF(91:91,I24,92:92)-SUMIF(91:91,C24,92:92)+100</f>
        <v>100</v>
      </c>
      <c r="K23" s="1144"/>
      <c r="L23" s="1137"/>
      <c r="M23" s="1138"/>
      <c r="N23" s="1138"/>
      <c r="O23" s="1139"/>
      <c r="P23" s="3467"/>
      <c r="Q23" s="1182" t="str">
        <f t="shared" si="8"/>
        <v>公共配套设施</v>
      </c>
      <c r="R23" s="1178" t="s">
        <v>1037</v>
      </c>
      <c r="S23" s="1179">
        <f>F23</f>
        <v>100</v>
      </c>
      <c r="T23" s="1178" t="s">
        <v>1037</v>
      </c>
      <c r="U23" s="1179">
        <f>H23</f>
        <v>100</v>
      </c>
      <c r="V23" s="1178" t="s">
        <v>1037</v>
      </c>
      <c r="W23" s="1179">
        <f>J23</f>
        <v>100</v>
      </c>
      <c r="X23" s="1180"/>
      <c r="Y23" s="3467"/>
      <c r="Z23" s="1193" t="str">
        <f>Q23</f>
        <v>公共配套设施</v>
      </c>
      <c r="AA23" s="1194">
        <f>D23/F23</f>
        <v>1</v>
      </c>
      <c r="AB23" s="1194">
        <f>D23/H23</f>
        <v>1</v>
      </c>
      <c r="AC23" s="1194">
        <f>D23/J23</f>
        <v>1</v>
      </c>
    </row>
    <row r="24" spans="1:29" s="970" customFormat="1" ht="15">
      <c r="A24" s="1041"/>
      <c r="B24" s="1039"/>
      <c r="C24" s="1043"/>
      <c r="D24" s="1032"/>
      <c r="E24" s="1033"/>
      <c r="F24" s="1032"/>
      <c r="G24" s="1033"/>
      <c r="H24" s="1032"/>
      <c r="I24" s="1031"/>
      <c r="J24" s="1032"/>
      <c r="K24" s="1140"/>
      <c r="L24" s="1137"/>
      <c r="M24" s="1138"/>
      <c r="N24" s="1138"/>
      <c r="O24" s="1139"/>
      <c r="P24" s="3467"/>
      <c r="Q24" s="1182"/>
      <c r="R24" s="1178"/>
      <c r="S24" s="1179"/>
      <c r="T24" s="1178"/>
      <c r="U24" s="1179"/>
      <c r="V24" s="1178"/>
      <c r="W24" s="1179"/>
      <c r="X24" s="1180"/>
      <c r="Y24" s="3467"/>
      <c r="Z24" s="1193"/>
      <c r="AA24" s="1192">
        <v>1</v>
      </c>
      <c r="AB24" s="1192">
        <v>1</v>
      </c>
      <c r="AC24" s="1192">
        <v>1</v>
      </c>
    </row>
    <row r="25" spans="1:29" s="970" customFormat="1" ht="28.5">
      <c r="A25" s="1041"/>
      <c r="B25" s="1042" t="s">
        <v>1058</v>
      </c>
      <c r="C25" s="1036" t="str">
        <f>估价对象房地状况!G20</f>
        <v>估价对象所在区域基础设施水平</v>
      </c>
      <c r="D25" s="1034">
        <v>100</v>
      </c>
      <c r="E25" s="1037"/>
      <c r="F25" s="1034">
        <f>SUMIF(93:93,E26,94:94)-SUMIF(93:93,C26,94:94)+100</f>
        <v>100</v>
      </c>
      <c r="G25" s="1037"/>
      <c r="H25" s="1034">
        <f>SUMIF(93:93,G26,94:94)-SUMIF(93:93,C26,94:94)+100</f>
        <v>100</v>
      </c>
      <c r="I25" s="1149"/>
      <c r="J25" s="1034">
        <f>SUMIF(93:93,I26,94:94)-SUMIF(93:93,C26,94:94)+100</f>
        <v>100</v>
      </c>
      <c r="K25" s="1144"/>
      <c r="L25" s="1137"/>
      <c r="M25" s="1138"/>
      <c r="N25" s="1138"/>
      <c r="O25" s="1139"/>
      <c r="P25" s="3467"/>
      <c r="Q25" s="1182" t="str">
        <f t="shared" ref="Q25" si="9">B25</f>
        <v>基础设施水平</v>
      </c>
      <c r="R25" s="1178" t="s">
        <v>1037</v>
      </c>
      <c r="S25" s="1179">
        <f>F25</f>
        <v>100</v>
      </c>
      <c r="T25" s="1178" t="s">
        <v>1037</v>
      </c>
      <c r="U25" s="1179">
        <f>H25</f>
        <v>100</v>
      </c>
      <c r="V25" s="1178" t="s">
        <v>1037</v>
      </c>
      <c r="W25" s="1179">
        <f>J25</f>
        <v>100</v>
      </c>
      <c r="X25" s="1180"/>
      <c r="Y25" s="3467"/>
      <c r="Z25" s="1193" t="str">
        <f>Q25</f>
        <v>基础设施水平</v>
      </c>
      <c r="AA25" s="1194">
        <f>D25/F25</f>
        <v>1</v>
      </c>
      <c r="AB25" s="1194">
        <f>D25/H25</f>
        <v>1</v>
      </c>
      <c r="AC25" s="1194">
        <f>D25/J25</f>
        <v>1</v>
      </c>
    </row>
    <row r="26" spans="1:29" s="970" customFormat="1" ht="15">
      <c r="A26" s="1041"/>
      <c r="B26" s="1039"/>
      <c r="C26" s="1043"/>
      <c r="D26" s="1032"/>
      <c r="E26" s="1044"/>
      <c r="F26" s="1032"/>
      <c r="G26" s="1044"/>
      <c r="H26" s="1032"/>
      <c r="I26" s="1044"/>
      <c r="J26" s="1032"/>
      <c r="K26" s="1140"/>
      <c r="L26" s="1137"/>
      <c r="M26" s="1138"/>
      <c r="N26" s="1138"/>
      <c r="O26" s="1139"/>
      <c r="P26" s="3467"/>
      <c r="Q26" s="1182"/>
      <c r="R26" s="1178"/>
      <c r="S26" s="1179"/>
      <c r="T26" s="1178"/>
      <c r="U26" s="1179"/>
      <c r="V26" s="1178"/>
      <c r="W26" s="1179"/>
      <c r="X26" s="1180"/>
      <c r="Y26" s="3467"/>
      <c r="Z26" s="1193"/>
      <c r="AA26" s="1192">
        <v>1</v>
      </c>
      <c r="AB26" s="1192">
        <v>1</v>
      </c>
      <c r="AC26" s="1192">
        <v>1</v>
      </c>
    </row>
    <row r="27" spans="1:29" ht="15">
      <c r="A27" s="1011"/>
      <c r="B27" s="1039" t="s">
        <v>1473</v>
      </c>
      <c r="C27" s="1045"/>
      <c r="D27" s="1020">
        <v>100</v>
      </c>
      <c r="E27" s="1046"/>
      <c r="F27" s="1020">
        <f>SUMIF(95:95,E27,96:96)-SUMIF(95:95,C27,96:96)+100</f>
        <v>100</v>
      </c>
      <c r="G27" s="1046"/>
      <c r="H27" s="1020">
        <f>SUMIF(95:95,G27,96:96)-SUMIF(95:95,C27,96:96)+100</f>
        <v>100</v>
      </c>
      <c r="I27" s="1046"/>
      <c r="J27" s="1020">
        <f>SUMIF(95:95,I27,96:96)-SUMIF(95:95,C27,96:96)+100</f>
        <v>100</v>
      </c>
      <c r="K27" s="1144"/>
      <c r="L27" s="1147"/>
      <c r="M27" s="1135"/>
      <c r="N27" s="1135"/>
      <c r="O27" s="1146"/>
      <c r="P27" s="3467"/>
      <c r="Q27" s="746" t="str">
        <f t="shared" si="8"/>
        <v>临街状况</v>
      </c>
      <c r="R27" s="1183" t="s">
        <v>1037</v>
      </c>
      <c r="S27" s="1184">
        <f t="shared" ref="S27:S40" si="10">F27</f>
        <v>100</v>
      </c>
      <c r="T27" s="1183" t="s">
        <v>1037</v>
      </c>
      <c r="U27" s="1184">
        <f t="shared" ref="U27:U40" si="11">H27</f>
        <v>100</v>
      </c>
      <c r="V27" s="1183" t="s">
        <v>1037</v>
      </c>
      <c r="W27" s="1184">
        <f t="shared" ref="W27:W40" si="12">J27</f>
        <v>100</v>
      </c>
      <c r="X27" s="1177"/>
      <c r="Y27" s="3467"/>
      <c r="Z27" s="1167" t="str">
        <f t="shared" ref="Z27:Z40" si="13">Q27</f>
        <v>临街状况</v>
      </c>
      <c r="AA27" s="1194">
        <f t="shared" si="3"/>
        <v>1</v>
      </c>
      <c r="AB27" s="1194">
        <f t="shared" si="4"/>
        <v>1</v>
      </c>
      <c r="AC27" s="1194">
        <f t="shared" si="5"/>
        <v>1</v>
      </c>
    </row>
    <row r="28" spans="1:29" ht="27">
      <c r="A28" s="1011"/>
      <c r="B28" s="1042" t="s">
        <v>1487</v>
      </c>
      <c r="C28" s="1047">
        <f>估价对象房地状况!G22</f>
        <v>0</v>
      </c>
      <c r="D28" s="1034">
        <v>100</v>
      </c>
      <c r="E28" s="1037"/>
      <c r="F28" s="1034">
        <f>SUMIF(97:97,E29,98:98)-SUMIF(97:97,C29,98:98)+100</f>
        <v>100</v>
      </c>
      <c r="G28" s="1037"/>
      <c r="H28" s="1034">
        <f>SUMIF(97:97,G29,98:98)-SUMIF(97:97,C29,98:98)+100</f>
        <v>100</v>
      </c>
      <c r="I28" s="1149"/>
      <c r="J28" s="1034">
        <f>SUMIF(97:97,I29,98:98)-SUMIF(97:97,C29,98:98)+100</f>
        <v>100</v>
      </c>
      <c r="K28" s="1144"/>
      <c r="L28" s="1147"/>
      <c r="M28" s="1135"/>
      <c r="N28" s="1135"/>
      <c r="O28" s="1146"/>
      <c r="P28" s="3467"/>
      <c r="Q28" s="746" t="str">
        <f t="shared" si="8"/>
        <v>毗邻道路的类型与等级</v>
      </c>
      <c r="R28" s="1183" t="s">
        <v>1037</v>
      </c>
      <c r="S28" s="1184">
        <f t="shared" si="10"/>
        <v>100</v>
      </c>
      <c r="T28" s="1183" t="s">
        <v>1037</v>
      </c>
      <c r="U28" s="1184">
        <f t="shared" si="11"/>
        <v>100</v>
      </c>
      <c r="V28" s="1183" t="s">
        <v>1037</v>
      </c>
      <c r="W28" s="1184">
        <f t="shared" si="12"/>
        <v>100</v>
      </c>
      <c r="X28" s="1177"/>
      <c r="Y28" s="3467"/>
      <c r="Z28" s="1167" t="str">
        <f t="shared" si="13"/>
        <v>毗邻道路的类型与等级</v>
      </c>
      <c r="AA28" s="1194">
        <f t="shared" si="3"/>
        <v>1</v>
      </c>
      <c r="AB28" s="1194">
        <f t="shared" si="4"/>
        <v>1</v>
      </c>
      <c r="AC28" s="1194">
        <f t="shared" si="5"/>
        <v>1</v>
      </c>
    </row>
    <row r="29" spans="1:29" ht="15">
      <c r="A29" s="1011"/>
      <c r="B29" s="1039"/>
      <c r="C29" s="1031"/>
      <c r="D29" s="1032"/>
      <c r="E29" s="1033"/>
      <c r="F29" s="1032"/>
      <c r="G29" s="1033"/>
      <c r="H29" s="1032"/>
      <c r="I29" s="1033"/>
      <c r="J29" s="1032"/>
      <c r="K29" s="1152"/>
      <c r="L29" s="1147"/>
      <c r="M29" s="1135"/>
      <c r="N29" s="1135"/>
      <c r="O29" s="1146"/>
      <c r="P29" s="3467"/>
      <c r="Q29" s="746"/>
      <c r="R29" s="1183"/>
      <c r="S29" s="1184"/>
      <c r="T29" s="1183"/>
      <c r="U29" s="1184"/>
      <c r="V29" s="1183"/>
      <c r="W29" s="1184"/>
      <c r="X29" s="1177"/>
      <c r="Y29" s="3467"/>
      <c r="Z29" s="1167"/>
      <c r="AA29" s="1194">
        <v>1</v>
      </c>
      <c r="AB29" s="1194">
        <v>1</v>
      </c>
      <c r="AC29" s="1194">
        <v>1</v>
      </c>
    </row>
    <row r="30" spans="1:29" ht="15">
      <c r="A30" s="1011"/>
      <c r="B30" s="1048" t="s">
        <v>1517</v>
      </c>
      <c r="C30" s="1049">
        <f>估价对象房地状况!G23</f>
        <v>0</v>
      </c>
      <c r="D30" s="1020">
        <v>100</v>
      </c>
      <c r="E30" s="1046"/>
      <c r="F30" s="1020">
        <f>SUMIF(99:99,E30,100:100)-SUMIF(99:99,C30,100:100)+100</f>
        <v>100</v>
      </c>
      <c r="G30" s="1046"/>
      <c r="H30" s="1020">
        <f>SUMIF(99:99,G30,100:100)-SUMIF(99:99,C30,100:100)+100</f>
        <v>100</v>
      </c>
      <c r="I30" s="1046"/>
      <c r="J30" s="1020">
        <f>SUMIF(99:99,I30,100:100)-SUMIF(99:99,C30,100:100)+100</f>
        <v>100</v>
      </c>
      <c r="K30" s="1153"/>
      <c r="L30" s="1147"/>
      <c r="M30" s="1135"/>
      <c r="N30" s="1135"/>
      <c r="O30" s="1146"/>
      <c r="P30" s="3467"/>
      <c r="Q30" s="746" t="str">
        <f t="shared" si="8"/>
        <v>土地级别</v>
      </c>
      <c r="R30" s="1183" t="s">
        <v>1037</v>
      </c>
      <c r="S30" s="1184">
        <f t="shared" si="10"/>
        <v>100</v>
      </c>
      <c r="T30" s="1183" t="s">
        <v>1037</v>
      </c>
      <c r="U30" s="1184">
        <f t="shared" si="11"/>
        <v>100</v>
      </c>
      <c r="V30" s="1183" t="s">
        <v>1037</v>
      </c>
      <c r="W30" s="1184">
        <f t="shared" si="12"/>
        <v>100</v>
      </c>
      <c r="X30" s="1177"/>
      <c r="Y30" s="3467"/>
      <c r="Z30" s="1167" t="str">
        <f t="shared" si="13"/>
        <v>土地级别</v>
      </c>
      <c r="AA30" s="1194">
        <f t="shared" si="3"/>
        <v>1</v>
      </c>
      <c r="AB30" s="1194">
        <f t="shared" si="4"/>
        <v>1</v>
      </c>
      <c r="AC30" s="1194">
        <f t="shared" si="5"/>
        <v>1</v>
      </c>
    </row>
    <row r="31" spans="1:29" ht="15">
      <c r="A31" s="991"/>
      <c r="B31" s="1050">
        <v>111</v>
      </c>
      <c r="C31" s="1018"/>
      <c r="D31" s="1020">
        <v>100</v>
      </c>
      <c r="E31" s="1051"/>
      <c r="F31" s="1020">
        <f>SUMIF(101:101,E31,102:102)-SUMIF(101:101,C31,102:102)+100</f>
        <v>100</v>
      </c>
      <c r="G31" s="1051"/>
      <c r="H31" s="1020">
        <f>SUMIF(101:101,G31,102:102)-SUMIF(101:101,C31,102:102)+100</f>
        <v>100</v>
      </c>
      <c r="I31" s="1017"/>
      <c r="J31" s="1020">
        <f>SUMIF(101:101,I31,102:102)-SUMIF(101:101,C31,102:102)+100</f>
        <v>100</v>
      </c>
      <c r="K31" s="1152"/>
      <c r="L31" s="1147"/>
      <c r="M31" s="1135"/>
      <c r="N31" s="1135"/>
      <c r="O31" s="1146"/>
      <c r="P31" s="3467"/>
      <c r="Q31" s="746">
        <f t="shared" si="8"/>
        <v>111</v>
      </c>
      <c r="R31" s="1183" t="s">
        <v>1037</v>
      </c>
      <c r="S31" s="1184">
        <f t="shared" si="10"/>
        <v>100</v>
      </c>
      <c r="T31" s="1183" t="s">
        <v>1037</v>
      </c>
      <c r="U31" s="1184">
        <f t="shared" si="11"/>
        <v>100</v>
      </c>
      <c r="V31" s="1183" t="s">
        <v>1037</v>
      </c>
      <c r="W31" s="1184">
        <f t="shared" si="12"/>
        <v>100</v>
      </c>
      <c r="X31" s="1177"/>
      <c r="Y31" s="3467"/>
      <c r="Z31" s="1167">
        <f t="shared" si="13"/>
        <v>111</v>
      </c>
      <c r="AA31" s="1194">
        <f t="shared" si="3"/>
        <v>1</v>
      </c>
      <c r="AB31" s="1194">
        <f t="shared" si="4"/>
        <v>1</v>
      </c>
      <c r="AC31" s="1194">
        <f t="shared" si="5"/>
        <v>1</v>
      </c>
    </row>
    <row r="32" spans="1:29" ht="15">
      <c r="A32" s="1052"/>
      <c r="B32" s="1053">
        <v>111</v>
      </c>
      <c r="C32" s="1018"/>
      <c r="D32" s="1020">
        <v>100</v>
      </c>
      <c r="E32" s="1051"/>
      <c r="F32" s="1020">
        <f>SUMIF(103:103,E33,104:104)-SUMIF(103:103,C33,104:104)+100</f>
        <v>100</v>
      </c>
      <c r="G32" s="1051"/>
      <c r="H32" s="1020">
        <f>SUMIF(103:103,G32,104:104)-SUMIF(103:103,C32,104:104)+100</f>
        <v>100</v>
      </c>
      <c r="I32" s="1018"/>
      <c r="J32" s="1020">
        <f>SUMIF(103:103,I32,104:104)-SUMIF(103:103,C32,104:104)+100</f>
        <v>100</v>
      </c>
      <c r="K32" s="1152"/>
      <c r="L32" s="1147"/>
      <c r="M32" s="1135"/>
      <c r="N32" s="1135"/>
      <c r="O32" s="1146"/>
      <c r="P32" s="3504" t="s">
        <v>1068</v>
      </c>
      <c r="Q32" s="746">
        <f t="shared" si="8"/>
        <v>111</v>
      </c>
      <c r="R32" s="1183" t="s">
        <v>1037</v>
      </c>
      <c r="S32" s="1184">
        <f t="shared" si="10"/>
        <v>100</v>
      </c>
      <c r="T32" s="1183" t="s">
        <v>1037</v>
      </c>
      <c r="U32" s="1184">
        <f t="shared" si="11"/>
        <v>100</v>
      </c>
      <c r="V32" s="1183" t="s">
        <v>1037</v>
      </c>
      <c r="W32" s="1184">
        <f t="shared" si="12"/>
        <v>100</v>
      </c>
      <c r="X32" s="1177"/>
      <c r="Y32" s="3468" t="s">
        <v>1068</v>
      </c>
      <c r="Z32" s="1167">
        <f t="shared" si="13"/>
        <v>111</v>
      </c>
      <c r="AA32" s="1194">
        <f t="shared" si="3"/>
        <v>1</v>
      </c>
      <c r="AB32" s="1194">
        <f t="shared" si="4"/>
        <v>1</v>
      </c>
      <c r="AC32" s="1194">
        <f t="shared" si="5"/>
        <v>1</v>
      </c>
    </row>
    <row r="33" spans="1:31" s="972" customFormat="1" ht="15">
      <c r="A33" s="1054"/>
      <c r="B33" s="1055">
        <v>111</v>
      </c>
      <c r="C33" s="1056"/>
      <c r="D33" s="1057">
        <v>100</v>
      </c>
      <c r="E33" s="1058"/>
      <c r="F33" s="1024">
        <f>SUMIF(105:105,E33,106:106)-SUMIF(105:105,C33,106:106)+100</f>
        <v>100</v>
      </c>
      <c r="G33" s="1058"/>
      <c r="H33" s="1024">
        <f>SUMIF(105:105,G33,106:106)-SUMIF(105:105,C33,106:106)+100</f>
        <v>100</v>
      </c>
      <c r="I33" s="1056"/>
      <c r="J33" s="1024">
        <f>SUMIF(105:105,I33,106:106)-SUMIF(105:105,C33,106:106)+100</f>
        <v>100</v>
      </c>
      <c r="K33" s="1152"/>
      <c r="L33" s="1145"/>
      <c r="M33" s="1154"/>
      <c r="N33" s="1154"/>
      <c r="O33" s="1155"/>
      <c r="P33" s="3468"/>
      <c r="Q33" s="746">
        <f t="shared" si="8"/>
        <v>111</v>
      </c>
      <c r="R33" s="1185" t="s">
        <v>1037</v>
      </c>
      <c r="S33" s="1186">
        <f t="shared" si="10"/>
        <v>100</v>
      </c>
      <c r="T33" s="1185" t="s">
        <v>1037</v>
      </c>
      <c r="U33" s="1186">
        <f t="shared" si="11"/>
        <v>100</v>
      </c>
      <c r="V33" s="1185" t="s">
        <v>1037</v>
      </c>
      <c r="W33" s="1186">
        <f t="shared" si="12"/>
        <v>100</v>
      </c>
      <c r="X33" s="1187"/>
      <c r="Y33" s="3468"/>
      <c r="Z33" s="1195">
        <f t="shared" si="13"/>
        <v>111</v>
      </c>
      <c r="AA33" s="1194">
        <f t="shared" si="3"/>
        <v>1</v>
      </c>
      <c r="AB33" s="1194">
        <f t="shared" si="4"/>
        <v>1</v>
      </c>
      <c r="AC33" s="1194">
        <f t="shared" si="5"/>
        <v>1</v>
      </c>
    </row>
    <row r="34" spans="1:31" ht="15">
      <c r="A34" s="1025" t="s">
        <v>1065</v>
      </c>
      <c r="B34" s="1059" t="s">
        <v>1518</v>
      </c>
      <c r="C34" s="1060"/>
      <c r="D34" s="1061">
        <v>100</v>
      </c>
      <c r="E34" s="1060"/>
      <c r="F34" s="1061" t="e">
        <f>LOOKUP(E34,108:108,109:109)-LOOKUP(C34,108:108,109:109)+100</f>
        <v>#N/A</v>
      </c>
      <c r="G34" s="1060"/>
      <c r="H34" s="1061" t="e">
        <f>LOOKUP(G34,108:108,109:109)-LOOKUP(C34,108:108,109:109)+100</f>
        <v>#N/A</v>
      </c>
      <c r="I34" s="1156"/>
      <c r="J34" s="1061" t="e">
        <f>LOOKUP(I34,108:108,109:109)-LOOKUP(C34,108:108,109:109)+100</f>
        <v>#N/A</v>
      </c>
      <c r="K34" s="1152"/>
      <c r="L34" s="1147"/>
      <c r="M34" s="1135"/>
      <c r="N34" s="1135"/>
      <c r="O34" s="1146"/>
      <c r="P34" s="3468"/>
      <c r="Q34" s="746" t="str">
        <f t="shared" si="8"/>
        <v>宗地面积</v>
      </c>
      <c r="R34" s="1183" t="s">
        <v>1037</v>
      </c>
      <c r="S34" s="1184" t="e">
        <f t="shared" si="10"/>
        <v>#N/A</v>
      </c>
      <c r="T34" s="1183" t="s">
        <v>1037</v>
      </c>
      <c r="U34" s="1184" t="e">
        <f t="shared" si="11"/>
        <v>#N/A</v>
      </c>
      <c r="V34" s="1183" t="s">
        <v>1037</v>
      </c>
      <c r="W34" s="1184" t="e">
        <f t="shared" si="12"/>
        <v>#N/A</v>
      </c>
      <c r="X34" s="1177"/>
      <c r="Y34" s="3468"/>
      <c r="Z34" s="1167" t="str">
        <f t="shared" si="13"/>
        <v>宗地面积</v>
      </c>
      <c r="AA34" s="1194" t="e">
        <f t="shared" si="3"/>
        <v>#N/A</v>
      </c>
      <c r="AB34" s="1194" t="e">
        <f t="shared" si="4"/>
        <v>#N/A</v>
      </c>
      <c r="AC34" s="1194" t="e">
        <f t="shared" si="5"/>
        <v>#N/A</v>
      </c>
    </row>
    <row r="35" spans="1:31" ht="15">
      <c r="A35" s="1062"/>
      <c r="B35" s="1008" t="s">
        <v>1519</v>
      </c>
      <c r="C35" s="1063"/>
      <c r="D35" s="1020">
        <v>100</v>
      </c>
      <c r="E35" s="1063"/>
      <c r="F35" s="1020">
        <f>SUMIF(110:110,E35,111:111)-SUMIF(110:110,C35,111:111)+100</f>
        <v>100</v>
      </c>
      <c r="G35" s="1063"/>
      <c r="H35" s="1020">
        <f>SUMIF(110:110,G35,111:111)-SUMIF(110:110,C35,111:111)+100</f>
        <v>100</v>
      </c>
      <c r="I35" s="1063"/>
      <c r="J35" s="1020">
        <f>SUMIF(110:110,I35,111:111)-SUMIF(110:110,C35,111:111)+100</f>
        <v>100</v>
      </c>
      <c r="K35" s="1153"/>
      <c r="L35" s="1147"/>
      <c r="M35" s="1135"/>
      <c r="N35" s="1135"/>
      <c r="O35" s="1146"/>
      <c r="P35" s="3468"/>
      <c r="Q35" s="746" t="str">
        <f t="shared" ref="Q35:Q40" si="14">B35</f>
        <v>宗地形状</v>
      </c>
      <c r="R35" s="1183" t="s">
        <v>1037</v>
      </c>
      <c r="S35" s="1184">
        <f t="shared" si="10"/>
        <v>100</v>
      </c>
      <c r="T35" s="1183" t="s">
        <v>1037</v>
      </c>
      <c r="U35" s="1184">
        <f t="shared" si="11"/>
        <v>100</v>
      </c>
      <c r="V35" s="1183" t="s">
        <v>1037</v>
      </c>
      <c r="W35" s="1184">
        <f t="shared" si="12"/>
        <v>100</v>
      </c>
      <c r="X35" s="1177"/>
      <c r="Y35" s="3468"/>
      <c r="Z35" s="1167" t="str">
        <f t="shared" si="13"/>
        <v>宗地形状</v>
      </c>
      <c r="AA35" s="1194">
        <f t="shared" si="3"/>
        <v>1</v>
      </c>
      <c r="AB35" s="1194">
        <f t="shared" si="4"/>
        <v>1</v>
      </c>
      <c r="AC35" s="1194">
        <f t="shared" si="5"/>
        <v>1</v>
      </c>
    </row>
    <row r="36" spans="1:31" s="970" customFormat="1" ht="15">
      <c r="A36" s="1064"/>
      <c r="B36" s="1008" t="s">
        <v>1522</v>
      </c>
      <c r="C36" s="1065"/>
      <c r="D36" s="1010">
        <v>100</v>
      </c>
      <c r="E36" s="1065"/>
      <c r="F36" s="1020">
        <f>SUMIF(112:112,E36,113:113)-SUMIF(112:112,C36,113:113)+100</f>
        <v>100</v>
      </c>
      <c r="G36" s="1065"/>
      <c r="H36" s="1020">
        <f>SUMIF(112:112,G36,113:113)-SUMIF(112:112,C36,113:113)+100</f>
        <v>100</v>
      </c>
      <c r="I36" s="1065"/>
      <c r="J36" s="1020">
        <f>SUMIF(112:112,I36,113:113)-SUMIF(112:112,C36,113:113)+100</f>
        <v>100</v>
      </c>
      <c r="K36" s="1153"/>
      <c r="L36" s="1137"/>
      <c r="M36" s="1138"/>
      <c r="N36" s="1138"/>
      <c r="O36" s="1139"/>
      <c r="P36" s="3468"/>
      <c r="Q36" s="746" t="str">
        <f t="shared" si="14"/>
        <v>宗地开发程度</v>
      </c>
      <c r="R36" s="1178" t="s">
        <v>1037</v>
      </c>
      <c r="S36" s="1179">
        <f t="shared" si="10"/>
        <v>100</v>
      </c>
      <c r="T36" s="1178" t="s">
        <v>1037</v>
      </c>
      <c r="U36" s="1179">
        <f t="shared" si="11"/>
        <v>100</v>
      </c>
      <c r="V36" s="1178" t="s">
        <v>1037</v>
      </c>
      <c r="W36" s="1179">
        <f t="shared" si="12"/>
        <v>100</v>
      </c>
      <c r="X36" s="1180"/>
      <c r="Y36" s="3468"/>
      <c r="Z36" s="1193" t="str">
        <f t="shared" si="13"/>
        <v>宗地开发程度</v>
      </c>
      <c r="AA36" s="1192">
        <f t="shared" si="3"/>
        <v>1</v>
      </c>
      <c r="AB36" s="1192">
        <f t="shared" si="4"/>
        <v>1</v>
      </c>
      <c r="AC36" s="1192">
        <f t="shared" si="5"/>
        <v>1</v>
      </c>
    </row>
    <row r="37" spans="1:31" ht="15">
      <c r="A37" s="1062"/>
      <c r="B37" s="1008" t="s">
        <v>1523</v>
      </c>
      <c r="C37" s="1063"/>
      <c r="D37" s="1020">
        <v>100</v>
      </c>
      <c r="E37" s="1063"/>
      <c r="F37" s="1020">
        <f>SUMIF(114:114,E37,115:115)-SUMIF(114:114,C37,115:115)+100</f>
        <v>100</v>
      </c>
      <c r="G37" s="1063"/>
      <c r="H37" s="1020">
        <f>SUMIF(114:114,G37,115:115)-SUMIF(114:114,C37,115:115)+100</f>
        <v>100</v>
      </c>
      <c r="I37" s="1063"/>
      <c r="J37" s="1020">
        <f>SUMIF(114:114,I37,115:115)-SUMIF(114:114,C37,115:115)+100</f>
        <v>100</v>
      </c>
      <c r="K37" s="1153"/>
      <c r="L37" s="1147"/>
      <c r="M37" s="1135"/>
      <c r="N37" s="1135"/>
      <c r="O37" s="1146"/>
      <c r="P37" s="3468" t="s">
        <v>1068</v>
      </c>
      <c r="Q37" s="746" t="str">
        <f t="shared" si="14"/>
        <v>工程地质条件</v>
      </c>
      <c r="R37" s="1183" t="s">
        <v>1037</v>
      </c>
      <c r="S37" s="1184">
        <f t="shared" si="10"/>
        <v>100</v>
      </c>
      <c r="T37" s="1183" t="s">
        <v>1037</v>
      </c>
      <c r="U37" s="1184">
        <f t="shared" si="11"/>
        <v>100</v>
      </c>
      <c r="V37" s="1183" t="s">
        <v>1037</v>
      </c>
      <c r="W37" s="1184">
        <f t="shared" si="12"/>
        <v>100</v>
      </c>
      <c r="X37" s="1177"/>
      <c r="Y37" s="3468" t="s">
        <v>1068</v>
      </c>
      <c r="Z37" s="1167" t="str">
        <f t="shared" si="13"/>
        <v>工程地质条件</v>
      </c>
      <c r="AA37" s="1194">
        <f t="shared" si="3"/>
        <v>1</v>
      </c>
      <c r="AB37" s="1194">
        <f t="shared" si="4"/>
        <v>1</v>
      </c>
      <c r="AC37" s="1194">
        <f t="shared" si="5"/>
        <v>1</v>
      </c>
    </row>
    <row r="38" spans="1:31" ht="15">
      <c r="A38" s="1062"/>
      <c r="B38" s="1066">
        <v>111</v>
      </c>
      <c r="C38" s="1018"/>
      <c r="D38" s="1020">
        <v>100</v>
      </c>
      <c r="E38" s="1018"/>
      <c r="F38" s="1020">
        <f>SUMIF(116:116,E38,117:117)-SUMIF(116:116,C38,117:117)+100</f>
        <v>100</v>
      </c>
      <c r="G38" s="1018"/>
      <c r="H38" s="1020">
        <f>SUMIF(116:116,G38,117:117)-SUMIF(116:116,C38,117:117)+100</f>
        <v>100</v>
      </c>
      <c r="I38" s="1017"/>
      <c r="J38" s="1020">
        <f>SUMIF(116:116,I38,117:117)-SUMIF(116:116,C38,117:117)+100</f>
        <v>100</v>
      </c>
      <c r="K38" s="1152"/>
      <c r="L38" s="1147"/>
      <c r="M38" s="1135"/>
      <c r="N38" s="1135"/>
      <c r="O38" s="1146"/>
      <c r="P38" s="3468"/>
      <c r="Q38" s="746">
        <f t="shared" si="14"/>
        <v>111</v>
      </c>
      <c r="R38" s="1183" t="s">
        <v>1037</v>
      </c>
      <c r="S38" s="1184">
        <f t="shared" si="10"/>
        <v>100</v>
      </c>
      <c r="T38" s="1183" t="s">
        <v>1037</v>
      </c>
      <c r="U38" s="1184">
        <f t="shared" si="11"/>
        <v>100</v>
      </c>
      <c r="V38" s="1183" t="s">
        <v>1037</v>
      </c>
      <c r="W38" s="1184">
        <f t="shared" si="12"/>
        <v>100</v>
      </c>
      <c r="X38" s="1177"/>
      <c r="Y38" s="3468"/>
      <c r="Z38" s="1167">
        <f t="shared" si="13"/>
        <v>111</v>
      </c>
      <c r="AA38" s="1194">
        <f t="shared" si="3"/>
        <v>1</v>
      </c>
      <c r="AB38" s="1194">
        <f t="shared" si="4"/>
        <v>1</v>
      </c>
      <c r="AC38" s="1194">
        <f t="shared" si="5"/>
        <v>1</v>
      </c>
    </row>
    <row r="39" spans="1:31" ht="15">
      <c r="A39" s="1062"/>
      <c r="B39" s="1066">
        <v>111</v>
      </c>
      <c r="C39" s="1018"/>
      <c r="D39" s="1020">
        <v>100</v>
      </c>
      <c r="E39" s="1018"/>
      <c r="F39" s="1020">
        <f>SUMIF(118:118,E39,119:119)-SUMIF(118:118,C39,119:119)+100</f>
        <v>100</v>
      </c>
      <c r="G39" s="1018"/>
      <c r="H39" s="1020">
        <f>SUMIF(118:118,G39,119:119)-SUMIF(118:118,C39,119:119)+100</f>
        <v>100</v>
      </c>
      <c r="I39" s="1017"/>
      <c r="J39" s="1020">
        <f>SUMIF(118:118,I39,119:119)-SUMIF(118:118,C39,119:119)+100</f>
        <v>100</v>
      </c>
      <c r="K39" s="1152"/>
      <c r="L39" s="1147"/>
      <c r="M39" s="1135"/>
      <c r="N39" s="1135"/>
      <c r="O39" s="1146"/>
      <c r="P39" s="3468"/>
      <c r="Q39" s="746">
        <f t="shared" si="14"/>
        <v>111</v>
      </c>
      <c r="R39" s="1183" t="s">
        <v>1037</v>
      </c>
      <c r="S39" s="1184">
        <f t="shared" si="10"/>
        <v>100</v>
      </c>
      <c r="T39" s="1183" t="s">
        <v>1037</v>
      </c>
      <c r="U39" s="1184">
        <f t="shared" si="11"/>
        <v>100</v>
      </c>
      <c r="V39" s="1183" t="s">
        <v>1037</v>
      </c>
      <c r="W39" s="1184">
        <f t="shared" si="12"/>
        <v>100</v>
      </c>
      <c r="X39" s="1177"/>
      <c r="Y39" s="3468"/>
      <c r="Z39" s="1167">
        <f t="shared" si="13"/>
        <v>111</v>
      </c>
      <c r="AA39" s="1194">
        <f t="shared" si="3"/>
        <v>1</v>
      </c>
      <c r="AB39" s="1194">
        <f t="shared" si="4"/>
        <v>1</v>
      </c>
      <c r="AC39" s="1194">
        <f t="shared" si="5"/>
        <v>1</v>
      </c>
    </row>
    <row r="40" spans="1:31" s="972" customFormat="1" ht="15">
      <c r="A40" s="1067"/>
      <c r="B40" s="1066">
        <v>111</v>
      </c>
      <c r="C40" s="1068"/>
      <c r="D40" s="1057">
        <v>100</v>
      </c>
      <c r="E40" s="1018"/>
      <c r="F40" s="1024">
        <f>SUMIF(120:120,E40,121:121)-SUMIF(120:120,C40,121:121)+100</f>
        <v>100</v>
      </c>
      <c r="G40" s="1018"/>
      <c r="H40" s="1024">
        <f>SUMIF(120:120,G40,121:121)-SUMIF(120:120,C40,121:121)+100</f>
        <v>100</v>
      </c>
      <c r="I40" s="1017"/>
      <c r="J40" s="1024">
        <f>SUMIF(120:120,I40,121:121)-SUMIF(120:120,C40,121:121)+100</f>
        <v>100</v>
      </c>
      <c r="K40" s="1157"/>
      <c r="L40" s="1145"/>
      <c r="M40" s="1154"/>
      <c r="N40" s="1154"/>
      <c r="O40" s="1155"/>
      <c r="P40" s="3468"/>
      <c r="Q40" s="746">
        <f t="shared" si="14"/>
        <v>111</v>
      </c>
      <c r="R40" s="1185" t="s">
        <v>1037</v>
      </c>
      <c r="S40" s="1186">
        <f t="shared" si="10"/>
        <v>100</v>
      </c>
      <c r="T40" s="1185" t="s">
        <v>1037</v>
      </c>
      <c r="U40" s="1186">
        <f t="shared" si="11"/>
        <v>100</v>
      </c>
      <c r="V40" s="1185" t="s">
        <v>1037</v>
      </c>
      <c r="W40" s="1186">
        <f t="shared" si="12"/>
        <v>100</v>
      </c>
      <c r="X40" s="1187"/>
      <c r="Y40" s="3468"/>
      <c r="Z40" s="1195">
        <f t="shared" si="13"/>
        <v>111</v>
      </c>
      <c r="AA40" s="1194">
        <f t="shared" si="3"/>
        <v>1</v>
      </c>
      <c r="AB40" s="1194">
        <f t="shared" si="4"/>
        <v>1</v>
      </c>
      <c r="AC40" s="1194">
        <f t="shared" si="5"/>
        <v>1</v>
      </c>
    </row>
    <row r="41" spans="1:31" ht="15">
      <c r="A41" s="1069" t="s">
        <v>1504</v>
      </c>
      <c r="B41" s="1070" t="s">
        <v>1573</v>
      </c>
      <c r="C41" s="1071" t="s">
        <v>124</v>
      </c>
      <c r="D41" s="1072"/>
      <c r="E41" s="1073"/>
      <c r="F41" s="1074"/>
      <c r="G41" s="1075"/>
      <c r="H41" s="1076"/>
      <c r="I41" s="1073"/>
      <c r="J41" s="1076"/>
      <c r="K41" s="1158"/>
      <c r="L41" s="1159"/>
      <c r="M41" s="1135"/>
      <c r="N41" s="1135"/>
      <c r="O41" s="1086"/>
      <c r="P41" s="3458" t="str">
        <f>A41</f>
        <v>成交单价</v>
      </c>
      <c r="Q41" s="3458"/>
      <c r="R41" s="3459">
        <f>E41</f>
        <v>0</v>
      </c>
      <c r="S41" s="3459"/>
      <c r="T41" s="3459">
        <f>G41</f>
        <v>0</v>
      </c>
      <c r="U41" s="3459"/>
      <c r="V41" s="3459">
        <f>I41</f>
        <v>0</v>
      </c>
      <c r="W41" s="3459"/>
      <c r="X41" s="1123"/>
      <c r="Y41" s="1196"/>
      <c r="Z41" s="1123"/>
      <c r="AA41" s="1123"/>
      <c r="AB41" s="1123"/>
      <c r="AC41" s="1123"/>
    </row>
    <row r="42" spans="1:31" ht="15">
      <c r="A42" s="1077" t="s">
        <v>1088</v>
      </c>
      <c r="B42" s="1078"/>
      <c r="C42" s="1079" t="e">
        <f>R43</f>
        <v>#DIV/0!</v>
      </c>
      <c r="D42" s="1080" t="s">
        <v>1089</v>
      </c>
      <c r="E42" s="1079" t="e">
        <f>R42</f>
        <v>#DIV/0!</v>
      </c>
      <c r="F42" s="1081"/>
      <c r="G42" s="1082" t="e">
        <f>T42</f>
        <v>#DIV/0!</v>
      </c>
      <c r="H42" s="1081"/>
      <c r="I42" s="1079" t="e">
        <f>V42</f>
        <v>#DIV/0!</v>
      </c>
      <c r="J42" s="1081"/>
      <c r="K42" s="1160">
        <f>F42+H42+J42</f>
        <v>0</v>
      </c>
      <c r="L42" s="1159"/>
      <c r="M42" s="1135"/>
      <c r="N42" s="1135"/>
      <c r="O42" s="1086"/>
      <c r="P42" s="3458" t="str">
        <f>A42</f>
        <v>比较价值（元/平方米）</v>
      </c>
      <c r="Q42" s="3458"/>
      <c r="R42" s="3507" t="e">
        <f>ROUND(PRODUCT(R41,AA7:AA40),0)</f>
        <v>#DIV/0!</v>
      </c>
      <c r="S42" s="3507"/>
      <c r="T42" s="3507" t="e">
        <f>ROUND(PRODUCT(T41,AB7:AB40),0)</f>
        <v>#DIV/0!</v>
      </c>
      <c r="U42" s="3507"/>
      <c r="V42" s="3507" t="e">
        <f>ROUND(PRODUCT(V41,AC7:AC40),0)</f>
        <v>#DIV/0!</v>
      </c>
      <c r="W42" s="3507"/>
      <c r="X42" s="1123"/>
      <c r="Y42" s="1123"/>
      <c r="Z42" s="1123"/>
      <c r="AA42" s="1123"/>
      <c r="AB42" s="1123"/>
      <c r="AC42" s="1123"/>
    </row>
    <row r="43" spans="1:31" ht="15">
      <c r="A43" s="1083" t="s">
        <v>1090</v>
      </c>
      <c r="B43" s="1084"/>
      <c r="C43" s="1085" t="e">
        <f>R43</f>
        <v>#DIV/0!</v>
      </c>
      <c r="D43" s="1085"/>
      <c r="E43" s="1085"/>
      <c r="F43" s="1085"/>
      <c r="G43" s="1085"/>
      <c r="H43" s="1085"/>
      <c r="I43" s="1085"/>
      <c r="J43" s="1085"/>
      <c r="K43" s="1161"/>
      <c r="L43" s="1159"/>
      <c r="M43" s="1135"/>
      <c r="N43" s="1135"/>
      <c r="O43" s="1086"/>
      <c r="P43" s="3471" t="str">
        <f>A43</f>
        <v>估价对象XX用房的比较价值（楼面单价，元/平方米）</v>
      </c>
      <c r="Q43" s="3472"/>
      <c r="R43" s="3508" t="e">
        <f>ROUND(IF(D42="简单平均",AVERAGE(R42:W42),R42*F42+T42*H42+V42*J42),0)</f>
        <v>#DIV/0!</v>
      </c>
      <c r="S43" s="3508"/>
      <c r="T43" s="3508"/>
      <c r="U43" s="3508"/>
      <c r="V43" s="3508"/>
      <c r="W43" s="3508"/>
      <c r="X43" s="1123"/>
      <c r="Y43" s="1123"/>
      <c r="Z43" s="1123"/>
      <c r="AA43" s="1123"/>
      <c r="AB43" s="1123"/>
      <c r="AC43" s="1123"/>
    </row>
    <row r="44" spans="1:31">
      <c r="A44" s="1086"/>
      <c r="B44" s="1086"/>
      <c r="C44" s="1086"/>
      <c r="D44" s="1086"/>
      <c r="E44" s="1086"/>
      <c r="F44" s="1086"/>
      <c r="G44" s="1087"/>
      <c r="H44" s="1086"/>
      <c r="I44" s="1086"/>
      <c r="J44" s="1086"/>
      <c r="K44" s="1163"/>
      <c r="L44" s="1164"/>
      <c r="M44" s="1135"/>
      <c r="N44" s="1135"/>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163"/>
      <c r="L45" s="1164"/>
      <c r="M45" s="1135"/>
      <c r="N45" s="1135"/>
      <c r="O45" s="1086"/>
      <c r="P45" s="1086"/>
      <c r="Q45" s="1086"/>
      <c r="R45" s="1086"/>
      <c r="S45" s="1086"/>
      <c r="T45" s="1086"/>
      <c r="U45" s="1086"/>
      <c r="V45" s="1086"/>
      <c r="W45" s="1086"/>
      <c r="X45" s="1086"/>
      <c r="Y45" s="1086"/>
      <c r="Z45" s="1086"/>
      <c r="AA45" s="1086"/>
      <c r="AB45" s="1086"/>
      <c r="AC45" s="1086"/>
      <c r="AD45" s="1086"/>
      <c r="AE45" s="1086"/>
    </row>
    <row r="46" spans="1:31" ht="13.5" customHeight="1">
      <c r="A46" s="1086"/>
      <c r="B46" s="1086"/>
      <c r="C46" s="1088" t="s">
        <v>1091</v>
      </c>
      <c r="D46" s="788"/>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63"/>
      <c r="L46" s="1164"/>
      <c r="M46" s="1135"/>
      <c r="N46" s="1135"/>
      <c r="O46" s="1086"/>
      <c r="P46" s="1086"/>
      <c r="Q46" s="1086"/>
      <c r="R46" s="1086"/>
      <c r="S46" s="1086"/>
      <c r="T46" s="1086"/>
      <c r="U46" s="1086"/>
      <c r="V46" s="1086"/>
      <c r="W46" s="1086"/>
      <c r="X46" s="1086"/>
      <c r="Y46" s="1086"/>
      <c r="Z46" s="1086"/>
      <c r="AA46" s="1086"/>
      <c r="AB46" s="1086"/>
      <c r="AC46" s="1086"/>
      <c r="AD46" s="1086"/>
      <c r="AE46" s="1086"/>
    </row>
    <row r="47" spans="1:31" ht="13.5" customHeight="1">
      <c r="A47" s="1086"/>
      <c r="B47" s="1086"/>
      <c r="C47" s="1088" t="s">
        <v>1092</v>
      </c>
      <c r="D47" s="787"/>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63"/>
      <c r="L47" s="1164"/>
      <c r="M47" s="1086"/>
      <c r="N47" s="1086"/>
      <c r="O47" s="1086"/>
      <c r="P47" s="1086"/>
      <c r="Q47" s="1086"/>
      <c r="R47" s="1086"/>
      <c r="S47" s="1086"/>
      <c r="T47" s="1086"/>
      <c r="U47" s="1086"/>
      <c r="V47" s="1086"/>
      <c r="W47" s="1086"/>
      <c r="X47" s="1086"/>
      <c r="Y47" s="1086"/>
      <c r="Z47" s="1086"/>
      <c r="AA47" s="1086"/>
      <c r="AB47" s="1086"/>
      <c r="AC47" s="1086"/>
      <c r="AD47" s="1086"/>
      <c r="AE47" s="1086"/>
    </row>
    <row r="48" spans="1:31" s="973" customFormat="1" ht="13.5" customHeight="1">
      <c r="A48" s="1091"/>
      <c r="B48" s="1091"/>
      <c r="C48" s="1088" t="s">
        <v>1093</v>
      </c>
      <c r="D48" s="787"/>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65"/>
      <c r="L48" s="1166"/>
      <c r="M48" s="1091"/>
      <c r="N48" s="1091"/>
      <c r="O48" s="1091"/>
      <c r="P48" s="1091"/>
      <c r="Q48" s="1091"/>
      <c r="R48" s="1091"/>
      <c r="S48" s="1091"/>
      <c r="T48" s="1091"/>
      <c r="U48" s="1091"/>
      <c r="V48" s="1091"/>
      <c r="W48" s="1091"/>
      <c r="X48" s="1091"/>
      <c r="Y48" s="1091"/>
      <c r="Z48" s="1091"/>
      <c r="AA48" s="1091"/>
      <c r="AB48" s="1091"/>
      <c r="AC48" s="1091"/>
      <c r="AD48" s="1091"/>
      <c r="AE48" s="1091"/>
    </row>
    <row r="49" spans="1:31" s="973" customFormat="1">
      <c r="A49" s="1091"/>
      <c r="B49" s="1092"/>
      <c r="C49" s="1093"/>
      <c r="D49" s="1094"/>
      <c r="E49" s="1094"/>
      <c r="F49" s="1094"/>
      <c r="G49" s="1094"/>
      <c r="H49" s="1094"/>
      <c r="I49" s="1094"/>
      <c r="J49" s="1094"/>
      <c r="K49" s="1165"/>
      <c r="L49" s="1166"/>
      <c r="M49" s="1091"/>
      <c r="N49" s="1091"/>
      <c r="O49" s="1091"/>
      <c r="P49" s="1091"/>
      <c r="Q49" s="1091"/>
      <c r="R49" s="1091"/>
      <c r="S49" s="1091"/>
      <c r="T49" s="1091"/>
      <c r="U49" s="1091"/>
      <c r="V49" s="1091"/>
      <c r="W49" s="1091"/>
      <c r="X49" s="1091"/>
      <c r="Y49" s="1091"/>
      <c r="Z49" s="1091"/>
      <c r="AA49" s="1091"/>
      <c r="AB49" s="1091"/>
      <c r="AC49" s="1091"/>
      <c r="AD49" s="1091"/>
      <c r="AE49" s="1091"/>
    </row>
    <row r="50" spans="1:31" ht="27">
      <c r="A50" s="1095" t="s">
        <v>1528</v>
      </c>
      <c r="B50" s="1096" t="s">
        <v>1529</v>
      </c>
      <c r="C50" s="1097" t="s">
        <v>1530</v>
      </c>
      <c r="D50" s="1098" t="s">
        <v>1531</v>
      </c>
      <c r="E50" s="1099" t="s">
        <v>1532</v>
      </c>
      <c r="F50" s="1100" t="s">
        <v>1533</v>
      </c>
      <c r="G50" s="3443" t="s">
        <v>1534</v>
      </c>
      <c r="H50" s="3509"/>
      <c r="I50" s="1167" t="s">
        <v>1574</v>
      </c>
      <c r="J50" s="1167">
        <f>项目基本情况!F35</f>
        <v>0</v>
      </c>
      <c r="K50" s="1168" t="s">
        <v>1536</v>
      </c>
      <c r="L50" s="1164"/>
      <c r="M50" s="1086"/>
      <c r="N50" s="1086"/>
      <c r="O50" s="1086"/>
      <c r="P50" s="1086"/>
      <c r="Q50" s="1086"/>
      <c r="R50" s="1086"/>
      <c r="S50" s="1086"/>
      <c r="T50" s="1086"/>
      <c r="U50" s="1086"/>
      <c r="V50" s="1086"/>
      <c r="W50" s="1086"/>
      <c r="X50" s="1086"/>
      <c r="Y50" s="1086"/>
      <c r="Z50" s="1086"/>
      <c r="AA50" s="1086"/>
      <c r="AB50" s="1086"/>
      <c r="AC50" s="1086"/>
      <c r="AD50" s="1086"/>
      <c r="AE50" s="1086"/>
    </row>
    <row r="51" spans="1:31" s="974" customFormat="1">
      <c r="A51" s="1101" t="s">
        <v>1537</v>
      </c>
      <c r="B51" s="1102" t="e">
        <f>C43</f>
        <v>#DIV/0!</v>
      </c>
      <c r="C51" s="1103">
        <v>1</v>
      </c>
      <c r="D51" s="1104">
        <v>1</v>
      </c>
      <c r="E51" s="1103">
        <f>'数据-汇总表'!E8+'数据-汇总表'!E9</f>
        <v>1</v>
      </c>
      <c r="F51" s="1105" t="e">
        <f t="shared" ref="F51:F60" si="15">ROUND(B51*E51/10000,0)</f>
        <v>#DIV/0!</v>
      </c>
      <c r="G51" s="3460"/>
      <c r="H51" s="3458"/>
      <c r="I51" s="775">
        <v>1</v>
      </c>
      <c r="J51" s="775">
        <v>1</v>
      </c>
      <c r="K51" s="1091"/>
      <c r="L51" s="1169"/>
      <c r="M51" s="1169"/>
      <c r="N51" s="1169"/>
      <c r="O51" s="1169"/>
      <c r="P51" s="1169"/>
      <c r="Q51" s="1169"/>
      <c r="R51" s="1169"/>
      <c r="S51" s="1169"/>
      <c r="T51" s="1169"/>
      <c r="U51" s="1169"/>
      <c r="V51" s="1169"/>
      <c r="W51" s="1169"/>
      <c r="X51" s="1169"/>
      <c r="Y51" s="1169"/>
      <c r="Z51" s="1169"/>
      <c r="AA51" s="1169"/>
      <c r="AB51" s="1169"/>
      <c r="AC51" s="1169"/>
      <c r="AD51" s="1169"/>
      <c r="AE51" s="1169"/>
    </row>
    <row r="52" spans="1:31" s="974" customFormat="1">
      <c r="A52" s="1106" t="s">
        <v>1538</v>
      </c>
      <c r="B52" s="255" t="e">
        <f>ROUND($C$43*C52*D52,0)</f>
        <v>#DIV/0!</v>
      </c>
      <c r="C52" s="691">
        <f t="shared" ref="C52:C60" si="16">IF($C$50="北京市系数",I52,J52)</f>
        <v>0</v>
      </c>
      <c r="D52" s="1107">
        <v>0.25</v>
      </c>
      <c r="E52" s="1108"/>
      <c r="F52" s="1105" t="e">
        <f t="shared" si="15"/>
        <v>#DIV/0!</v>
      </c>
      <c r="G52" s="3506" t="s">
        <v>1539</v>
      </c>
      <c r="H52" s="1110">
        <f>项目基本情况!B37</f>
        <v>0</v>
      </c>
      <c r="I52" s="775">
        <f>SUMIF(修正!A45:A56,H52,修正!B45:B56)</f>
        <v>0</v>
      </c>
      <c r="J52" s="1170"/>
      <c r="K52" s="1086"/>
      <c r="L52" s="1169"/>
      <c r="M52" s="1169"/>
      <c r="N52" s="1169"/>
      <c r="O52" s="1169"/>
      <c r="P52" s="1169"/>
      <c r="Q52" s="1169"/>
      <c r="R52" s="1169"/>
      <c r="S52" s="1169"/>
      <c r="T52" s="1169"/>
      <c r="U52" s="1169"/>
      <c r="V52" s="1169"/>
      <c r="W52" s="1169"/>
      <c r="X52" s="1169"/>
      <c r="Y52" s="1169"/>
      <c r="Z52" s="1169"/>
      <c r="AA52" s="1169"/>
      <c r="AB52" s="1169"/>
      <c r="AC52" s="1169"/>
      <c r="AD52" s="1169"/>
      <c r="AE52" s="1169"/>
    </row>
    <row r="53" spans="1:31" s="974" customFormat="1">
      <c r="A53" s="1106" t="s">
        <v>1540</v>
      </c>
      <c r="B53" s="255" t="e">
        <f t="shared" ref="B53:B60" si="17">ROUND($C$43*C53*D53,0)</f>
        <v>#DIV/0!</v>
      </c>
      <c r="C53" s="691">
        <f t="shared" si="16"/>
        <v>0</v>
      </c>
      <c r="D53" s="1107">
        <v>0.25</v>
      </c>
      <c r="E53" s="1108"/>
      <c r="F53" s="1105" t="e">
        <f t="shared" si="15"/>
        <v>#DIV/0!</v>
      </c>
      <c r="G53" s="3506"/>
      <c r="H53" s="1110">
        <f>项目基本情况!B37</f>
        <v>0</v>
      </c>
      <c r="I53" s="775">
        <f>SUMIF(修正!A45:A56,H53,修正!C45:C56)</f>
        <v>0</v>
      </c>
      <c r="J53" s="1170"/>
      <c r="K53" s="1091"/>
      <c r="L53" s="1169"/>
      <c r="M53" s="1169"/>
      <c r="N53" s="1169"/>
      <c r="O53" s="1169"/>
      <c r="P53" s="1169"/>
      <c r="Q53" s="1169"/>
      <c r="R53" s="1169"/>
      <c r="S53" s="1169"/>
      <c r="T53" s="1169"/>
      <c r="U53" s="1169"/>
      <c r="V53" s="1169"/>
      <c r="W53" s="1169"/>
      <c r="X53" s="1169"/>
      <c r="Y53" s="1169"/>
      <c r="Z53" s="1169"/>
      <c r="AA53" s="1169"/>
      <c r="AB53" s="1169"/>
      <c r="AC53" s="1169"/>
      <c r="AD53" s="1169"/>
      <c r="AE53" s="1169"/>
    </row>
    <row r="54" spans="1:31" s="974" customFormat="1">
      <c r="A54" s="1106" t="s">
        <v>1541</v>
      </c>
      <c r="B54" s="255" t="e">
        <f t="shared" si="17"/>
        <v>#DIV/0!</v>
      </c>
      <c r="C54" s="691">
        <f t="shared" si="16"/>
        <v>0</v>
      </c>
      <c r="D54" s="1107">
        <v>0.25</v>
      </c>
      <c r="E54" s="1108"/>
      <c r="F54" s="1105" t="e">
        <f t="shared" si="15"/>
        <v>#DIV/0!</v>
      </c>
      <c r="G54" s="3506"/>
      <c r="H54" s="1110">
        <f>项目基本情况!B37</f>
        <v>0</v>
      </c>
      <c r="I54" s="775">
        <f>SUMIF(修正!A45:A56,H54,修正!D45:D56)</f>
        <v>0</v>
      </c>
      <c r="J54" s="1170"/>
      <c r="K54" s="1086"/>
      <c r="L54" s="1169"/>
      <c r="M54" s="1169"/>
      <c r="N54" s="1169"/>
      <c r="O54" s="1169"/>
      <c r="P54" s="1169"/>
      <c r="Q54" s="1169"/>
      <c r="R54" s="1169"/>
      <c r="S54" s="1169"/>
      <c r="T54" s="1169"/>
      <c r="U54" s="1169"/>
      <c r="V54" s="1169"/>
      <c r="W54" s="1169"/>
      <c r="X54" s="1169"/>
      <c r="Y54" s="1169"/>
      <c r="Z54" s="1169"/>
      <c r="AA54" s="1169"/>
      <c r="AB54" s="1169"/>
      <c r="AC54" s="1169"/>
      <c r="AD54" s="1169"/>
      <c r="AE54" s="1169"/>
    </row>
    <row r="55" spans="1:31" s="974" customFormat="1">
      <c r="A55" s="1106" t="s">
        <v>1542</v>
      </c>
      <c r="B55" s="255" t="e">
        <f t="shared" si="17"/>
        <v>#DIV/0!</v>
      </c>
      <c r="C55" s="691">
        <f t="shared" si="16"/>
        <v>0</v>
      </c>
      <c r="D55" s="1107">
        <v>0.25</v>
      </c>
      <c r="E55" s="1108"/>
      <c r="F55" s="1105" t="e">
        <f t="shared" si="15"/>
        <v>#DIV/0!</v>
      </c>
      <c r="G55" s="3506"/>
      <c r="H55" s="1110">
        <f>项目基本情况!B37</f>
        <v>0</v>
      </c>
      <c r="I55" s="775">
        <f>SUMIF(修正!A45:A56,H55,修正!E45:E56)</f>
        <v>0</v>
      </c>
      <c r="J55" s="1170"/>
      <c r="K55" s="1091"/>
      <c r="L55" s="1169"/>
      <c r="M55" s="1169"/>
      <c r="N55" s="1169"/>
      <c r="O55" s="1169"/>
      <c r="P55" s="1169"/>
      <c r="Q55" s="1169"/>
      <c r="R55" s="1169"/>
      <c r="S55" s="1169"/>
      <c r="T55" s="1169"/>
      <c r="U55" s="1169"/>
      <c r="V55" s="1169"/>
      <c r="W55" s="1169"/>
      <c r="X55" s="1169"/>
      <c r="Y55" s="1169"/>
      <c r="Z55" s="1169"/>
      <c r="AA55" s="1169"/>
      <c r="AB55" s="1169"/>
      <c r="AC55" s="1169"/>
      <c r="AD55" s="1169"/>
      <c r="AE55" s="1169"/>
    </row>
    <row r="56" spans="1:31" s="974" customFormat="1">
      <c r="A56" s="1106" t="s">
        <v>1543</v>
      </c>
      <c r="B56" s="255" t="e">
        <f t="shared" si="17"/>
        <v>#DIV/0!</v>
      </c>
      <c r="C56" s="691">
        <f t="shared" si="16"/>
        <v>0</v>
      </c>
      <c r="D56" s="1107">
        <v>0.25</v>
      </c>
      <c r="E56" s="254">
        <f>'数据-汇总表'!E11</f>
        <v>0</v>
      </c>
      <c r="F56" s="1105" t="e">
        <f t="shared" si="15"/>
        <v>#DIV/0!</v>
      </c>
      <c r="G56" s="1109" t="s">
        <v>1544</v>
      </c>
      <c r="H56" s="1110">
        <f>项目基本情况!C37</f>
        <v>0</v>
      </c>
      <c r="I56" s="775">
        <f>SUMIF(修正!A45:A56,H56,修正!F45:F56)</f>
        <v>0</v>
      </c>
      <c r="J56" s="1170"/>
      <c r="K56" s="1086"/>
      <c r="L56" s="1169"/>
      <c r="M56" s="1169"/>
      <c r="N56" s="1169"/>
      <c r="O56" s="1169"/>
      <c r="P56" s="1169"/>
      <c r="Q56" s="1169"/>
      <c r="R56" s="1169"/>
      <c r="S56" s="1169"/>
      <c r="T56" s="1169"/>
      <c r="U56" s="1169"/>
      <c r="V56" s="1169"/>
      <c r="W56" s="1169"/>
      <c r="X56" s="1169"/>
      <c r="Y56" s="1169"/>
      <c r="Z56" s="1169"/>
      <c r="AA56" s="1169"/>
      <c r="AB56" s="1169"/>
      <c r="AC56" s="1169"/>
      <c r="AD56" s="1169"/>
      <c r="AE56" s="1169"/>
    </row>
    <row r="57" spans="1:31" s="974" customFormat="1">
      <c r="A57" s="1106" t="s">
        <v>1545</v>
      </c>
      <c r="B57" s="255" t="e">
        <f t="shared" si="17"/>
        <v>#DIV/0!</v>
      </c>
      <c r="C57" s="691">
        <f t="shared" si="16"/>
        <v>0</v>
      </c>
      <c r="D57" s="1107">
        <v>0.25</v>
      </c>
      <c r="E57" s="254">
        <f>'数据-汇总表'!E12</f>
        <v>0</v>
      </c>
      <c r="F57" s="1105" t="e">
        <f t="shared" si="15"/>
        <v>#DIV/0!</v>
      </c>
      <c r="G57" s="1111" t="s">
        <v>1546</v>
      </c>
      <c r="H57" s="1110">
        <f>IF(G57="商业",项目基本情况!B37,IF(G57="办公",项目基本情况!C37,IF(G57="住宅",项目基本情况!D37,项目基本情况!E37)))</f>
        <v>0</v>
      </c>
      <c r="I57" s="775">
        <f>SUMIF(修正!A45:A56,H57,修正!G45:G56)</f>
        <v>0</v>
      </c>
      <c r="J57" s="1170"/>
      <c r="K57" s="1091"/>
      <c r="L57" s="1169"/>
      <c r="M57" s="1169"/>
      <c r="N57" s="1169"/>
      <c r="O57" s="1169"/>
      <c r="P57" s="1169"/>
      <c r="Q57" s="1169"/>
      <c r="R57" s="1169"/>
      <c r="S57" s="1169"/>
      <c r="T57" s="1169"/>
      <c r="U57" s="1169"/>
      <c r="V57" s="1169"/>
      <c r="W57" s="1169"/>
      <c r="X57" s="1169"/>
      <c r="Y57" s="1169"/>
      <c r="Z57" s="1169"/>
      <c r="AA57" s="1169"/>
      <c r="AB57" s="1169"/>
      <c r="AC57" s="1169"/>
      <c r="AD57" s="1169"/>
      <c r="AE57" s="1169"/>
    </row>
    <row r="58" spans="1:31" s="974" customFormat="1">
      <c r="A58" s="1106" t="s">
        <v>1547</v>
      </c>
      <c r="B58" s="255" t="e">
        <f t="shared" si="17"/>
        <v>#DIV/0!</v>
      </c>
      <c r="C58" s="691">
        <f t="shared" si="16"/>
        <v>0.2</v>
      </c>
      <c r="D58" s="1107">
        <v>0.25</v>
      </c>
      <c r="E58" s="254">
        <f>'数据-汇总表'!E13</f>
        <v>0</v>
      </c>
      <c r="F58" s="1105" t="e">
        <f t="shared" si="15"/>
        <v>#DIV/0!</v>
      </c>
      <c r="G58" s="1111" t="s">
        <v>1548</v>
      </c>
      <c r="H58" s="1110" t="str">
        <f>IF(G58="商业",项目基本情况!B37,IF(G58="办公",项目基本情况!C37,IF(G58="住宅",项目基本情况!D37,项目基本情况!E37)))</f>
        <v>七级</v>
      </c>
      <c r="I58" s="775">
        <f>SUMIF(修正!A45:A56,H58,修正!H45:H56)</f>
        <v>0.2</v>
      </c>
      <c r="J58" s="1170"/>
      <c r="K58" s="1086"/>
      <c r="L58" s="1169"/>
      <c r="M58" s="1169"/>
      <c r="N58" s="1169"/>
      <c r="O58" s="1169"/>
      <c r="P58" s="1169"/>
      <c r="Q58" s="1169"/>
      <c r="R58" s="1169"/>
      <c r="S58" s="1169"/>
      <c r="T58" s="1169"/>
      <c r="U58" s="1169"/>
      <c r="V58" s="1169"/>
      <c r="W58" s="1169"/>
      <c r="X58" s="1169"/>
      <c r="Y58" s="1169"/>
      <c r="Z58" s="1169"/>
      <c r="AA58" s="1169"/>
      <c r="AB58" s="1169"/>
      <c r="AC58" s="1169"/>
      <c r="AD58" s="1169"/>
      <c r="AE58" s="1169"/>
    </row>
    <row r="59" spans="1:31" s="974" customFormat="1">
      <c r="A59" s="1106" t="s">
        <v>1549</v>
      </c>
      <c r="B59" s="255" t="e">
        <f t="shared" si="17"/>
        <v>#DIV/0!</v>
      </c>
      <c r="C59" s="691">
        <f t="shared" si="16"/>
        <v>0</v>
      </c>
      <c r="D59" s="1107">
        <v>0.25</v>
      </c>
      <c r="E59" s="254">
        <f>'数据-汇总表'!E14</f>
        <v>0</v>
      </c>
      <c r="F59" s="1105" t="e">
        <f t="shared" si="15"/>
        <v>#DIV/0!</v>
      </c>
      <c r="G59" s="1109" t="s">
        <v>1539</v>
      </c>
      <c r="H59" s="1110">
        <f>项目基本情况!B37</f>
        <v>0</v>
      </c>
      <c r="I59" s="775">
        <f>SUMIF(修正!A45:A56,H59,修正!H45:H56)</f>
        <v>0</v>
      </c>
      <c r="J59" s="1170"/>
      <c r="K59" s="1091"/>
      <c r="L59" s="1169"/>
      <c r="M59" s="1169"/>
      <c r="N59" s="1169"/>
      <c r="O59" s="1169"/>
      <c r="P59" s="1169"/>
      <c r="Q59" s="1169"/>
      <c r="R59" s="1169"/>
      <c r="S59" s="1169"/>
      <c r="T59" s="1169"/>
      <c r="U59" s="1169"/>
      <c r="V59" s="1169"/>
      <c r="W59" s="1169"/>
      <c r="X59" s="1169"/>
      <c r="Y59" s="1169"/>
      <c r="Z59" s="1169"/>
      <c r="AA59" s="1169"/>
      <c r="AB59" s="1169"/>
      <c r="AC59" s="1169"/>
      <c r="AD59" s="1169"/>
      <c r="AE59" s="1169"/>
    </row>
    <row r="60" spans="1:31" s="974" customFormat="1">
      <c r="A60" s="1106" t="s">
        <v>1550</v>
      </c>
      <c r="B60" s="255" t="e">
        <f t="shared" si="17"/>
        <v>#DIV/0!</v>
      </c>
      <c r="C60" s="691">
        <f t="shared" si="16"/>
        <v>0</v>
      </c>
      <c r="D60" s="1107">
        <v>0.25</v>
      </c>
      <c r="E60" s="254">
        <f>'数据-汇总表'!E15</f>
        <v>0</v>
      </c>
      <c r="F60" s="1105" t="e">
        <f t="shared" si="15"/>
        <v>#DIV/0!</v>
      </c>
      <c r="G60" s="1112" t="s">
        <v>1544</v>
      </c>
      <c r="H60" s="1113">
        <f>项目基本情况!C37</f>
        <v>0</v>
      </c>
      <c r="I60" s="775">
        <f>SUMIF(修正!A45:A56,H60,修正!H45:H56)</f>
        <v>0</v>
      </c>
      <c r="J60" s="1170"/>
      <c r="K60" s="1086"/>
      <c r="L60" s="1169"/>
      <c r="M60" s="1169"/>
      <c r="N60" s="1169"/>
      <c r="O60" s="1169"/>
      <c r="P60" s="1169"/>
      <c r="Q60" s="1169"/>
      <c r="R60" s="1169"/>
      <c r="S60" s="1169"/>
      <c r="T60" s="1169"/>
      <c r="U60" s="1169"/>
      <c r="V60" s="1169"/>
      <c r="W60" s="1169"/>
      <c r="X60" s="1169"/>
      <c r="Y60" s="1169"/>
      <c r="Z60" s="1169"/>
      <c r="AA60" s="1169"/>
      <c r="AB60" s="1169"/>
      <c r="AC60" s="1169"/>
      <c r="AD60" s="1169"/>
      <c r="AE60" s="1169"/>
    </row>
    <row r="61" spans="1:31" s="974" customFormat="1">
      <c r="A61" s="1114" t="s">
        <v>1551</v>
      </c>
      <c r="B61" s="1115" t="s">
        <v>1482</v>
      </c>
      <c r="C61" s="1115" t="s">
        <v>1482</v>
      </c>
      <c r="D61" s="1115" t="s">
        <v>1482</v>
      </c>
      <c r="E61" s="1115">
        <f>IF(B41="楼面地价",SUM(E51:E60),'数据-汇总表'!D3)</f>
        <v>0.39</v>
      </c>
      <c r="F61" s="1116" t="e">
        <f>IF(B41="楼面地价",SUM(F51:F60),ROUND(C43*E61/10000,0))</f>
        <v>#DIV/0!</v>
      </c>
      <c r="G61" s="1117"/>
      <c r="H61" s="1117"/>
      <c r="I61" s="1117"/>
      <c r="J61" s="1117"/>
      <c r="K61" s="1163"/>
      <c r="L61" s="1169"/>
      <c r="M61" s="1169"/>
      <c r="N61" s="1169"/>
      <c r="O61" s="1169"/>
      <c r="P61" s="1169"/>
      <c r="Q61" s="1169"/>
      <c r="R61" s="1169"/>
      <c r="S61" s="1169"/>
      <c r="T61" s="1169"/>
      <c r="U61" s="1169"/>
      <c r="V61" s="1169"/>
      <c r="W61" s="1169"/>
      <c r="X61" s="1169"/>
      <c r="Y61" s="1169"/>
      <c r="Z61" s="1169"/>
      <c r="AA61" s="1169"/>
      <c r="AB61" s="1169"/>
      <c r="AC61" s="1169"/>
      <c r="AD61" s="1169"/>
      <c r="AE61" s="1169"/>
    </row>
    <row r="62" spans="1:31">
      <c r="A62" s="1118"/>
      <c r="B62" s="1119"/>
      <c r="C62" s="1120"/>
      <c r="D62" s="1118"/>
      <c r="E62" s="1118"/>
      <c r="F62" s="1118"/>
      <c r="G62" s="1118"/>
      <c r="H62" s="1118"/>
      <c r="I62" s="1118"/>
      <c r="J62" s="1118"/>
      <c r="K62" s="1171"/>
      <c r="L62" s="1172"/>
      <c r="M62" s="1118"/>
      <c r="N62" s="1118"/>
      <c r="O62" s="1118"/>
      <c r="P62" s="1086"/>
      <c r="Q62" s="1086"/>
      <c r="R62" s="1086"/>
      <c r="S62" s="1086"/>
      <c r="T62" s="1086"/>
      <c r="U62" s="1086"/>
      <c r="V62" s="1086"/>
      <c r="W62" s="1086"/>
      <c r="X62" s="1086"/>
      <c r="Y62" s="1086"/>
      <c r="Z62" s="1086"/>
      <c r="AA62" s="1086"/>
      <c r="AB62" s="1086"/>
      <c r="AC62" s="1086"/>
      <c r="AD62" s="1086"/>
      <c r="AE62" s="1086"/>
    </row>
    <row r="63" spans="1:31">
      <c r="A63" s="1118"/>
      <c r="B63" s="1119"/>
      <c r="C63" s="1121" t="str">
        <f>YEAR(C7)&amp;"-"&amp;MONTH(C7)&amp;"-1"</f>
        <v>2021-5-1</v>
      </c>
      <c r="D63" s="1121">
        <f>EDATE(C63,-3)</f>
        <v>44228</v>
      </c>
      <c r="E63" s="1121">
        <f>EDATE(D63,-3)</f>
        <v>44136</v>
      </c>
      <c r="F63" s="1121">
        <f t="shared" ref="F63:O63" si="18">EDATE(E63,-3)</f>
        <v>44044</v>
      </c>
      <c r="G63" s="1121">
        <f t="shared" si="18"/>
        <v>43952</v>
      </c>
      <c r="H63" s="1121">
        <f t="shared" si="18"/>
        <v>43862</v>
      </c>
      <c r="I63" s="1121">
        <f t="shared" si="18"/>
        <v>43770</v>
      </c>
      <c r="J63" s="1121">
        <f t="shared" si="18"/>
        <v>43678</v>
      </c>
      <c r="K63" s="1121">
        <f t="shared" si="18"/>
        <v>43586</v>
      </c>
      <c r="L63" s="1121">
        <f t="shared" si="18"/>
        <v>43497</v>
      </c>
      <c r="M63" s="1121">
        <f t="shared" si="18"/>
        <v>43405</v>
      </c>
      <c r="N63" s="1121">
        <f t="shared" si="18"/>
        <v>43313</v>
      </c>
      <c r="O63" s="1121">
        <f t="shared" si="18"/>
        <v>43221</v>
      </c>
      <c r="P63" s="1086"/>
      <c r="Q63" s="1086"/>
      <c r="R63" s="1086"/>
      <c r="S63" s="1086"/>
      <c r="T63" s="1086"/>
      <c r="U63" s="1086"/>
      <c r="V63" s="1086"/>
      <c r="W63" s="1086"/>
      <c r="X63" s="1086"/>
      <c r="Y63" s="1086"/>
      <c r="Z63" s="1086"/>
      <c r="AA63" s="1086"/>
      <c r="AB63" s="1086"/>
      <c r="AC63" s="1086"/>
      <c r="AD63" s="1086"/>
      <c r="AE63" s="1086"/>
    </row>
    <row r="64" spans="1:31" ht="21">
      <c r="A64" s="1122" t="s">
        <v>1094</v>
      </c>
      <c r="B64" s="1123"/>
      <c r="C64" s="1124"/>
      <c r="D64" s="1124"/>
      <c r="E64" s="1124"/>
      <c r="F64" s="1125"/>
      <c r="G64" s="1125"/>
      <c r="H64" s="1124"/>
      <c r="I64" s="1124"/>
      <c r="J64" s="1124"/>
      <c r="K64" s="1173"/>
      <c r="L64" s="1174"/>
      <c r="M64" s="1124"/>
      <c r="N64" s="1124"/>
      <c r="O64" s="1175"/>
      <c r="P64" s="1176"/>
      <c r="Q64" s="1188"/>
      <c r="R64" s="1086"/>
      <c r="S64" s="1086"/>
      <c r="T64" s="1086"/>
      <c r="U64" s="1086"/>
      <c r="V64" s="1086"/>
      <c r="W64" s="1086"/>
      <c r="X64" s="1086"/>
      <c r="Y64" s="1086"/>
      <c r="Z64" s="1086"/>
      <c r="AA64" s="1086"/>
      <c r="AB64" s="1086"/>
      <c r="AC64" s="1086"/>
      <c r="AD64" s="1086"/>
      <c r="AE64" s="1086"/>
    </row>
    <row r="65" spans="1:31" s="975" customFormat="1" ht="15">
      <c r="A65" s="1197" t="s">
        <v>1552</v>
      </c>
      <c r="B65" s="1198"/>
      <c r="C65" s="1199" t="str">
        <f>YEAR(C63)&amp;"-"&amp;ROUNDUP(MONTH(C63)/3,0)</f>
        <v>2021-2</v>
      </c>
      <c r="D65" s="1199" t="str">
        <f t="shared" ref="D65:O65" si="19">YEAR(D63)&amp;"-"&amp;ROUNDUP(MONTH(D63)/3,0)</f>
        <v>2021-1</v>
      </c>
      <c r="E65" s="1199" t="str">
        <f t="shared" si="19"/>
        <v>2020-4</v>
      </c>
      <c r="F65" s="1199" t="str">
        <f t="shared" si="19"/>
        <v>2020-3</v>
      </c>
      <c r="G65" s="1199" t="str">
        <f t="shared" si="19"/>
        <v>2020-2</v>
      </c>
      <c r="H65" s="1199" t="str">
        <f t="shared" si="19"/>
        <v>2020-1</v>
      </c>
      <c r="I65" s="1199" t="str">
        <f t="shared" si="19"/>
        <v>2019-4</v>
      </c>
      <c r="J65" s="1199" t="str">
        <f t="shared" si="19"/>
        <v>2019-3</v>
      </c>
      <c r="K65" s="1199" t="str">
        <f t="shared" si="19"/>
        <v>2019-2</v>
      </c>
      <c r="L65" s="1199" t="str">
        <f t="shared" si="19"/>
        <v>2019-1</v>
      </c>
      <c r="M65" s="1199" t="str">
        <f t="shared" si="19"/>
        <v>2018-4</v>
      </c>
      <c r="N65" s="1199" t="str">
        <f t="shared" si="19"/>
        <v>2018-3</v>
      </c>
      <c r="O65" s="1199" t="str">
        <f t="shared" si="19"/>
        <v>2018-2</v>
      </c>
      <c r="P65" s="1251"/>
      <c r="Q65" s="1307"/>
      <c r="R65" s="1307"/>
      <c r="S65" s="1307"/>
      <c r="T65" s="1307"/>
      <c r="U65" s="1307"/>
      <c r="V65" s="1307"/>
      <c r="W65" s="1307"/>
      <c r="X65" s="1307"/>
      <c r="Y65" s="1307"/>
      <c r="Z65" s="1307"/>
      <c r="AA65" s="1307"/>
      <c r="AB65" s="1307"/>
      <c r="AC65" s="1307"/>
      <c r="AD65" s="1307"/>
      <c r="AE65" s="1307"/>
    </row>
    <row r="66" spans="1:31" s="970" customFormat="1" ht="30.75" customHeight="1">
      <c r="A66" s="1200" t="s">
        <v>1575</v>
      </c>
      <c r="B66" s="1201" t="str">
        <f>"北京市平均增长率"&amp;TEXT(基准地价修正!P24,"0.00%")</f>
        <v>北京市平均增长率1.28%</v>
      </c>
      <c r="C66" s="905">
        <v>100</v>
      </c>
      <c r="D66" s="1202"/>
      <c r="E66" s="1202"/>
      <c r="F66" s="1202"/>
      <c r="G66" s="1202"/>
      <c r="H66" s="1202"/>
      <c r="I66" s="1202"/>
      <c r="J66" s="1202"/>
      <c r="K66" s="1202"/>
      <c r="L66" s="1202"/>
      <c r="M66" s="1252"/>
      <c r="N66" s="1252"/>
      <c r="O66" s="1253"/>
      <c r="P66" s="1188"/>
      <c r="Q66" s="1308"/>
      <c r="R66" s="1308"/>
      <c r="S66" s="1308"/>
      <c r="T66" s="1308"/>
      <c r="U66" s="1308"/>
      <c r="V66" s="1308"/>
      <c r="W66" s="1308"/>
      <c r="X66" s="1308"/>
      <c r="Y66" s="1308"/>
      <c r="Z66" s="1308"/>
      <c r="AA66" s="1308"/>
      <c r="AB66" s="1308"/>
      <c r="AC66" s="1308"/>
      <c r="AD66" s="1308"/>
      <c r="AE66" s="1308"/>
    </row>
    <row r="67" spans="1:31" s="970" customFormat="1" ht="15">
      <c r="A67" s="1203" t="s">
        <v>1095</v>
      </c>
      <c r="B67" s="1204"/>
      <c r="C67" s="1205"/>
      <c r="D67" s="1206"/>
      <c r="E67" s="1206"/>
      <c r="F67" s="1206"/>
      <c r="G67" s="1206"/>
      <c r="H67" s="1206"/>
      <c r="I67" s="1206"/>
      <c r="J67" s="1206"/>
      <c r="K67" s="1206"/>
      <c r="L67" s="1206"/>
      <c r="M67" s="1254"/>
      <c r="N67" s="1254"/>
      <c r="O67" s="1255"/>
      <c r="P67" s="1188"/>
      <c r="Q67" s="1188"/>
      <c r="R67" s="1308"/>
      <c r="S67" s="1308"/>
      <c r="T67" s="1308"/>
      <c r="U67" s="1308"/>
      <c r="V67" s="1308"/>
      <c r="W67" s="1308"/>
      <c r="X67" s="1308"/>
      <c r="Y67" s="1308"/>
      <c r="Z67" s="1308"/>
      <c r="AA67" s="1308"/>
      <c r="AB67" s="1308"/>
      <c r="AC67" s="1308"/>
      <c r="AD67" s="1308"/>
      <c r="AE67" s="1308"/>
    </row>
    <row r="68" spans="1:31" s="970" customFormat="1" ht="15">
      <c r="A68" s="1207" t="s">
        <v>1038</v>
      </c>
      <c r="B68" s="1208"/>
      <c r="C68" s="1209" t="s">
        <v>1039</v>
      </c>
      <c r="D68" s="1210"/>
      <c r="E68" s="1210"/>
      <c r="F68" s="1210"/>
      <c r="G68" s="1210"/>
      <c r="H68" s="1210"/>
      <c r="I68" s="1210"/>
      <c r="J68" s="1210"/>
      <c r="K68" s="1210"/>
      <c r="L68" s="1256"/>
      <c r="M68" s="1257"/>
      <c r="N68" s="1258"/>
      <c r="O68" s="1258"/>
      <c r="P68" s="1259"/>
      <c r="Q68" s="1188"/>
      <c r="R68" s="1308"/>
      <c r="S68" s="1308"/>
      <c r="T68" s="1308"/>
      <c r="U68" s="1308"/>
      <c r="V68" s="1308"/>
      <c r="W68" s="1308"/>
      <c r="X68" s="1308"/>
      <c r="Y68" s="1308"/>
      <c r="Z68" s="1308"/>
      <c r="AA68" s="1308"/>
      <c r="AB68" s="1308"/>
      <c r="AC68" s="1308"/>
      <c r="AD68" s="1308"/>
      <c r="AE68" s="1308"/>
    </row>
    <row r="69" spans="1:31" s="970" customFormat="1" ht="15">
      <c r="A69" s="1207"/>
      <c r="B69" s="1208"/>
      <c r="C69" s="1211">
        <v>100</v>
      </c>
      <c r="D69" s="1212"/>
      <c r="E69" s="1212"/>
      <c r="F69" s="1212"/>
      <c r="G69" s="1212"/>
      <c r="H69" s="1212"/>
      <c r="I69" s="1212"/>
      <c r="J69" s="1212"/>
      <c r="K69" s="1212"/>
      <c r="L69" s="1212"/>
      <c r="M69" s="1260"/>
      <c r="N69" s="1258"/>
      <c r="O69" s="1258"/>
      <c r="P69" s="1188"/>
      <c r="Q69" s="1188"/>
      <c r="R69" s="1308"/>
      <c r="S69" s="1308"/>
      <c r="T69" s="1308"/>
      <c r="U69" s="1308"/>
      <c r="V69" s="1308"/>
      <c r="W69" s="1308"/>
      <c r="X69" s="1308"/>
      <c r="Y69" s="1308"/>
      <c r="Z69" s="1308"/>
      <c r="AA69" s="1308"/>
      <c r="AB69" s="1308"/>
      <c r="AC69" s="1308"/>
      <c r="AD69" s="1308"/>
      <c r="AE69" s="1308"/>
    </row>
    <row r="70" spans="1:31">
      <c r="A70" s="1213" t="s">
        <v>1096</v>
      </c>
      <c r="B70" s="1214" t="s">
        <v>1043</v>
      </c>
      <c r="C70" s="1156"/>
      <c r="D70" s="1156"/>
      <c r="E70" s="1156"/>
      <c r="F70" s="1156"/>
      <c r="G70" s="1156"/>
      <c r="H70" s="1156"/>
      <c r="I70" s="1156"/>
      <c r="J70" s="1156"/>
      <c r="K70" s="1261"/>
      <c r="L70" s="1262"/>
      <c r="M70" s="1263"/>
      <c r="N70" s="1264"/>
      <c r="O70" s="1264"/>
      <c r="P70" s="1265"/>
      <c r="Q70" s="1188"/>
      <c r="R70" s="1086"/>
      <c r="S70" s="1086"/>
      <c r="T70" s="1086"/>
      <c r="U70" s="1086"/>
      <c r="V70" s="1086"/>
      <c r="W70" s="1086"/>
      <c r="X70" s="1086"/>
      <c r="Y70" s="1086"/>
      <c r="Z70" s="1086"/>
      <c r="AA70" s="1086"/>
      <c r="AB70" s="1086"/>
      <c r="AC70" s="1086"/>
      <c r="AD70" s="1086"/>
      <c r="AE70" s="1086"/>
    </row>
    <row r="71" spans="1:31" ht="15">
      <c r="A71" s="1215"/>
      <c r="B71" s="1216"/>
      <c r="C71" s="1217"/>
      <c r="D71" s="1217"/>
      <c r="E71" s="1217"/>
      <c r="F71" s="1217"/>
      <c r="G71" s="1217"/>
      <c r="H71" s="1217"/>
      <c r="I71" s="1217"/>
      <c r="J71" s="1217"/>
      <c r="K71" s="1217"/>
      <c r="L71" s="1217"/>
      <c r="M71" s="1266"/>
      <c r="N71" s="1267"/>
      <c r="O71" s="1267"/>
      <c r="P71" s="1265"/>
      <c r="Q71" s="1188"/>
      <c r="R71" s="1086"/>
      <c r="S71" s="1086"/>
      <c r="T71" s="1086"/>
      <c r="U71" s="1086"/>
      <c r="V71" s="1086"/>
      <c r="W71" s="1086"/>
      <c r="X71" s="1086"/>
      <c r="Y71" s="1086"/>
      <c r="Z71" s="1086"/>
      <c r="AA71" s="1086"/>
      <c r="AB71" s="1086"/>
      <c r="AC71" s="1086"/>
      <c r="AD71" s="1086"/>
      <c r="AE71" s="1086"/>
    </row>
    <row r="72" spans="1:31" ht="27">
      <c r="A72" s="1215"/>
      <c r="B72" s="1218" t="s">
        <v>1047</v>
      </c>
      <c r="C72" s="1219"/>
      <c r="D72" s="1219"/>
      <c r="E72" s="1219"/>
      <c r="F72" s="1219"/>
      <c r="G72" s="1219"/>
      <c r="H72" s="1219"/>
      <c r="I72" s="1219"/>
      <c r="J72" s="1219"/>
      <c r="K72" s="1268"/>
      <c r="L72" s="1269"/>
      <c r="M72" s="1270"/>
      <c r="N72" s="1264"/>
      <c r="O72" s="1264"/>
      <c r="P72" s="1265"/>
      <c r="Q72" s="1188"/>
      <c r="R72" s="1086"/>
      <c r="S72" s="1086"/>
      <c r="T72" s="1086"/>
      <c r="U72" s="1086"/>
      <c r="V72" s="1086"/>
      <c r="W72" s="1086"/>
      <c r="X72" s="1086"/>
      <c r="Y72" s="1086"/>
      <c r="Z72" s="1086"/>
      <c r="AA72" s="1086"/>
      <c r="AB72" s="1086"/>
      <c r="AC72" s="1086"/>
      <c r="AD72" s="1086"/>
      <c r="AE72" s="1086"/>
    </row>
    <row r="73" spans="1:31" ht="15">
      <c r="A73" s="1215"/>
      <c r="B73" s="1220"/>
      <c r="C73" s="1221"/>
      <c r="D73" s="1221"/>
      <c r="E73" s="1221"/>
      <c r="F73" s="1221"/>
      <c r="G73" s="1221"/>
      <c r="H73" s="1221"/>
      <c r="I73" s="1221"/>
      <c r="J73" s="1221"/>
      <c r="K73" s="1221"/>
      <c r="L73" s="1221"/>
      <c r="M73" s="1271"/>
      <c r="N73" s="1267"/>
      <c r="O73" s="1267"/>
      <c r="P73" s="1265"/>
      <c r="Q73" s="1188"/>
      <c r="R73" s="1086"/>
      <c r="S73" s="1086"/>
      <c r="T73" s="1086"/>
      <c r="U73" s="1086"/>
      <c r="V73" s="1086"/>
      <c r="W73" s="1086"/>
      <c r="X73" s="1086"/>
      <c r="Y73" s="1086"/>
      <c r="Z73" s="1086"/>
      <c r="AA73" s="1086"/>
      <c r="AB73" s="1086"/>
      <c r="AC73" s="1086"/>
      <c r="AD73" s="1086"/>
      <c r="AE73" s="1086"/>
    </row>
    <row r="74" spans="1:31" ht="15">
      <c r="A74" s="1215"/>
      <c r="B74" s="1222" t="s">
        <v>1049</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32" t="str">
        <f>M75&amp;"（含）"&amp;"-"&amp;P75</f>
        <v>（含）-</v>
      </c>
      <c r="N74" s="1267"/>
      <c r="O74" s="1267"/>
      <c r="P74" s="1265"/>
      <c r="Q74" s="1188"/>
      <c r="R74" s="1086"/>
      <c r="S74" s="1086"/>
      <c r="T74" s="1086"/>
      <c r="U74" s="1086"/>
      <c r="V74" s="1086"/>
      <c r="W74" s="1086"/>
      <c r="X74" s="1086"/>
      <c r="Y74" s="1086"/>
      <c r="Z74" s="1086"/>
      <c r="AA74" s="1086"/>
      <c r="AB74" s="1086"/>
      <c r="AC74" s="1086"/>
      <c r="AD74" s="1086"/>
      <c r="AE74" s="1086"/>
    </row>
    <row r="75" spans="1:31" ht="15">
      <c r="A75" s="1215"/>
      <c r="B75" s="1224"/>
      <c r="C75" s="1017"/>
      <c r="D75" s="1017"/>
      <c r="E75" s="1017"/>
      <c r="F75" s="1017"/>
      <c r="G75" s="1017"/>
      <c r="H75" s="1017"/>
      <c r="I75" s="1017"/>
      <c r="J75" s="1017"/>
      <c r="K75" s="1272"/>
      <c r="L75" s="1273"/>
      <c r="M75" s="1274"/>
      <c r="N75" s="1264"/>
      <c r="O75" s="1264"/>
      <c r="P75" s="1265"/>
      <c r="Q75" s="1188"/>
      <c r="R75" s="1086"/>
      <c r="S75" s="1086"/>
      <c r="T75" s="1086"/>
      <c r="U75" s="1086"/>
      <c r="V75" s="1086"/>
      <c r="W75" s="1086"/>
      <c r="X75" s="1086"/>
      <c r="Y75" s="1086"/>
      <c r="Z75" s="1086"/>
      <c r="AA75" s="1086"/>
      <c r="AB75" s="1086"/>
      <c r="AC75" s="1086"/>
      <c r="AD75" s="1086"/>
      <c r="AE75" s="1086"/>
    </row>
    <row r="76" spans="1:31" ht="15">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8"/>
      <c r="R76" s="1086"/>
      <c r="S76" s="1086"/>
      <c r="T76" s="1086"/>
      <c r="U76" s="1086"/>
      <c r="V76" s="1086"/>
      <c r="W76" s="1086"/>
      <c r="X76" s="1086"/>
      <c r="Y76" s="1086"/>
      <c r="Z76" s="1086"/>
      <c r="AA76" s="1086"/>
      <c r="AB76" s="1086"/>
      <c r="AC76" s="1086"/>
      <c r="AD76" s="1086"/>
      <c r="AE76" s="1086"/>
    </row>
    <row r="77" spans="1:31" s="972" customFormat="1" ht="15">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pans="1:31" s="972" customFormat="1" ht="15">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pans="1:31" s="972" customFormat="1" ht="15">
      <c r="A79" s="1225"/>
      <c r="B79" s="1218">
        <f>B13</f>
        <v>111</v>
      </c>
      <c r="C79" s="1226"/>
      <c r="D79" s="1226"/>
      <c r="E79" s="1226"/>
      <c r="F79" s="1226"/>
      <c r="G79" s="1226"/>
      <c r="H79" s="1227"/>
      <c r="I79" s="1227"/>
      <c r="J79" s="1227"/>
      <c r="K79" s="1227"/>
      <c r="L79" s="1275"/>
      <c r="M79" s="1276"/>
      <c r="N79" s="1277"/>
      <c r="O79" s="1277"/>
      <c r="P79" s="1154"/>
      <c r="Q79" s="1311"/>
      <c r="R79" s="1310"/>
      <c r="S79" s="1310"/>
      <c r="T79" s="1310"/>
      <c r="U79" s="1310"/>
      <c r="V79" s="1310"/>
      <c r="W79" s="1310"/>
      <c r="X79" s="1310"/>
      <c r="Y79" s="1310"/>
      <c r="Z79" s="1310"/>
      <c r="AA79" s="1310"/>
      <c r="AB79" s="1310"/>
      <c r="AC79" s="1310"/>
      <c r="AD79" s="1310"/>
      <c r="AE79" s="1310"/>
    </row>
    <row r="80" spans="1:31" s="972" customFormat="1" ht="15">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pans="1:31" s="972" customFormat="1" ht="15">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pans="1:31" s="972" customFormat="1" ht="15">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1051</v>
      </c>
      <c r="B83" s="1214" t="s">
        <v>1492</v>
      </c>
      <c r="C83" s="1235" t="s">
        <v>1104</v>
      </c>
      <c r="D83" s="1235" t="s">
        <v>1105</v>
      </c>
      <c r="E83" s="1235" t="s">
        <v>1106</v>
      </c>
      <c r="F83" s="1235" t="s">
        <v>1107</v>
      </c>
      <c r="G83" s="1235" t="s">
        <v>1108</v>
      </c>
      <c r="H83" s="1236"/>
      <c r="I83" s="1236"/>
      <c r="J83" s="1236"/>
      <c r="K83" s="1284"/>
      <c r="L83" s="1285"/>
      <c r="M83" s="1286"/>
      <c r="N83" s="1264"/>
      <c r="O83" s="1264"/>
      <c r="P83" s="1287"/>
      <c r="Q83" s="1188"/>
      <c r="R83" s="1086"/>
      <c r="S83" s="1086"/>
      <c r="T83" s="1086"/>
      <c r="U83" s="1086"/>
      <c r="V83" s="1086"/>
      <c r="W83" s="1086"/>
      <c r="X83" s="1086"/>
      <c r="Y83" s="1086"/>
      <c r="Z83" s="1086"/>
      <c r="AA83" s="1086"/>
      <c r="AB83" s="1086"/>
      <c r="AC83" s="1086"/>
      <c r="AD83" s="1086"/>
      <c r="AE83" s="1086"/>
    </row>
    <row r="84" spans="1:31" ht="15">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8"/>
      <c r="R84" s="1086"/>
      <c r="S84" s="1086"/>
      <c r="T84" s="1086"/>
      <c r="U84" s="1086"/>
      <c r="V84" s="1086"/>
      <c r="W84" s="1086"/>
      <c r="X84" s="1086"/>
      <c r="Y84" s="1086"/>
      <c r="Z84" s="1086"/>
      <c r="AA84" s="1086"/>
      <c r="AB84" s="1086"/>
      <c r="AC84" s="1086"/>
      <c r="AD84" s="1086"/>
      <c r="AE84" s="1086"/>
    </row>
    <row r="85" spans="1:31" ht="15">
      <c r="A85" s="1215"/>
      <c r="B85" s="1218" t="s">
        <v>1056</v>
      </c>
      <c r="C85" s="1237" t="s">
        <v>1104</v>
      </c>
      <c r="D85" s="1237" t="s">
        <v>1105</v>
      </c>
      <c r="E85" s="1237" t="s">
        <v>1106</v>
      </c>
      <c r="F85" s="1237" t="s">
        <v>1107</v>
      </c>
      <c r="G85" s="1237" t="s">
        <v>1108</v>
      </c>
      <c r="H85" s="1219"/>
      <c r="I85" s="1219"/>
      <c r="J85" s="1219"/>
      <c r="K85" s="1268"/>
      <c r="L85" s="1269"/>
      <c r="M85" s="1270"/>
      <c r="N85" s="1264"/>
      <c r="O85" s="1264"/>
      <c r="P85" s="1265"/>
      <c r="Q85" s="1188"/>
      <c r="R85" s="1086"/>
      <c r="S85" s="1086"/>
      <c r="T85" s="1086"/>
      <c r="U85" s="1086"/>
      <c r="V85" s="1086"/>
      <c r="W85" s="1086"/>
      <c r="X85" s="1086"/>
      <c r="Y85" s="1086"/>
      <c r="Z85" s="1086"/>
      <c r="AA85" s="1086"/>
      <c r="AB85" s="1086"/>
      <c r="AC85" s="1086"/>
      <c r="AD85" s="1086"/>
      <c r="AE85" s="1086"/>
    </row>
    <row r="86" spans="1:31" ht="15">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8"/>
      <c r="R86" s="1086"/>
      <c r="S86" s="1086"/>
      <c r="T86" s="1086"/>
      <c r="U86" s="1086"/>
      <c r="V86" s="1086"/>
      <c r="W86" s="1086"/>
      <c r="X86" s="1086"/>
      <c r="Y86" s="1086"/>
      <c r="Z86" s="1086"/>
      <c r="AA86" s="1086"/>
      <c r="AB86" s="1086"/>
      <c r="AC86" s="1086"/>
      <c r="AD86" s="1086"/>
      <c r="AE86" s="1086"/>
    </row>
    <row r="87" spans="1:31" s="970" customFormat="1" ht="15">
      <c r="A87" s="1238"/>
      <c r="B87" s="1218" t="s">
        <v>1515</v>
      </c>
      <c r="C87" s="1235" t="s">
        <v>1104</v>
      </c>
      <c r="D87" s="1235" t="s">
        <v>1105</v>
      </c>
      <c r="E87" s="1235" t="s">
        <v>1106</v>
      </c>
      <c r="F87" s="1235" t="s">
        <v>1107</v>
      </c>
      <c r="G87" s="1235" t="s">
        <v>1108</v>
      </c>
      <c r="H87" s="1237"/>
      <c r="I87" s="1237"/>
      <c r="J87" s="1237"/>
      <c r="K87" s="1237"/>
      <c r="L87" s="1288"/>
      <c r="M87" s="1289"/>
      <c r="N87" s="1258"/>
      <c r="O87" s="1258"/>
      <c r="P87" s="1265"/>
      <c r="Q87" s="1188"/>
      <c r="R87" s="1308"/>
      <c r="S87" s="1308"/>
      <c r="T87" s="1308"/>
      <c r="U87" s="1308"/>
      <c r="V87" s="1308"/>
      <c r="W87" s="1308"/>
      <c r="X87" s="1308"/>
      <c r="Y87" s="1308"/>
      <c r="Z87" s="1308"/>
      <c r="AA87" s="1308"/>
      <c r="AB87" s="1308"/>
      <c r="AC87" s="1308"/>
      <c r="AD87" s="1308"/>
      <c r="AE87" s="1308"/>
    </row>
    <row r="88" spans="1:31" s="970" customFormat="1" ht="15">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8"/>
      <c r="R88" s="1308"/>
      <c r="S88" s="1308"/>
      <c r="T88" s="1308"/>
      <c r="U88" s="1308"/>
      <c r="V88" s="1308"/>
      <c r="W88" s="1308"/>
      <c r="X88" s="1308"/>
      <c r="Y88" s="1308"/>
      <c r="Z88" s="1308"/>
      <c r="AA88" s="1308"/>
      <c r="AB88" s="1308"/>
      <c r="AC88" s="1308"/>
      <c r="AD88" s="1308"/>
      <c r="AE88" s="1308"/>
    </row>
    <row r="89" spans="1:31" s="970" customFormat="1" ht="27">
      <c r="A89" s="1238"/>
      <c r="B89" s="1218" t="s">
        <v>1516</v>
      </c>
      <c r="C89" s="1235" t="s">
        <v>1104</v>
      </c>
      <c r="D89" s="1235" t="s">
        <v>1105</v>
      </c>
      <c r="E89" s="1235" t="s">
        <v>1106</v>
      </c>
      <c r="F89" s="1235" t="s">
        <v>1107</v>
      </c>
      <c r="G89" s="1235" t="s">
        <v>1108</v>
      </c>
      <c r="H89" s="1237"/>
      <c r="I89" s="1237"/>
      <c r="J89" s="1237"/>
      <c r="K89" s="1237"/>
      <c r="L89" s="1237"/>
      <c r="M89" s="1289"/>
      <c r="N89" s="1258"/>
      <c r="O89" s="1258"/>
      <c r="P89" s="1265"/>
      <c r="Q89" s="1188"/>
      <c r="R89" s="1308"/>
      <c r="S89" s="1308"/>
      <c r="T89" s="1308"/>
      <c r="U89" s="1308"/>
      <c r="V89" s="1308"/>
      <c r="W89" s="1308"/>
      <c r="X89" s="1308"/>
      <c r="Y89" s="1308"/>
      <c r="Z89" s="1308"/>
      <c r="AA89" s="1308"/>
      <c r="AB89" s="1308"/>
      <c r="AC89" s="1308"/>
      <c r="AD89" s="1308"/>
      <c r="AE89" s="1308"/>
    </row>
    <row r="90" spans="1:31" s="970" customFormat="1" ht="15">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8"/>
      <c r="R90" s="1308"/>
      <c r="S90" s="1308"/>
      <c r="T90" s="1308"/>
      <c r="U90" s="1308"/>
      <c r="V90" s="1308"/>
      <c r="W90" s="1308"/>
      <c r="X90" s="1308"/>
      <c r="Y90" s="1308"/>
      <c r="Z90" s="1308"/>
      <c r="AA90" s="1308"/>
      <c r="AB90" s="1308"/>
      <c r="AC90" s="1308"/>
      <c r="AD90" s="1308"/>
      <c r="AE90" s="1308"/>
    </row>
    <row r="91" spans="1:31" s="972" customFormat="1" ht="15">
      <c r="A91" s="1225"/>
      <c r="B91" s="1218" t="s">
        <v>1057</v>
      </c>
      <c r="C91" s="1235" t="s">
        <v>1104</v>
      </c>
      <c r="D91" s="1235" t="s">
        <v>1105</v>
      </c>
      <c r="E91" s="1235" t="s">
        <v>1106</v>
      </c>
      <c r="F91" s="1235" t="s">
        <v>1107</v>
      </c>
      <c r="G91" s="1235" t="s">
        <v>1108</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pans="1:31" s="972" customFormat="1" ht="15">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pans="1:31" s="972" customFormat="1" ht="15">
      <c r="A93" s="1225"/>
      <c r="B93" s="1222" t="s">
        <v>1058</v>
      </c>
      <c r="C93" s="1242" t="s">
        <v>1109</v>
      </c>
      <c r="D93" s="1242" t="s">
        <v>1110</v>
      </c>
      <c r="E93" s="1242" t="s">
        <v>1111</v>
      </c>
      <c r="F93" s="1242" t="s">
        <v>1112</v>
      </c>
      <c r="G93" s="1242" t="s">
        <v>1113</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pans="1:31" s="972" customFormat="1" ht="15">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spans="1:31" ht="15">
      <c r="A95" s="1215"/>
      <c r="B95" s="1218" t="str">
        <f>B27</f>
        <v>临街状况</v>
      </c>
      <c r="C95" s="1219" t="s">
        <v>1557</v>
      </c>
      <c r="D95" s="1219" t="s">
        <v>1558</v>
      </c>
      <c r="E95" s="1219" t="s">
        <v>1559</v>
      </c>
      <c r="F95" s="1219" t="s">
        <v>1560</v>
      </c>
      <c r="G95" s="1219"/>
      <c r="H95" s="1219"/>
      <c r="I95" s="1219"/>
      <c r="J95" s="1219"/>
      <c r="K95" s="1268"/>
      <c r="L95" s="1269"/>
      <c r="M95" s="1270"/>
      <c r="N95" s="1264"/>
      <c r="O95" s="1264"/>
      <c r="P95" s="1265"/>
      <c r="Q95" s="1188"/>
      <c r="R95" s="1086"/>
      <c r="S95" s="1086"/>
      <c r="T95" s="1086"/>
      <c r="U95" s="1086"/>
      <c r="V95" s="1086"/>
      <c r="W95" s="1086"/>
      <c r="X95" s="1086"/>
      <c r="Y95" s="1086"/>
      <c r="Z95" s="1086"/>
      <c r="AA95" s="1086"/>
      <c r="AB95" s="1086"/>
      <c r="AC95" s="1086"/>
      <c r="AD95" s="1086"/>
      <c r="AE95" s="1086"/>
    </row>
    <row r="96" spans="1:31" ht="15">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8"/>
      <c r="R96" s="1086"/>
      <c r="S96" s="1086"/>
      <c r="T96" s="1086"/>
      <c r="U96" s="1086"/>
      <c r="V96" s="1086"/>
      <c r="W96" s="1086"/>
      <c r="X96" s="1086"/>
      <c r="Y96" s="1086"/>
      <c r="Z96" s="1086"/>
      <c r="AA96" s="1086"/>
      <c r="AB96" s="1086"/>
      <c r="AC96" s="1086"/>
      <c r="AD96" s="1086"/>
      <c r="AE96" s="1086"/>
    </row>
    <row r="97" spans="1:31" ht="27">
      <c r="A97" s="1215"/>
      <c r="B97" s="1218" t="s">
        <v>1487</v>
      </c>
      <c r="C97" s="1226"/>
      <c r="D97" s="1226"/>
      <c r="E97" s="1226"/>
      <c r="F97" s="1226"/>
      <c r="G97" s="1226"/>
      <c r="H97" s="1243"/>
      <c r="I97" s="1243"/>
      <c r="J97" s="1243"/>
      <c r="K97" s="1294"/>
      <c r="L97" s="1295"/>
      <c r="M97" s="1296"/>
      <c r="N97" s="1264"/>
      <c r="O97" s="1264"/>
      <c r="P97" s="1265"/>
      <c r="Q97" s="1188"/>
      <c r="R97" s="1086"/>
      <c r="S97" s="1086"/>
      <c r="T97" s="1086"/>
      <c r="U97" s="1086"/>
      <c r="V97" s="1086"/>
      <c r="W97" s="1086"/>
      <c r="X97" s="1086"/>
      <c r="Y97" s="1086"/>
      <c r="Z97" s="1086"/>
      <c r="AA97" s="1086"/>
      <c r="AB97" s="1086"/>
      <c r="AC97" s="1086"/>
      <c r="AD97" s="1086"/>
      <c r="AE97" s="1086"/>
    </row>
    <row r="98" spans="1:31" ht="15">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8"/>
      <c r="R98" s="1086"/>
      <c r="S98" s="1086"/>
      <c r="T98" s="1086"/>
      <c r="U98" s="1086"/>
      <c r="V98" s="1086"/>
      <c r="W98" s="1086"/>
      <c r="X98" s="1086"/>
      <c r="Y98" s="1086"/>
      <c r="Z98" s="1086"/>
      <c r="AA98" s="1086"/>
      <c r="AB98" s="1086"/>
      <c r="AC98" s="1086"/>
      <c r="AD98" s="1086"/>
      <c r="AE98" s="1086"/>
    </row>
    <row r="99" spans="1:31" ht="15">
      <c r="A99" s="1215"/>
      <c r="B99" s="1218" t="s">
        <v>1517</v>
      </c>
      <c r="C99" s="1243"/>
      <c r="D99" s="1243"/>
      <c r="E99" s="1243"/>
      <c r="F99" s="1243"/>
      <c r="G99" s="1243"/>
      <c r="H99" s="1243"/>
      <c r="I99" s="1243"/>
      <c r="J99" s="1243"/>
      <c r="K99" s="1294"/>
      <c r="L99" s="1295"/>
      <c r="M99" s="1296"/>
      <c r="N99" s="1264"/>
      <c r="O99" s="1264"/>
      <c r="P99" s="1265"/>
      <c r="Q99" s="1188"/>
      <c r="R99" s="1086"/>
      <c r="S99" s="1086"/>
      <c r="T99" s="1086"/>
      <c r="U99" s="1086"/>
      <c r="V99" s="1086"/>
      <c r="W99" s="1086"/>
      <c r="X99" s="1086"/>
      <c r="Y99" s="1086"/>
      <c r="Z99" s="1086"/>
      <c r="AA99" s="1086"/>
      <c r="AB99" s="1086"/>
      <c r="AC99" s="1086"/>
      <c r="AD99" s="1086"/>
      <c r="AE99" s="1086"/>
    </row>
    <row r="100" spans="1:31" ht="15">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8"/>
      <c r="R100" s="1086"/>
      <c r="S100" s="1086"/>
      <c r="T100" s="1086"/>
      <c r="U100" s="1086"/>
      <c r="V100" s="1086"/>
      <c r="W100" s="1086"/>
      <c r="X100" s="1086"/>
      <c r="Y100" s="1086"/>
      <c r="Z100" s="1086"/>
      <c r="AA100" s="1086"/>
      <c r="AB100" s="1086"/>
      <c r="AC100" s="1086"/>
      <c r="AD100" s="1086"/>
      <c r="AE100" s="1086"/>
    </row>
    <row r="101" spans="1:31" ht="15">
      <c r="A101" s="1215"/>
      <c r="B101" s="1222">
        <f>B31</f>
        <v>111</v>
      </c>
      <c r="C101" s="1226"/>
      <c r="D101" s="1226"/>
      <c r="E101" s="1226"/>
      <c r="F101" s="1226"/>
      <c r="G101" s="1244"/>
      <c r="H101" s="1244"/>
      <c r="I101" s="1244"/>
      <c r="J101" s="1244"/>
      <c r="K101" s="1297"/>
      <c r="L101" s="1298"/>
      <c r="M101" s="1299"/>
      <c r="N101" s="1264"/>
      <c r="O101" s="1264"/>
      <c r="P101" s="1265"/>
      <c r="Q101" s="1188"/>
      <c r="R101" s="1086"/>
      <c r="S101" s="1086"/>
      <c r="T101" s="1086"/>
      <c r="U101" s="1086"/>
      <c r="V101" s="1086"/>
      <c r="W101" s="1086"/>
      <c r="X101" s="1086"/>
      <c r="Y101" s="1086"/>
      <c r="Z101" s="1086"/>
      <c r="AA101" s="1086"/>
      <c r="AB101" s="1086"/>
      <c r="AC101" s="1086"/>
      <c r="AD101" s="1086"/>
      <c r="AE101" s="1086"/>
    </row>
    <row r="102" spans="1:31" ht="15">
      <c r="A102" s="1215"/>
      <c r="B102" s="1232"/>
      <c r="C102" s="1228"/>
      <c r="D102" s="1217"/>
      <c r="E102" s="1217"/>
      <c r="F102" s="1217"/>
      <c r="G102" s="1245"/>
      <c r="H102" s="1245"/>
      <c r="I102" s="1245"/>
      <c r="J102" s="1245"/>
      <c r="K102" s="1245"/>
      <c r="L102" s="1245"/>
      <c r="M102" s="1300"/>
      <c r="N102" s="1267"/>
      <c r="O102" s="1267"/>
      <c r="P102" s="1265"/>
      <c r="Q102" s="1188"/>
      <c r="R102" s="1086"/>
      <c r="S102" s="1086"/>
      <c r="T102" s="1086"/>
      <c r="U102" s="1086"/>
      <c r="V102" s="1086"/>
      <c r="W102" s="1086"/>
      <c r="X102" s="1086"/>
      <c r="Y102" s="1086"/>
      <c r="Z102" s="1086"/>
      <c r="AA102" s="1086"/>
      <c r="AB102" s="1086"/>
      <c r="AC102" s="1086"/>
      <c r="AD102" s="1086"/>
      <c r="AE102" s="1086"/>
    </row>
    <row r="103" spans="1:31">
      <c r="A103" s="1052"/>
      <c r="B103" s="1218">
        <f>B32</f>
        <v>111</v>
      </c>
      <c r="C103" s="1226"/>
      <c r="D103" s="1226"/>
      <c r="E103" s="1226"/>
      <c r="F103" s="1226"/>
      <c r="G103" s="1243"/>
      <c r="H103" s="1243"/>
      <c r="I103" s="1243"/>
      <c r="J103" s="1243"/>
      <c r="K103" s="1294"/>
      <c r="L103" s="1295"/>
      <c r="M103" s="1296"/>
      <c r="N103" s="1264"/>
      <c r="O103" s="1264"/>
      <c r="P103" s="1265"/>
      <c r="Q103" s="1188"/>
      <c r="R103" s="1086"/>
      <c r="S103" s="1086"/>
      <c r="T103" s="1086"/>
      <c r="U103" s="1086"/>
      <c r="V103" s="1086"/>
      <c r="W103" s="1086"/>
      <c r="X103" s="1086"/>
      <c r="Y103" s="1086"/>
      <c r="Z103" s="1086"/>
      <c r="AA103" s="1086"/>
      <c r="AB103" s="1086"/>
      <c r="AC103" s="1086"/>
      <c r="AD103" s="1086"/>
      <c r="AE103" s="1086"/>
    </row>
    <row r="104" spans="1:31" ht="15">
      <c r="A104" s="1215"/>
      <c r="B104" s="1220"/>
      <c r="C104" s="1228"/>
      <c r="D104" s="1228"/>
      <c r="E104" s="1228"/>
      <c r="F104" s="1228"/>
      <c r="G104" s="1217"/>
      <c r="H104" s="1217"/>
      <c r="I104" s="1217"/>
      <c r="J104" s="1217"/>
      <c r="K104" s="1217"/>
      <c r="L104" s="1217"/>
      <c r="M104" s="1266"/>
      <c r="N104" s="1267"/>
      <c r="O104" s="1267"/>
      <c r="P104" s="1265"/>
      <c r="Q104" s="1188"/>
      <c r="R104" s="1086"/>
      <c r="S104" s="1086"/>
      <c r="T104" s="1086"/>
      <c r="U104" s="1086"/>
      <c r="V104" s="1086"/>
      <c r="W104" s="1086"/>
      <c r="X104" s="1086"/>
      <c r="Y104" s="1086"/>
      <c r="Z104" s="1086"/>
      <c r="AA104" s="1086"/>
      <c r="AB104" s="1086"/>
      <c r="AC104" s="1086"/>
      <c r="AD104" s="1086"/>
      <c r="AE104" s="1086"/>
    </row>
    <row r="105" spans="1:31" s="972" customFormat="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pans="1:31" s="972" customFormat="1" ht="15">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1065</v>
      </c>
      <c r="B107" s="1214" t="s">
        <v>1518</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8"/>
      <c r="R107" s="1086"/>
      <c r="S107" s="1086"/>
      <c r="T107" s="1086"/>
      <c r="U107" s="1086"/>
      <c r="V107" s="1086"/>
      <c r="W107" s="1086"/>
      <c r="X107" s="1086"/>
      <c r="Y107" s="1086"/>
      <c r="Z107" s="1086"/>
      <c r="AA107" s="1086"/>
      <c r="AB107" s="1086"/>
      <c r="AC107" s="1086"/>
      <c r="AD107" s="1086"/>
      <c r="AE107" s="1086"/>
    </row>
    <row r="108" spans="1:31" ht="15">
      <c r="A108" s="1215"/>
      <c r="B108" s="1222"/>
      <c r="C108" s="1202"/>
      <c r="D108" s="1202"/>
      <c r="E108" s="1202"/>
      <c r="F108" s="1202"/>
      <c r="G108" s="1202"/>
      <c r="H108" s="1202"/>
      <c r="I108" s="1202"/>
      <c r="J108" s="1301"/>
      <c r="K108" s="1301"/>
      <c r="L108" s="1302"/>
      <c r="M108" s="1303"/>
      <c r="N108" s="1264"/>
      <c r="O108" s="1264"/>
      <c r="P108" s="1265"/>
      <c r="Q108" s="1188"/>
      <c r="R108" s="1086"/>
      <c r="S108" s="1086"/>
      <c r="T108" s="1086"/>
      <c r="U108" s="1086"/>
      <c r="V108" s="1086"/>
      <c r="W108" s="1086"/>
      <c r="X108" s="1086"/>
      <c r="Y108" s="1086"/>
      <c r="Z108" s="1086"/>
      <c r="AA108" s="1086"/>
      <c r="AB108" s="1086"/>
      <c r="AC108" s="1086"/>
      <c r="AD108" s="1086"/>
      <c r="AE108" s="1086"/>
    </row>
    <row r="109" spans="1:31" ht="15">
      <c r="A109" s="1215"/>
      <c r="B109" s="1220"/>
      <c r="C109" s="1233"/>
      <c r="D109" s="1245"/>
      <c r="E109" s="1245"/>
      <c r="F109" s="1245"/>
      <c r="G109" s="1245"/>
      <c r="H109" s="1245"/>
      <c r="I109" s="1245"/>
      <c r="J109" s="1245"/>
      <c r="K109" s="1245"/>
      <c r="L109" s="1245"/>
      <c r="M109" s="1300"/>
      <c r="N109" s="1267"/>
      <c r="O109" s="1267"/>
      <c r="P109" s="1265"/>
      <c r="Q109" s="1188"/>
      <c r="R109" s="1086"/>
      <c r="S109" s="1086"/>
      <c r="T109" s="1086"/>
      <c r="U109" s="1086"/>
      <c r="V109" s="1086"/>
      <c r="W109" s="1086"/>
      <c r="X109" s="1086"/>
      <c r="Y109" s="1086"/>
      <c r="Z109" s="1086"/>
      <c r="AA109" s="1086"/>
      <c r="AB109" s="1086"/>
      <c r="AC109" s="1086"/>
      <c r="AD109" s="1086"/>
      <c r="AE109" s="1086"/>
    </row>
    <row r="110" spans="1:31">
      <c r="A110" s="1249"/>
      <c r="B110" s="1218" t="s">
        <v>1519</v>
      </c>
      <c r="C110" s="1243"/>
      <c r="D110" s="1243"/>
      <c r="E110" s="1243"/>
      <c r="F110" s="1243"/>
      <c r="G110" s="1243"/>
      <c r="H110" s="1243"/>
      <c r="I110" s="1243"/>
      <c r="J110" s="1243"/>
      <c r="K110" s="1294"/>
      <c r="L110" s="1295"/>
      <c r="M110" s="1296"/>
      <c r="N110" s="1264"/>
      <c r="O110" s="1264"/>
      <c r="P110" s="1265"/>
      <c r="Q110" s="1188"/>
      <c r="R110" s="1086"/>
      <c r="S110" s="1086"/>
      <c r="T110" s="1086"/>
      <c r="U110" s="1086"/>
      <c r="V110" s="1086"/>
      <c r="W110" s="1086"/>
      <c r="X110" s="1086"/>
      <c r="Y110" s="1086"/>
      <c r="Z110" s="1086"/>
      <c r="AA110" s="1086"/>
      <c r="AB110" s="1086"/>
      <c r="AC110" s="1086"/>
      <c r="AD110" s="1086"/>
      <c r="AE110" s="1086"/>
    </row>
    <row r="111" spans="1:31" ht="15">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8"/>
      <c r="R111" s="1086"/>
      <c r="S111" s="1086"/>
      <c r="T111" s="1086"/>
      <c r="U111" s="1086"/>
      <c r="V111" s="1086"/>
      <c r="W111" s="1086"/>
      <c r="X111" s="1086"/>
      <c r="Y111" s="1086"/>
      <c r="Z111" s="1086"/>
      <c r="AA111" s="1086"/>
      <c r="AB111" s="1086"/>
      <c r="AC111" s="1086"/>
      <c r="AD111" s="1086"/>
      <c r="AE111" s="1086"/>
    </row>
    <row r="112" spans="1:31" s="972" customFormat="1">
      <c r="A112" s="1246"/>
      <c r="B112" s="1218" t="s">
        <v>1522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pans="1:31" s="972" customFormat="1" ht="15">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spans="1:31">
      <c r="A114" s="1249"/>
      <c r="B114" s="1218" t="s">
        <v>1523</v>
      </c>
      <c r="C114" s="1226"/>
      <c r="D114" s="1226"/>
      <c r="E114" s="1243"/>
      <c r="F114" s="1243"/>
      <c r="G114" s="1243"/>
      <c r="H114" s="1243"/>
      <c r="I114" s="1243"/>
      <c r="J114" s="1243"/>
      <c r="K114" s="1294"/>
      <c r="L114" s="1295"/>
      <c r="M114" s="1296"/>
      <c r="N114" s="1264"/>
      <c r="O114" s="1264"/>
      <c r="P114" s="1265"/>
      <c r="Q114" s="1188"/>
      <c r="R114" s="1086"/>
      <c r="S114" s="1086"/>
      <c r="T114" s="1086"/>
      <c r="U114" s="1086"/>
      <c r="V114" s="1086"/>
      <c r="W114" s="1086"/>
      <c r="X114" s="1086"/>
      <c r="Y114" s="1086"/>
      <c r="Z114" s="1086"/>
      <c r="AA114" s="1086"/>
      <c r="AB114" s="1086"/>
      <c r="AC114" s="1086"/>
      <c r="AD114" s="1086"/>
      <c r="AE114" s="1086"/>
    </row>
    <row r="115" spans="1:31" ht="15">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8"/>
      <c r="R115" s="1086"/>
      <c r="S115" s="1086"/>
      <c r="T115" s="1086"/>
      <c r="U115" s="1086"/>
      <c r="V115" s="1086"/>
      <c r="W115" s="1086"/>
      <c r="X115" s="1086"/>
      <c r="Y115" s="1086"/>
      <c r="Z115" s="1086"/>
      <c r="AA115" s="1086"/>
      <c r="AB115" s="1086"/>
      <c r="AC115" s="1086"/>
      <c r="AD115" s="1086"/>
      <c r="AE115" s="1086"/>
    </row>
    <row r="116" spans="1:31">
      <c r="A116" s="1249"/>
      <c r="B116" s="1218">
        <f>B38</f>
        <v>111</v>
      </c>
      <c r="C116" s="1226"/>
      <c r="D116" s="1226"/>
      <c r="E116" s="1226"/>
      <c r="F116" s="1226"/>
      <c r="G116" s="1226"/>
      <c r="H116" s="1243"/>
      <c r="I116" s="1243"/>
      <c r="J116" s="1243"/>
      <c r="K116" s="1294"/>
      <c r="L116" s="1295"/>
      <c r="M116" s="1296"/>
      <c r="N116" s="1264"/>
      <c r="O116" s="1264"/>
      <c r="P116" s="1265"/>
      <c r="Q116" s="1188"/>
      <c r="R116" s="1086"/>
      <c r="S116" s="1086"/>
      <c r="T116" s="1086"/>
      <c r="U116" s="1086"/>
      <c r="V116" s="1086"/>
      <c r="W116" s="1086"/>
      <c r="X116" s="1086"/>
      <c r="Y116" s="1086"/>
      <c r="Z116" s="1086"/>
      <c r="AA116" s="1086"/>
      <c r="AB116" s="1086"/>
      <c r="AC116" s="1086"/>
      <c r="AD116" s="1086"/>
      <c r="AE116" s="1086"/>
    </row>
    <row r="117" spans="1:31" ht="15">
      <c r="A117" s="1215"/>
      <c r="B117" s="1220"/>
      <c r="C117" s="1228"/>
      <c r="D117" s="1217"/>
      <c r="E117" s="1217"/>
      <c r="F117" s="1217"/>
      <c r="G117" s="1217"/>
      <c r="H117" s="1217"/>
      <c r="I117" s="1217"/>
      <c r="J117" s="1217"/>
      <c r="K117" s="1217"/>
      <c r="L117" s="1217"/>
      <c r="M117" s="1266"/>
      <c r="N117" s="1267"/>
      <c r="O117" s="1267"/>
      <c r="P117" s="1265"/>
      <c r="Q117" s="1188"/>
      <c r="R117" s="1086"/>
      <c r="S117" s="1086"/>
      <c r="T117" s="1086"/>
      <c r="U117" s="1086"/>
      <c r="V117" s="1086"/>
      <c r="W117" s="1086"/>
      <c r="X117" s="1086"/>
      <c r="Y117" s="1086"/>
      <c r="Z117" s="1086"/>
      <c r="AA117" s="1086"/>
      <c r="AB117" s="1086"/>
      <c r="AC117" s="1086"/>
      <c r="AD117" s="1086"/>
      <c r="AE117" s="1086"/>
    </row>
    <row r="118" spans="1:31">
      <c r="A118" s="1249"/>
      <c r="B118" s="1218">
        <f>B39</f>
        <v>111</v>
      </c>
      <c r="C118" s="1226"/>
      <c r="D118" s="1226"/>
      <c r="E118" s="1226"/>
      <c r="F118" s="1226"/>
      <c r="G118" s="1243"/>
      <c r="H118" s="1243"/>
      <c r="I118" s="1243"/>
      <c r="J118" s="1243"/>
      <c r="K118" s="1294"/>
      <c r="L118" s="1295"/>
      <c r="M118" s="1296"/>
      <c r="N118" s="1264"/>
      <c r="O118" s="1264"/>
      <c r="P118" s="1265"/>
      <c r="Q118" s="1188"/>
      <c r="R118" s="1086"/>
      <c r="S118" s="1086"/>
      <c r="T118" s="1086"/>
      <c r="U118" s="1086"/>
      <c r="V118" s="1086"/>
      <c r="W118" s="1086"/>
      <c r="X118" s="1086"/>
      <c r="Y118" s="1086"/>
      <c r="Z118" s="1086"/>
      <c r="AA118" s="1086"/>
      <c r="AB118" s="1086"/>
      <c r="AC118" s="1086"/>
      <c r="AD118" s="1086"/>
      <c r="AE118" s="1086"/>
    </row>
    <row r="119" spans="1:31" ht="15">
      <c r="A119" s="1215"/>
      <c r="B119" s="1220"/>
      <c r="C119" s="1228"/>
      <c r="D119" s="1228"/>
      <c r="E119" s="1228"/>
      <c r="F119" s="1228"/>
      <c r="G119" s="1217"/>
      <c r="H119" s="1217"/>
      <c r="I119" s="1217"/>
      <c r="J119" s="1217"/>
      <c r="K119" s="1217"/>
      <c r="L119" s="1217"/>
      <c r="M119" s="1266"/>
      <c r="N119" s="1267"/>
      <c r="O119" s="1267"/>
      <c r="P119" s="1265"/>
      <c r="Q119" s="1188"/>
      <c r="R119" s="1086"/>
      <c r="S119" s="1086"/>
      <c r="T119" s="1086"/>
      <c r="U119" s="1086"/>
      <c r="V119" s="1086"/>
      <c r="W119" s="1086"/>
      <c r="X119" s="1086"/>
      <c r="Y119" s="1086"/>
      <c r="Z119" s="1086"/>
      <c r="AA119" s="1086"/>
      <c r="AB119" s="1086"/>
      <c r="AC119" s="1086"/>
      <c r="AD119" s="1086"/>
      <c r="AE119" s="1086"/>
    </row>
    <row r="120" spans="1:31" s="972" customFormat="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pans="1:31" s="972" customFormat="1" ht="15">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41" priority="4">
      <formula>$D$42="简单平均"</formula>
    </cfRule>
  </conditionalFormatting>
  <conditionalFormatting sqref="H42">
    <cfRule type="expression" dxfId="40" priority="3">
      <formula>$D$42="简单平均"</formula>
    </cfRule>
  </conditionalFormatting>
  <conditionalFormatting sqref="J42">
    <cfRule type="expression" dxfId="39" priority="2">
      <formula>$D$42="简单平均"</formula>
    </cfRule>
  </conditionalFormatting>
  <conditionalFormatting sqref="E46">
    <cfRule type="expression" dxfId="38" priority="13" stopIfTrue="1">
      <formula>$F$46="超过30%"</formula>
    </cfRule>
  </conditionalFormatting>
  <conditionalFormatting sqref="G46">
    <cfRule type="expression" dxfId="37" priority="9" stopIfTrue="1">
      <formula>$H$46="超过30%"</formula>
    </cfRule>
  </conditionalFormatting>
  <conditionalFormatting sqref="I46">
    <cfRule type="expression" dxfId="36" priority="7" stopIfTrue="1">
      <formula>$J$46="超过30%"</formula>
    </cfRule>
  </conditionalFormatting>
  <conditionalFormatting sqref="E47">
    <cfRule type="expression" dxfId="35" priority="53" stopIfTrue="1">
      <formula>#REF!+$F$47="超过20%"</formula>
    </cfRule>
  </conditionalFormatting>
  <conditionalFormatting sqref="G47">
    <cfRule type="expression" dxfId="34" priority="8" stopIfTrue="1">
      <formula>$H$47="超过20%"</formula>
    </cfRule>
  </conditionalFormatting>
  <conditionalFormatting sqref="I47">
    <cfRule type="expression" dxfId="33" priority="6" stopIfTrue="1">
      <formula>$J$47="超过20%"</formula>
    </cfRule>
  </conditionalFormatting>
  <conditionalFormatting sqref="E48">
    <cfRule type="expression" dxfId="32" priority="10" stopIfTrue="1">
      <formula>$F$48="超过30%"</formula>
    </cfRule>
  </conditionalFormatting>
  <conditionalFormatting sqref="F48">
    <cfRule type="containsText" dxfId="31" priority="15" stopIfTrue="1" operator="containsText" text="超过">
      <formula>NOT(ISERROR(SEARCH("超过",F48)))</formula>
    </cfRule>
  </conditionalFormatting>
  <conditionalFormatting sqref="G48">
    <cfRule type="expression" dxfId="30" priority="12" stopIfTrue="1">
      <formula>$H$48="超过30%"</formula>
    </cfRule>
  </conditionalFormatting>
  <conditionalFormatting sqref="H48">
    <cfRule type="containsText" dxfId="29" priority="16" stopIfTrue="1" operator="containsText" text="超过">
      <formula>NOT(ISERROR(SEARCH("超过",H48)))</formula>
    </cfRule>
  </conditionalFormatting>
  <conditionalFormatting sqref="I48">
    <cfRule type="expression" dxfId="28" priority="5" stopIfTrue="1">
      <formula>$J$48="超过30%"</formula>
    </cfRule>
  </conditionalFormatting>
  <conditionalFormatting sqref="J48">
    <cfRule type="containsText" dxfId="27" priority="17" stopIfTrue="1" operator="containsText" text="超过">
      <formula>NOT(ISERROR(SEARCH("超过",J48)))</formula>
    </cfRule>
  </conditionalFormatting>
  <conditionalFormatting sqref="F7:F40 H7:H40 J7:J40">
    <cfRule type="cellIs" dxfId="26" priority="1" operator="notEqual">
      <formula>100</formula>
    </cfRule>
  </conditionalFormatting>
  <conditionalFormatting sqref="F46 H46 J46">
    <cfRule type="containsText" dxfId="25" priority="18" stopIfTrue="1" operator="containsText" text="超过">
      <formula>NOT(ISERROR(SEARCH("超过",F46)))</formula>
    </cfRule>
  </conditionalFormatting>
  <conditionalFormatting sqref="F47 H47 J47">
    <cfRule type="containsText" dxfId="24"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652" customWidth="1"/>
    <col min="2" max="2" width="19.25" style="653" customWidth="1"/>
    <col min="3" max="4" width="12" style="654"/>
    <col min="5" max="5" width="14.625" style="654" customWidth="1"/>
    <col min="6" max="8" width="12" style="654"/>
    <col min="9" max="9" width="12.25" style="654" customWidth="1"/>
    <col min="10" max="10" width="12" style="654"/>
    <col min="11" max="11" width="8.125" style="655" customWidth="1"/>
    <col min="12" max="12" width="12" style="654"/>
    <col min="13" max="13" width="8.5" style="654" customWidth="1"/>
    <col min="14" max="14" width="9.75" style="654" customWidth="1"/>
    <col min="15" max="25" width="12" style="654"/>
    <col min="26" max="26" width="9.375" style="652" customWidth="1"/>
    <col min="27" max="32" width="9.375" style="656" customWidth="1"/>
    <col min="33" max="36" width="9.375" style="652" customWidth="1"/>
    <col min="37" max="38" width="9.375" style="654" customWidth="1"/>
    <col min="39" max="16384" width="12" style="654"/>
  </cols>
  <sheetData>
    <row r="1" spans="1:36" ht="28.5">
      <c r="A1" s="234" t="s">
        <v>1576</v>
      </c>
      <c r="B1" s="235"/>
      <c r="C1" s="238" t="s">
        <v>1024</v>
      </c>
      <c r="D1" s="657">
        <f>SUM(D29:D30,D33:D39)</f>
        <v>0</v>
      </c>
      <c r="E1" s="658"/>
      <c r="F1" s="658"/>
      <c r="G1" s="658"/>
      <c r="H1" s="658"/>
      <c r="I1" s="658"/>
      <c r="J1" s="658"/>
      <c r="K1" s="650"/>
      <c r="L1" s="828" t="s">
        <v>1577</v>
      </c>
      <c r="M1" s="829">
        <f>SUMPRODUCT((区片价!B5:B9=I2)*(区片价!C3:F3=E2)*(区片价!C5:F9))</f>
        <v>0</v>
      </c>
      <c r="N1" s="830">
        <f>SUMPRODUCT((因素修正幅度!B5:B9=I2)*(因素修正幅度!C3:F3=E2)*(因素修正幅度!C5:F9))</f>
        <v>0</v>
      </c>
      <c r="O1" s="651"/>
      <c r="P1" s="651"/>
      <c r="Q1" s="650"/>
      <c r="R1" s="909" t="s">
        <v>1578</v>
      </c>
      <c r="S1" s="909" t="s">
        <v>1579</v>
      </c>
      <c r="T1" s="909" t="s">
        <v>1580</v>
      </c>
      <c r="U1" s="909" t="s">
        <v>1581</v>
      </c>
      <c r="V1" s="909" t="s">
        <v>1582</v>
      </c>
      <c r="W1" s="910"/>
      <c r="X1" s="910"/>
      <c r="Y1" s="910"/>
      <c r="Z1" s="910"/>
      <c r="AA1" s="910"/>
      <c r="AB1" s="910"/>
      <c r="AC1" s="918"/>
      <c r="AD1" s="919"/>
      <c r="AE1" s="919"/>
      <c r="AF1" s="919"/>
      <c r="AG1" s="919"/>
      <c r="AH1" s="919"/>
      <c r="AI1" s="919"/>
      <c r="AJ1" s="929"/>
    </row>
    <row r="2" spans="1:36" ht="15.75">
      <c r="A2" s="238" t="s">
        <v>923</v>
      </c>
      <c r="B2" s="242" t="e">
        <f>C26</f>
        <v>#DIV/0!</v>
      </c>
      <c r="C2" s="659" t="s">
        <v>924</v>
      </c>
      <c r="D2" s="660" t="s">
        <v>1583</v>
      </c>
      <c r="E2" s="661"/>
      <c r="F2" s="660" t="s">
        <v>1584</v>
      </c>
      <c r="G2" s="662">
        <f>IF(E2="商业",项目基本情况!B37,IF(E2="办公",项目基本情况!C37,IF(E2="住宅",项目基本情况!D37,项目基本情况!E37)))</f>
        <v>0</v>
      </c>
      <c r="H2" s="660" t="s">
        <v>1585</v>
      </c>
      <c r="I2" s="662">
        <f>IF(E2="商业",项目基本情况!B38,IF(E2="办公",项目基本情况!C38,IF(E2="住宅",项目基本情况!D38,项目基本情况!E38)))</f>
        <v>0</v>
      </c>
      <c r="J2" s="831"/>
      <c r="K2" s="650"/>
      <c r="L2" s="832" t="s">
        <v>1586</v>
      </c>
      <c r="M2" s="833">
        <f>SUMPRODUCT((区片价!B10:B28=I2)*(区片价!C3:F3=E2)*(区片价!C10:F28))</f>
        <v>0</v>
      </c>
      <c r="N2" s="830">
        <f>SUMPRODUCT((因素修正幅度!B10:B28=I2)*(因素修正幅度!C3:F3=E2)*(因素修正幅度!C10:F28))</f>
        <v>0</v>
      </c>
      <c r="O2" s="650"/>
      <c r="P2" s="650"/>
      <c r="Q2" s="650"/>
      <c r="R2" s="909">
        <v>1</v>
      </c>
      <c r="S2" s="909">
        <f>ROUND(IF(G3&gt;1,IF(R2&lt;7,SUMPRODUCT((B93:B98=R2)*(C92:N92=G2)*(C93:N98)),SUMIF(C92:N92,G2,C100:N100)),IF(R2&lt;7,SUMPRODUCT((B102:B107=R2)*(C92:N92=G2)*(C102:N107)),SUMIF(C92:N92,G2,C109:N109))),4)</f>
        <v>0</v>
      </c>
      <c r="T2" s="909" t="e">
        <f>ROUND($C$5*$C$18*$C$19*$C$20*S2*$C$24,0)</f>
        <v>#DIV/0!</v>
      </c>
      <c r="U2" s="911"/>
      <c r="V2" s="909" t="e">
        <f>ROUND(T2*U2/10000,0)</f>
        <v>#DIV/0!</v>
      </c>
      <c r="W2" s="910"/>
      <c r="X2" s="910"/>
      <c r="Y2" s="910"/>
      <c r="Z2" s="910"/>
      <c r="AA2" s="910"/>
      <c r="AB2" s="910"/>
      <c r="AC2" s="918"/>
      <c r="AD2" s="919"/>
      <c r="AE2" s="919"/>
      <c r="AF2" s="919"/>
      <c r="AG2" s="919"/>
      <c r="AH2" s="919"/>
      <c r="AI2" s="919"/>
      <c r="AJ2" s="929"/>
    </row>
    <row r="3" spans="1:36" ht="15.75">
      <c r="A3" s="241" t="s">
        <v>925</v>
      </c>
      <c r="B3" s="242" t="e">
        <f>ROUND(B2*10000/D1,0)</f>
        <v>#DIV/0!</v>
      </c>
      <c r="C3" s="659" t="s">
        <v>926</v>
      </c>
      <c r="D3" s="660" t="s">
        <v>1587</v>
      </c>
      <c r="E3" s="663"/>
      <c r="F3" s="664" t="s">
        <v>1588</v>
      </c>
      <c r="G3" s="665">
        <f>IF(F3="宗地容积率",'数据-汇总表'!I4,IF(F3="估价对象容积率",'数据-汇总表'!I6,'数据-汇总表'!I7))</f>
        <v>2.56</v>
      </c>
      <c r="H3" s="666" t="s">
        <v>1589</v>
      </c>
      <c r="I3" s="834"/>
      <c r="J3" s="831" t="s">
        <v>1590</v>
      </c>
      <c r="K3" s="650"/>
      <c r="L3" s="832" t="s">
        <v>1591</v>
      </c>
      <c r="M3" s="833">
        <f>SUMPRODUCT((区片价!B29:B48=I2)*(区片价!C3:F3=E2)*(区片价!C29:F48))</f>
        <v>0</v>
      </c>
      <c r="N3" s="830">
        <f>SUMPRODUCT((因素修正幅度!B29:B48=I2)*(因素修正幅度!C3:F3=E2)*(因素修正幅度!C29:F48))</f>
        <v>0</v>
      </c>
      <c r="O3" s="650"/>
      <c r="P3" s="650"/>
      <c r="Q3" s="650"/>
      <c r="R3" s="909">
        <v>2</v>
      </c>
      <c r="S3" s="909">
        <f>ROUND(IF(G3&gt;1,IF(R3&lt;7,SUMPRODUCT((B93:B98=R3)*(C92:N92=G2)*(C93:N98)),SUMIF(C92:N92,G2,C100:N100)),IF(R3&lt;7,SUMPRODUCT((B102:B107=R3)*(C92:N92=G2)*(C102:N107)),SUMIF(C92:N92,G2,C109:N109))),4)</f>
        <v>0</v>
      </c>
      <c r="T3" s="909" t="e">
        <f t="shared" ref="T3:T16" si="0">ROUND($C$5*$C$18*$C$19*$C$20*S3*$C$24,0)</f>
        <v>#DIV/0!</v>
      </c>
      <c r="U3" s="911"/>
      <c r="V3" s="909" t="e">
        <f t="shared" ref="V3:V16" si="1">ROUND(T3*U3/10000,0)</f>
        <v>#DIV/0!</v>
      </c>
      <c r="W3" s="910"/>
      <c r="X3" s="910"/>
      <c r="Y3" s="910"/>
      <c r="Z3" s="910"/>
      <c r="AA3" s="910"/>
      <c r="AB3" s="910"/>
      <c r="AC3" s="918"/>
      <c r="AD3" s="919"/>
      <c r="AE3" s="919"/>
      <c r="AF3" s="919"/>
      <c r="AG3" s="919"/>
      <c r="AH3" s="919"/>
      <c r="AI3" s="919"/>
      <c r="AJ3" s="929"/>
    </row>
    <row r="4" spans="1:36" ht="15.75">
      <c r="A4" s="3514"/>
      <c r="B4" s="3515"/>
      <c r="C4" s="3515"/>
      <c r="D4" s="3516"/>
      <c r="E4" s="3516"/>
      <c r="F4" s="3516"/>
      <c r="G4" s="3516"/>
      <c r="H4" s="3516"/>
      <c r="I4" s="3516"/>
      <c r="J4" s="3517"/>
      <c r="K4" s="650"/>
      <c r="L4" s="832" t="s">
        <v>1592</v>
      </c>
      <c r="M4" s="833">
        <f>SUMPRODUCT((区片价!B49:B75=I2)*(区片价!C3:F3=E2)*(区片价!C49:F75))</f>
        <v>0</v>
      </c>
      <c r="N4" s="830">
        <f>SUMPRODUCT((因素修正幅度!B49:B75=I2)*(因素修正幅度!C3:F3=E2)*(因素修正幅度!C49:F75))</f>
        <v>0</v>
      </c>
      <c r="O4" s="650"/>
      <c r="P4" s="650"/>
      <c r="Q4" s="650"/>
      <c r="R4" s="909">
        <v>3</v>
      </c>
      <c r="S4" s="909">
        <f>ROUND(IF(G3&gt;1,IF(R4&lt;7,SUMPRODUCT((B93:B98=R4)*(C92:N92=G2)*(C93:N98)),SUMIF(C92:N92,G2,C100:N100)),IF(R4&lt;7,SUMPRODUCT((B102:B107=R4)*(C92:N92=G2)*(C102:N107)),SUMIF(C92:N92,G2,C109:N109))),4)</f>
        <v>0</v>
      </c>
      <c r="T4" s="909" t="e">
        <f t="shared" si="0"/>
        <v>#DIV/0!</v>
      </c>
      <c r="U4" s="911"/>
      <c r="V4" s="909" t="e">
        <f t="shared" si="1"/>
        <v>#DIV/0!</v>
      </c>
      <c r="W4" s="910"/>
      <c r="X4" s="910"/>
      <c r="Y4" s="910"/>
      <c r="Z4" s="910"/>
      <c r="AA4" s="910"/>
      <c r="AB4" s="910"/>
      <c r="AC4" s="918"/>
      <c r="AD4" s="919"/>
      <c r="AE4" s="919"/>
      <c r="AF4" s="919"/>
      <c r="AG4" s="919"/>
      <c r="AH4" s="919"/>
      <c r="AI4" s="919"/>
      <c r="AJ4" s="929"/>
    </row>
    <row r="5" spans="1:36" s="649" customFormat="1" ht="15">
      <c r="A5" s="667" t="s">
        <v>829</v>
      </c>
      <c r="B5" s="668" t="s">
        <v>1593</v>
      </c>
      <c r="C5" s="669" t="e">
        <f>ROUND(IF(E2="商业",C6*C7+C16,(IF(E2="住宅",C6*C12+C16,C6+C16))),0)</f>
        <v>#DIV/0!</v>
      </c>
      <c r="D5" s="670" t="e">
        <f>ROUND(C6+C16,0)</f>
        <v>#DIV/0!</v>
      </c>
      <c r="E5" s="670"/>
      <c r="F5" s="671"/>
      <c r="G5" s="672"/>
      <c r="H5" s="672"/>
      <c r="I5" s="672"/>
      <c r="J5" s="835"/>
      <c r="K5" s="836"/>
      <c r="L5" s="832" t="s">
        <v>1594</v>
      </c>
      <c r="M5" s="833">
        <f>SUMPRODUCT((区片价!B76:B109=I2)*(区片价!C3:F3=E2)*(区片价!C76:F109))</f>
        <v>0</v>
      </c>
      <c r="N5" s="830">
        <f>SUMPRODUCT((因素修正幅度!B76:B109=I2)*(因素修正幅度!C3:F3=E2)*(因素修正幅度!C76:F109))</f>
        <v>0</v>
      </c>
      <c r="O5" s="650"/>
      <c r="P5" s="650"/>
      <c r="Q5" s="650"/>
      <c r="R5" s="909">
        <v>4</v>
      </c>
      <c r="S5" s="909">
        <f>ROUND(IF(G3&gt;1,IF(R5&lt;7,SUMPRODUCT((B93:B98=R5)*(C92:N92=G2)*(C93:N98)),SUMIF(C92:N92,G2,C100:N100)),IF(R5&lt;7,SUMPRODUCT((B102:B107=R5)*(C92:N92=G2)*(C102:N107)),SUMIF(C92:N92,G2,C109:N109))),4)</f>
        <v>0</v>
      </c>
      <c r="T5" s="909" t="e">
        <f t="shared" si="0"/>
        <v>#DIV/0!</v>
      </c>
      <c r="U5" s="911"/>
      <c r="V5" s="909" t="e">
        <f t="shared" si="1"/>
        <v>#DIV/0!</v>
      </c>
      <c r="W5" s="910"/>
      <c r="X5" s="910"/>
      <c r="Y5" s="910"/>
      <c r="Z5" s="910"/>
      <c r="AA5" s="910"/>
      <c r="AB5" s="910"/>
      <c r="AC5" s="920"/>
      <c r="AD5" s="921"/>
      <c r="AE5" s="921"/>
      <c r="AF5" s="921"/>
      <c r="AG5" s="921"/>
      <c r="AH5" s="921"/>
      <c r="AI5" s="921"/>
      <c r="AJ5" s="930"/>
    </row>
    <row r="6" spans="1:36" ht="15">
      <c r="A6" s="673" t="s">
        <v>928</v>
      </c>
      <c r="B6" s="674" t="s">
        <v>1595</v>
      </c>
      <c r="C6" s="675">
        <f>SUMIF(L1:L12,G2,M1:M12)</f>
        <v>0</v>
      </c>
      <c r="D6" s="676" t="s">
        <v>1596</v>
      </c>
      <c r="E6" s="677"/>
      <c r="F6" s="677"/>
      <c r="G6" s="678"/>
      <c r="H6" s="678"/>
      <c r="I6" s="678"/>
      <c r="J6" s="837"/>
      <c r="K6" s="838"/>
      <c r="L6" s="832" t="s">
        <v>1597</v>
      </c>
      <c r="M6" s="833">
        <f>SUMPRODUCT((区片价!B110:B157=I2)*(区片价!C3:F3=E2)*(区片价!C110:F157))</f>
        <v>0</v>
      </c>
      <c r="N6" s="830">
        <f>SUMPRODUCT((因素修正幅度!B110:B157=I2)*(因素修正幅度!C3:F3=E2)*(因素修正幅度!C110:F157))</f>
        <v>0</v>
      </c>
      <c r="O6" s="650"/>
      <c r="P6" s="650"/>
      <c r="Q6" s="650"/>
      <c r="R6" s="909">
        <v>5</v>
      </c>
      <c r="S6" s="909">
        <f>ROUND(IF(G3&gt;1,IF(R6&lt;7,SUMPRODUCT((B93:B98=R6)*(C92:N92=G2)*(C93:N98)),SUMIF(C92:N92,G2,C100:N100)),IF(R6&lt;7,SUMPRODUCT((B102:B107=R6)*(C92:N92=G2)*(C102:N107)),SUMIF(C92:N92,G2,C109:N109))),4)</f>
        <v>0</v>
      </c>
      <c r="T6" s="909" t="e">
        <f t="shared" si="0"/>
        <v>#DIV/0!</v>
      </c>
      <c r="U6" s="911"/>
      <c r="V6" s="909" t="e">
        <f t="shared" si="1"/>
        <v>#DIV/0!</v>
      </c>
      <c r="W6" s="910"/>
      <c r="X6" s="910"/>
      <c r="Y6" s="910"/>
      <c r="Z6" s="910"/>
      <c r="AA6" s="910"/>
      <c r="AB6" s="910"/>
      <c r="AC6" s="920"/>
      <c r="AD6" s="921"/>
      <c r="AE6" s="921"/>
      <c r="AF6" s="921"/>
      <c r="AG6" s="921"/>
      <c r="AH6" s="921"/>
      <c r="AI6" s="921"/>
      <c r="AJ6" s="930"/>
    </row>
    <row r="7" spans="1:36" ht="24">
      <c r="A7" s="3525" t="str">
        <f>IF(E2="商业",IF(C8="不临58条商业街","",2),"")</f>
        <v/>
      </c>
      <c r="B7" s="679" t="s">
        <v>1598</v>
      </c>
      <c r="C7" s="680" t="e">
        <f>IF(C8="不临58条商业街",1,ROUND(1+(1.6*E8+1.2*E9+0.8*E10+0.4*E11)*C9,4))</f>
        <v>#DIV/0!</v>
      </c>
      <c r="D7" s="681" t="s">
        <v>1599</v>
      </c>
      <c r="E7" s="682"/>
      <c r="F7" s="683"/>
      <c r="G7" s="684"/>
      <c r="H7" s="684"/>
      <c r="I7" s="684"/>
      <c r="J7" s="839"/>
      <c r="K7" s="838"/>
      <c r="L7" s="832" t="s">
        <v>1600</v>
      </c>
      <c r="M7" s="833">
        <f>SUMPRODUCT((区片价!B158:B205=I2)*(区片价!C3:F3=E2)*(区片价!C158:F205))</f>
        <v>0</v>
      </c>
      <c r="N7" s="830">
        <f>SUMPRODUCT((因素修正幅度!B158:B205=I2)*(因素修正幅度!C3:F3=E2)*(因素修正幅度!C158:F205))</f>
        <v>0</v>
      </c>
      <c r="O7" s="650"/>
      <c r="P7" s="650"/>
      <c r="Q7" s="650"/>
      <c r="R7" s="909">
        <v>6</v>
      </c>
      <c r="S7" s="909">
        <f>ROUND(IF(G3&gt;1,IF(R7&lt;7,SUMPRODUCT((B93:B98=R7)*(C92:N92=G2)*(C93:N98)),SUMIF(C92:N92,G2,C100:N100)),IF(R7&lt;7,SUMPRODUCT((B102:B107=R7)*(C92:N92=G2)*(C102:N107)),SUMIF(C92:N92,G2,C109:N109))),4)</f>
        <v>0</v>
      </c>
      <c r="T7" s="909" t="e">
        <f t="shared" si="0"/>
        <v>#DIV/0!</v>
      </c>
      <c r="U7" s="911"/>
      <c r="V7" s="909" t="e">
        <f t="shared" si="1"/>
        <v>#DIV/0!</v>
      </c>
      <c r="W7" s="912" t="s">
        <v>1601</v>
      </c>
      <c r="X7" s="913">
        <f>G2</f>
        <v>0</v>
      </c>
      <c r="Y7" s="913" t="s">
        <v>1602</v>
      </c>
      <c r="Z7" s="922">
        <f>G3</f>
        <v>2.56</v>
      </c>
      <c r="AA7" s="910"/>
      <c r="AB7" s="910"/>
      <c r="AC7" s="918"/>
      <c r="AD7" s="919"/>
      <c r="AE7" s="919"/>
      <c r="AF7" s="919"/>
      <c r="AG7" s="919"/>
      <c r="AH7" s="919"/>
      <c r="AI7" s="919"/>
      <c r="AJ7" s="929"/>
    </row>
    <row r="8" spans="1:36" ht="15">
      <c r="A8" s="3526"/>
      <c r="B8" s="666" t="s">
        <v>1603</v>
      </c>
      <c r="C8" s="685"/>
      <c r="D8" s="686" t="s">
        <v>1604</v>
      </c>
      <c r="E8" s="687" t="e">
        <f>ROUND(C11/E7,4)</f>
        <v>#DIV/0!</v>
      </c>
      <c r="F8" s="688" t="s">
        <v>1605</v>
      </c>
      <c r="G8" s="689"/>
      <c r="H8" s="689"/>
      <c r="I8" s="689"/>
      <c r="J8" s="840"/>
      <c r="K8" s="650"/>
      <c r="L8" s="832" t="s">
        <v>1606</v>
      </c>
      <c r="M8" s="833">
        <f>SUMPRODUCT((区片价!B206:B244=I2)*(区片价!C3:F3=E2)*(区片价!C206:F244))</f>
        <v>0</v>
      </c>
      <c r="N8" s="830">
        <f>SUMPRODUCT((因素修正幅度!B206:B244=I2)*(因素修正幅度!C3:F3=E2)*(因素修正幅度!C206:F244))</f>
        <v>0</v>
      </c>
      <c r="O8" s="650"/>
      <c r="P8" s="650"/>
      <c r="Q8" s="650"/>
      <c r="R8" s="909">
        <v>7</v>
      </c>
      <c r="S8" s="911"/>
      <c r="T8" s="909" t="e">
        <f t="shared" si="0"/>
        <v>#DIV/0!</v>
      </c>
      <c r="U8" s="911"/>
      <c r="V8" s="909" t="e">
        <f t="shared" si="1"/>
        <v>#DIV/0!</v>
      </c>
      <c r="W8" s="3518" t="s">
        <v>1607</v>
      </c>
      <c r="X8" s="3519"/>
      <c r="Y8" s="923" t="s">
        <v>1608</v>
      </c>
      <c r="Z8" s="923" t="s">
        <v>1609</v>
      </c>
      <c r="AA8" s="923" t="s">
        <v>1610</v>
      </c>
      <c r="AB8" s="923" t="s">
        <v>1611</v>
      </c>
      <c r="AC8" s="923" t="s">
        <v>1612</v>
      </c>
      <c r="AD8" s="923" t="s">
        <v>1613</v>
      </c>
      <c r="AE8" s="923" t="s">
        <v>1614</v>
      </c>
      <c r="AF8" s="923" t="s">
        <v>1615</v>
      </c>
      <c r="AG8" s="923" t="s">
        <v>1616</v>
      </c>
      <c r="AH8" s="923" t="s">
        <v>1617</v>
      </c>
      <c r="AI8" s="923" t="s">
        <v>1618</v>
      </c>
      <c r="AJ8" s="923" t="s">
        <v>1619</v>
      </c>
    </row>
    <row r="9" spans="1:36" ht="15">
      <c r="A9" s="3526"/>
      <c r="B9" s="666" t="s">
        <v>1620</v>
      </c>
      <c r="C9" s="690">
        <f>SUMIF(修正!C59:C119,C8,修正!E59:E119)</f>
        <v>0</v>
      </c>
      <c r="D9" s="691" t="s">
        <v>1621</v>
      </c>
      <c r="E9" s="691" t="e">
        <f>ROUND(C11/E7,4)</f>
        <v>#DIV/0!</v>
      </c>
      <c r="F9" s="688" t="s">
        <v>1622</v>
      </c>
      <c r="G9" s="689"/>
      <c r="H9" s="689"/>
      <c r="I9" s="689"/>
      <c r="J9" s="840"/>
      <c r="K9" s="650"/>
      <c r="L9" s="832" t="s">
        <v>1623</v>
      </c>
      <c r="M9" s="833">
        <f>SUMPRODUCT((区片价!B245:B289=I2)*(区片价!C3:F3=E2)*(区片价!C245:F289))</f>
        <v>0</v>
      </c>
      <c r="N9" s="830">
        <f>SUMPRODUCT((因素修正幅度!B245:B289=I2)*(因素修正幅度!C3:F3=E2)*(因素修正幅度!C245:F289))</f>
        <v>0</v>
      </c>
      <c r="O9" s="650"/>
      <c r="P9" s="650"/>
      <c r="Q9" s="650"/>
      <c r="R9" s="909">
        <v>8</v>
      </c>
      <c r="S9" s="911"/>
      <c r="T9" s="909" t="e">
        <f t="shared" si="0"/>
        <v>#DIV/0!</v>
      </c>
      <c r="U9" s="911"/>
      <c r="V9" s="909" t="e">
        <f t="shared" si="1"/>
        <v>#DIV/0!</v>
      </c>
      <c r="W9" s="3523" t="s">
        <v>1624</v>
      </c>
      <c r="X9" s="914" t="s">
        <v>1625</v>
      </c>
      <c r="Y9" s="924"/>
      <c r="Z9" s="925">
        <f>$Y$9</f>
        <v>0</v>
      </c>
      <c r="AA9" s="925">
        <f t="shared" ref="AA9:AJ9" si="2">$Y$9</f>
        <v>0</v>
      </c>
      <c r="AB9" s="925">
        <f t="shared" si="2"/>
        <v>0</v>
      </c>
      <c r="AC9" s="925">
        <f t="shared" si="2"/>
        <v>0</v>
      </c>
      <c r="AD9" s="925">
        <f t="shared" si="2"/>
        <v>0</v>
      </c>
      <c r="AE9" s="925">
        <f t="shared" si="2"/>
        <v>0</v>
      </c>
      <c r="AF9" s="925">
        <f t="shared" si="2"/>
        <v>0</v>
      </c>
      <c r="AG9" s="925">
        <f t="shared" si="2"/>
        <v>0</v>
      </c>
      <c r="AH9" s="925">
        <f t="shared" si="2"/>
        <v>0</v>
      </c>
      <c r="AI9" s="925">
        <f t="shared" si="2"/>
        <v>0</v>
      </c>
      <c r="AJ9" s="925">
        <f t="shared" si="2"/>
        <v>0</v>
      </c>
    </row>
    <row r="10" spans="1:36" ht="15">
      <c r="A10" s="3526"/>
      <c r="B10" s="666" t="s">
        <v>1626</v>
      </c>
      <c r="C10" s="691">
        <f>SUMIF(修正!C59:C119,C8,修正!F59:F119)</f>
        <v>0</v>
      </c>
      <c r="D10" s="691" t="s">
        <v>1627</v>
      </c>
      <c r="E10" s="691" t="e">
        <f>ROUND(C11/E7,4)</f>
        <v>#DIV/0!</v>
      </c>
      <c r="F10" s="688" t="s">
        <v>1628</v>
      </c>
      <c r="G10" s="689"/>
      <c r="H10" s="689"/>
      <c r="I10" s="689"/>
      <c r="J10" s="840"/>
      <c r="K10" s="650"/>
      <c r="L10" s="832" t="s">
        <v>1629</v>
      </c>
      <c r="M10" s="833">
        <f>SUMPRODUCT((区片价!B290:B316=I2)*(区片价!C3:F3=E2)*(区片价!C290:F316))</f>
        <v>0</v>
      </c>
      <c r="N10" s="830">
        <f>SUMPRODUCT((因素修正幅度!B290:B316=I2)*(因素修正幅度!C3:F3=E2)*(因素修正幅度!C290:F316))</f>
        <v>0</v>
      </c>
      <c r="O10" s="650"/>
      <c r="P10" s="650"/>
      <c r="Q10" s="650"/>
      <c r="R10" s="909">
        <v>9</v>
      </c>
      <c r="S10" s="911"/>
      <c r="T10" s="909" t="e">
        <f t="shared" si="0"/>
        <v>#DIV/0!</v>
      </c>
      <c r="U10" s="911"/>
      <c r="V10" s="909" t="e">
        <f t="shared" si="1"/>
        <v>#DIV/0!</v>
      </c>
      <c r="W10" s="3523"/>
      <c r="X10" s="914">
        <v>7</v>
      </c>
      <c r="Y10" s="926">
        <f>(-0.163*(Y9^2)-0.59*Y9+7617)*(10^(-4))</f>
        <v>0.76170000000000004</v>
      </c>
      <c r="Z10" s="926">
        <f>(-0.163*(Z9^2)-0.59*Z9+7617)*(10^(-4))</f>
        <v>0.76170000000000004</v>
      </c>
      <c r="AA10" s="926">
        <f>(-0.161*(AA9^2)-7.509*AA9+6533)*(10^(-4))</f>
        <v>0.65329999999999999</v>
      </c>
      <c r="AB10" s="926">
        <f>(-0.161*(AB9^2)-7.509*AB9+6533)*(10^(-4))</f>
        <v>0.65329999999999999</v>
      </c>
      <c r="AC10" s="926">
        <f>(-0.161*(AC9^2)-7.509*AC9+6533)*(10^(-4))</f>
        <v>0.65329999999999999</v>
      </c>
      <c r="AD10" s="926">
        <f>(-0.161*(AD9^2)-7.509*AD9+6533)*(10^(-4))</f>
        <v>0.65329999999999999</v>
      </c>
      <c r="AE10" s="926">
        <f>(-0.161*(AE9^2)-7.509*AE9+6533)*(10^(-4))</f>
        <v>0.65329999999999999</v>
      </c>
      <c r="AF10" s="926">
        <f>(-0.214*(AF9^2)-21.991*AF9+4665)*(10^(-4))</f>
        <v>0.46650000000000003</v>
      </c>
      <c r="AG10" s="926">
        <f>(-0.214*(AG9^2)-21.991*AG9+4665)*(10^(-4))</f>
        <v>0.46650000000000003</v>
      </c>
      <c r="AH10" s="926">
        <f>(-0.214*(AH9^2)-21.991*AH9+4665)*(10^(-4))</f>
        <v>0.46650000000000003</v>
      </c>
      <c r="AI10" s="926">
        <f>(-0.214*(AI9^2)-21.991*AI9+4665)*(10^(-4))</f>
        <v>0.46650000000000003</v>
      </c>
      <c r="AJ10" s="926">
        <f>(-0.214*(AJ9^2)-21.991*AJ9+4665)*(10^(-4))</f>
        <v>0.46650000000000003</v>
      </c>
    </row>
    <row r="11" spans="1:36" ht="15">
      <c r="A11" s="3526"/>
      <c r="B11" s="692" t="s">
        <v>1630</v>
      </c>
      <c r="C11" s="693">
        <f>C10/4</f>
        <v>0</v>
      </c>
      <c r="D11" s="693" t="s">
        <v>1631</v>
      </c>
      <c r="E11" s="693" t="e">
        <f>ROUND(C11/E7,4)</f>
        <v>#DIV/0!</v>
      </c>
      <c r="F11" s="694" t="s">
        <v>1632</v>
      </c>
      <c r="G11" s="695"/>
      <c r="H11" s="695"/>
      <c r="I11" s="695"/>
      <c r="J11" s="841"/>
      <c r="K11" s="650"/>
      <c r="L11" s="832" t="s">
        <v>1633</v>
      </c>
      <c r="M11" s="833">
        <f>SUMPRODUCT((区片价!B317:B337=I2)*(区片价!C3:F3=E2)*(区片价!C317:F337))</f>
        <v>0</v>
      </c>
      <c r="N11" s="830">
        <f>SUMPRODUCT((因素修正幅度!B317:B337=I2)*(因素修正幅度!C3:F3=E2)*(因素修正幅度!C317:F337))</f>
        <v>0</v>
      </c>
      <c r="O11" s="650"/>
      <c r="P11" s="650"/>
      <c r="Q11" s="650"/>
      <c r="R11" s="909">
        <v>10</v>
      </c>
      <c r="S11" s="911"/>
      <c r="T11" s="909" t="e">
        <f t="shared" si="0"/>
        <v>#DIV/0!</v>
      </c>
      <c r="U11" s="911"/>
      <c r="V11" s="909" t="e">
        <f t="shared" si="1"/>
        <v>#DIV/0!</v>
      </c>
      <c r="W11" s="3523" t="s">
        <v>1634</v>
      </c>
      <c r="X11" s="915" t="s">
        <v>1602</v>
      </c>
      <c r="Y11" s="927">
        <f>$G$3</f>
        <v>2.56</v>
      </c>
      <c r="Z11" s="927">
        <f t="shared" ref="Z11:AJ11" si="3">$G$3</f>
        <v>2.56</v>
      </c>
      <c r="AA11" s="927">
        <f t="shared" si="3"/>
        <v>2.56</v>
      </c>
      <c r="AB11" s="927">
        <f t="shared" si="3"/>
        <v>2.56</v>
      </c>
      <c r="AC11" s="927">
        <f t="shared" si="3"/>
        <v>2.56</v>
      </c>
      <c r="AD11" s="927">
        <f t="shared" si="3"/>
        <v>2.56</v>
      </c>
      <c r="AE11" s="927">
        <f t="shared" si="3"/>
        <v>2.56</v>
      </c>
      <c r="AF11" s="927">
        <f t="shared" si="3"/>
        <v>2.56</v>
      </c>
      <c r="AG11" s="927">
        <f t="shared" si="3"/>
        <v>2.56</v>
      </c>
      <c r="AH11" s="927">
        <f t="shared" si="3"/>
        <v>2.56</v>
      </c>
      <c r="AI11" s="927">
        <f t="shared" si="3"/>
        <v>2.56</v>
      </c>
      <c r="AJ11" s="927">
        <f t="shared" si="3"/>
        <v>2.56</v>
      </c>
    </row>
    <row r="12" spans="1:36" ht="24.75">
      <c r="A12" s="3525" t="s">
        <v>1635</v>
      </c>
      <c r="B12" s="696" t="s">
        <v>1636</v>
      </c>
      <c r="C12" s="680">
        <f>ROUND(C15*D15*E15*F15*G15*H15*I15*J15,4)</f>
        <v>1</v>
      </c>
      <c r="D12" s="697" t="s">
        <v>1637</v>
      </c>
      <c r="E12" s="698"/>
      <c r="F12" s="698"/>
      <c r="G12" s="699"/>
      <c r="H12" s="699"/>
      <c r="I12" s="699"/>
      <c r="J12" s="842"/>
      <c r="K12" s="650"/>
      <c r="L12" s="843" t="s">
        <v>1638</v>
      </c>
      <c r="M12" s="844">
        <f>SUMPRODUCT((区片价!B338:B344=I2)*(区片价!C3:F3=E2)*(区片价!C338:F344))</f>
        <v>0</v>
      </c>
      <c r="N12" s="830">
        <f>SUMPRODUCT((因素修正幅度!B338:B344=I2)*(因素修正幅度!C3:F3=E2)*(因素修正幅度!C338:F344))</f>
        <v>0</v>
      </c>
      <c r="O12" s="650"/>
      <c r="P12" s="650"/>
      <c r="Q12" s="650"/>
      <c r="R12" s="909">
        <v>11</v>
      </c>
      <c r="S12" s="911"/>
      <c r="T12" s="909" t="e">
        <f t="shared" si="0"/>
        <v>#DIV/0!</v>
      </c>
      <c r="U12" s="911"/>
      <c r="V12" s="909" t="e">
        <f t="shared" si="1"/>
        <v>#DIV/0!</v>
      </c>
      <c r="W12" s="3523"/>
      <c r="X12" s="916" t="s">
        <v>1639</v>
      </c>
      <c r="Y12" s="925">
        <f t="shared" ref="Y12:AJ12" si="4">Y9</f>
        <v>0</v>
      </c>
      <c r="Z12" s="925">
        <f t="shared" si="4"/>
        <v>0</v>
      </c>
      <c r="AA12" s="925">
        <f t="shared" si="4"/>
        <v>0</v>
      </c>
      <c r="AB12" s="925">
        <f t="shared" si="4"/>
        <v>0</v>
      </c>
      <c r="AC12" s="925">
        <f t="shared" si="4"/>
        <v>0</v>
      </c>
      <c r="AD12" s="925">
        <f t="shared" si="4"/>
        <v>0</v>
      </c>
      <c r="AE12" s="925">
        <f t="shared" si="4"/>
        <v>0</v>
      </c>
      <c r="AF12" s="925">
        <f t="shared" si="4"/>
        <v>0</v>
      </c>
      <c r="AG12" s="925">
        <f t="shared" si="4"/>
        <v>0</v>
      </c>
      <c r="AH12" s="925">
        <f t="shared" si="4"/>
        <v>0</v>
      </c>
      <c r="AI12" s="925">
        <f t="shared" si="4"/>
        <v>0</v>
      </c>
      <c r="AJ12" s="925">
        <f t="shared" si="4"/>
        <v>0</v>
      </c>
    </row>
    <row r="13" spans="1:36" ht="24">
      <c r="A13" s="3527"/>
      <c r="B13" s="700" t="s">
        <v>1640</v>
      </c>
      <c r="C13" s="701" t="s">
        <v>1641</v>
      </c>
      <c r="D13" s="702" t="s">
        <v>1642</v>
      </c>
      <c r="E13" s="702" t="s">
        <v>1643</v>
      </c>
      <c r="F13" s="703" t="s">
        <v>1644</v>
      </c>
      <c r="G13" s="704" t="s">
        <v>1645</v>
      </c>
      <c r="H13" s="704" t="s">
        <v>1645</v>
      </c>
      <c r="I13" s="704" t="s">
        <v>1645</v>
      </c>
      <c r="J13" s="845" t="s">
        <v>1645</v>
      </c>
      <c r="K13" s="650"/>
      <c r="L13" s="650"/>
      <c r="M13" s="650"/>
      <c r="N13" s="650"/>
      <c r="O13" s="650"/>
      <c r="P13" s="650"/>
      <c r="Q13" s="650"/>
      <c r="R13" s="909">
        <v>12</v>
      </c>
      <c r="S13" s="911"/>
      <c r="T13" s="909" t="e">
        <f t="shared" si="0"/>
        <v>#DIV/0!</v>
      </c>
      <c r="U13" s="911"/>
      <c r="V13" s="909" t="e">
        <f t="shared" si="1"/>
        <v>#DIV/0!</v>
      </c>
      <c r="W13" s="3523"/>
      <c r="X13" s="916"/>
      <c r="Y13" s="926">
        <f>(-0.163*(Y12^2)-0.59*Y12+7617)*(10^(-4))/Y11</f>
        <v>0.29753906250000001</v>
      </c>
      <c r="Z13" s="926">
        <f t="shared" ref="Z13:AJ13" si="5">(-0.163*(Z12^2)-0.59*Z12+7617)*(10^(-4))/Z11</f>
        <v>0.29753906250000001</v>
      </c>
      <c r="AA13" s="926">
        <f t="shared" si="5"/>
        <v>0.29753906250000001</v>
      </c>
      <c r="AB13" s="926">
        <f t="shared" si="5"/>
        <v>0.29753906250000001</v>
      </c>
      <c r="AC13" s="926">
        <f t="shared" si="5"/>
        <v>0.29753906250000001</v>
      </c>
      <c r="AD13" s="926">
        <f t="shared" si="5"/>
        <v>0.29753906250000001</v>
      </c>
      <c r="AE13" s="926">
        <f t="shared" si="5"/>
        <v>0.29753906250000001</v>
      </c>
      <c r="AF13" s="926">
        <f t="shared" si="5"/>
        <v>0.29753906250000001</v>
      </c>
      <c r="AG13" s="926">
        <f t="shared" si="5"/>
        <v>0.29753906250000001</v>
      </c>
      <c r="AH13" s="926">
        <f t="shared" si="5"/>
        <v>0.29753906250000001</v>
      </c>
      <c r="AI13" s="926">
        <f t="shared" si="5"/>
        <v>0.29753906250000001</v>
      </c>
      <c r="AJ13" s="926">
        <f t="shared" si="5"/>
        <v>0.29753906250000001</v>
      </c>
    </row>
    <row r="14" spans="1:36" ht="15">
      <c r="A14" s="3527"/>
      <c r="B14" s="705"/>
      <c r="C14" s="706"/>
      <c r="D14" s="707"/>
      <c r="E14" s="707"/>
      <c r="F14" s="708"/>
      <c r="G14" s="709" t="s">
        <v>1646</v>
      </c>
      <c r="H14" s="710"/>
      <c r="I14" s="846"/>
      <c r="J14" s="847"/>
      <c r="K14" s="650"/>
      <c r="L14" s="650"/>
      <c r="M14" s="650"/>
      <c r="N14" s="650"/>
      <c r="O14" s="650"/>
      <c r="P14" s="650"/>
      <c r="Q14" s="650"/>
      <c r="R14" s="909">
        <v>13</v>
      </c>
      <c r="S14" s="911"/>
      <c r="T14" s="909" t="e">
        <f t="shared" si="0"/>
        <v>#DIV/0!</v>
      </c>
      <c r="U14" s="911"/>
      <c r="V14" s="909" t="e">
        <f t="shared" si="1"/>
        <v>#DIV/0!</v>
      </c>
      <c r="W14" s="910"/>
      <c r="X14" s="910"/>
      <c r="Y14" s="910"/>
      <c r="Z14" s="910"/>
      <c r="AA14" s="910"/>
      <c r="AB14" s="910"/>
      <c r="AC14" s="918"/>
      <c r="AD14" s="928"/>
      <c r="AE14" s="928"/>
      <c r="AF14" s="928"/>
      <c r="AG14" s="928"/>
      <c r="AH14" s="928"/>
      <c r="AI14" s="928"/>
      <c r="AJ14" s="931"/>
    </row>
    <row r="15" spans="1:36" ht="15">
      <c r="A15" s="3528"/>
      <c r="B15" s="711" t="s">
        <v>1647</v>
      </c>
      <c r="C15" s="712">
        <f>IF(C14="有",1.1,1)</f>
        <v>1</v>
      </c>
      <c r="D15" s="712">
        <f>IF(D14="有",1.1,1)</f>
        <v>1</v>
      </c>
      <c r="E15" s="712">
        <f>IF(E14="有",1.1,1)</f>
        <v>1</v>
      </c>
      <c r="F15" s="712">
        <f>IF(F14="500米范围内",1.2,IF(F14="500-1000米",1.1,1))</f>
        <v>1</v>
      </c>
      <c r="G15" s="713">
        <v>1</v>
      </c>
      <c r="H15" s="713">
        <v>1</v>
      </c>
      <c r="I15" s="713">
        <v>1</v>
      </c>
      <c r="J15" s="848">
        <v>1</v>
      </c>
      <c r="K15" s="650"/>
      <c r="L15" s="651"/>
      <c r="M15" s="651"/>
      <c r="N15" s="651"/>
      <c r="O15" s="651"/>
      <c r="P15" s="651"/>
      <c r="Q15" s="650"/>
      <c r="R15" s="909">
        <v>14</v>
      </c>
      <c r="S15" s="911"/>
      <c r="T15" s="909" t="e">
        <f t="shared" si="0"/>
        <v>#DIV/0!</v>
      </c>
      <c r="U15" s="911"/>
      <c r="V15" s="909" t="e">
        <f t="shared" si="1"/>
        <v>#DIV/0!</v>
      </c>
      <c r="W15" s="910"/>
      <c r="X15" s="910"/>
      <c r="Y15" s="910"/>
      <c r="Z15" s="910"/>
      <c r="AA15" s="910"/>
      <c r="AB15" s="910"/>
      <c r="AC15" s="918"/>
      <c r="AD15" s="928"/>
      <c r="AE15" s="928"/>
      <c r="AF15" s="928"/>
      <c r="AG15" s="928"/>
      <c r="AH15" s="928"/>
      <c r="AI15" s="928"/>
      <c r="AJ15" s="931"/>
    </row>
    <row r="16" spans="1:36" ht="24.6" customHeight="1">
      <c r="A16" s="3525" t="s">
        <v>1648</v>
      </c>
      <c r="B16" s="679" t="s">
        <v>1649</v>
      </c>
      <c r="C16" s="714" t="e">
        <f>ROUND(IF(F17="与级别开发程度一致",0,(G17-E17)/C17),0)</f>
        <v>#DIV/0!</v>
      </c>
      <c r="D16" s="3520" t="s">
        <v>1650</v>
      </c>
      <c r="E16" s="3521"/>
      <c r="F16" s="3520" t="s">
        <v>1651</v>
      </c>
      <c r="G16" s="3521"/>
      <c r="H16" s="716"/>
      <c r="I16" s="716"/>
      <c r="J16" s="849"/>
      <c r="K16" s="716"/>
      <c r="L16" s="716"/>
      <c r="M16" s="716"/>
      <c r="N16" s="716"/>
      <c r="O16" s="850"/>
      <c r="P16" s="651"/>
      <c r="Q16" s="650"/>
      <c r="R16" s="909">
        <v>15</v>
      </c>
      <c r="S16" s="911"/>
      <c r="T16" s="909" t="e">
        <f t="shared" si="0"/>
        <v>#DIV/0!</v>
      </c>
      <c r="U16" s="911"/>
      <c r="V16" s="909" t="e">
        <f t="shared" si="1"/>
        <v>#DIV/0!</v>
      </c>
      <c r="W16" s="910"/>
      <c r="X16" s="910"/>
      <c r="Y16" s="910"/>
      <c r="Z16" s="910"/>
      <c r="AA16" s="910"/>
      <c r="AB16" s="910"/>
      <c r="AC16" s="918"/>
      <c r="AD16" s="928"/>
      <c r="AE16" s="928"/>
      <c r="AF16" s="928"/>
      <c r="AG16" s="928"/>
      <c r="AH16" s="928"/>
      <c r="AI16" s="928"/>
      <c r="AJ16" s="931"/>
    </row>
    <row r="17" spans="1:37">
      <c r="A17" s="3529"/>
      <c r="B17" s="717" t="s">
        <v>1652</v>
      </c>
      <c r="C17" s="718">
        <f>SUMPRODUCT((修正!A2:A5=E2)*(修正!B1:M1=G2)*(修正!B2:M5))</f>
        <v>0</v>
      </c>
      <c r="D17" s="712" t="str">
        <f>IF(OR(G2="八级",G2="九级",G2="十级",G2="十一级",G2="十二级"),"五通一平","七通一平")</f>
        <v>七通一平</v>
      </c>
      <c r="E17" s="719">
        <f>SUMPRODUCT((修正!B1:M1=G2)*(修正!B15:M15))</f>
        <v>0</v>
      </c>
      <c r="F17" s="720"/>
      <c r="G17" s="721">
        <f>SUM(H17:O17)</f>
        <v>0</v>
      </c>
      <c r="H17" s="718">
        <f>SUMPRODUCT((七通一平=H16)*(修正!B1:M1=G2)*(修正!B6:M14))</f>
        <v>0</v>
      </c>
      <c r="I17" s="718">
        <f>SUMPRODUCT((七通一平=I16)*(修正!B1:M1=G2)*(修正!B6:M14))</f>
        <v>0</v>
      </c>
      <c r="J17" s="851">
        <f>SUMPRODUCT((七通一平=J16)*(修正!B1:M1=G2)*(修正!B6:M14))</f>
        <v>0</v>
      </c>
      <c r="K17" s="718">
        <f>SUMPRODUCT((七通一平=K16)*(修正!B1:M1=G2)*(修正!B6:M14))</f>
        <v>0</v>
      </c>
      <c r="L17" s="718">
        <f>SUMPRODUCT((七通一平=L16)*(修正!B1:M1=G2)*(修正!B6:M14))</f>
        <v>0</v>
      </c>
      <c r="M17" s="718">
        <f>SUMPRODUCT((七通一平=M16)*(修正!B1:M1=G2)*(修正!B6:M14))</f>
        <v>0</v>
      </c>
      <c r="N17" s="718">
        <f>SUMPRODUCT((七通一平=N16)*(修正!B1:M1=G2)*(修正!B6:M14))</f>
        <v>0</v>
      </c>
      <c r="O17" s="852">
        <f>SUMPRODUCT((七通一平=O16)*(修正!B1:M1=G2)*(修正!B6:M14))</f>
        <v>0</v>
      </c>
      <c r="P17" s="651"/>
      <c r="Q17" s="650"/>
      <c r="R17" s="650"/>
      <c r="S17" s="650"/>
      <c r="T17" s="650"/>
      <c r="U17" s="650"/>
      <c r="V17" s="650"/>
      <c r="W17" s="650"/>
      <c r="X17" s="650"/>
      <c r="Y17" s="650"/>
      <c r="Z17" s="794"/>
      <c r="AA17" s="794"/>
      <c r="AB17" s="794"/>
      <c r="AC17" s="794"/>
      <c r="AD17" s="794"/>
      <c r="AE17" s="650"/>
      <c r="AF17" s="650"/>
      <c r="AG17" s="651"/>
      <c r="AH17" s="651"/>
      <c r="AI17" s="651"/>
      <c r="AJ17" s="651"/>
    </row>
    <row r="18" spans="1:37" s="649" customFormat="1" ht="15">
      <c r="A18" s="722" t="s">
        <v>840</v>
      </c>
      <c r="B18" s="723" t="s">
        <v>1653</v>
      </c>
      <c r="C18" s="724">
        <f>SUMIF(修正!C18:C39,E3,修正!E18:E39)</f>
        <v>0</v>
      </c>
      <c r="D18" s="725"/>
      <c r="E18" s="726"/>
      <c r="F18" s="726"/>
      <c r="G18" s="726"/>
      <c r="H18" s="726"/>
      <c r="I18" s="726"/>
      <c r="J18" s="853"/>
      <c r="K18" s="854"/>
      <c r="L18" s="855"/>
      <c r="M18" s="855"/>
      <c r="N18" s="855"/>
      <c r="O18" s="856"/>
      <c r="P18" s="856"/>
      <c r="Q18" s="917"/>
      <c r="R18" s="917"/>
      <c r="S18" s="917"/>
      <c r="T18" s="794"/>
      <c r="U18" s="794"/>
      <c r="V18" s="794"/>
      <c r="W18" s="650"/>
      <c r="X18" s="650"/>
      <c r="Y18" s="650"/>
      <c r="Z18" s="854"/>
      <c r="AA18" s="854"/>
      <c r="AB18" s="854"/>
      <c r="AC18" s="854"/>
      <c r="AD18" s="854"/>
      <c r="AE18" s="794"/>
      <c r="AF18" s="794"/>
      <c r="AG18" s="932"/>
      <c r="AH18" s="932"/>
      <c r="AI18" s="932"/>
      <c r="AJ18" s="855"/>
    </row>
    <row r="19" spans="1:37" s="649" customFormat="1" ht="27">
      <c r="A19" s="727" t="s">
        <v>845</v>
      </c>
      <c r="B19" s="728" t="s">
        <v>1654</v>
      </c>
      <c r="C19" s="729" t="e">
        <f>ROUND(IF(H19="按公示增长率计算",SUMPRODUCT((地价!A3:A35=YEAR(G19)&amp;"-"&amp;ROUNDUP(MONTH(G19)/3,0))*(地价!X2:AB2=E2)*(地价!X3:AB35)),IF(H19="地价指数",M20/M19,(1+I19)^O19)),4)</f>
        <v>#VALUE!</v>
      </c>
      <c r="D19" s="730" t="s">
        <v>1655</v>
      </c>
      <c r="E19" s="731">
        <v>41640</v>
      </c>
      <c r="F19" s="730" t="s">
        <v>1656</v>
      </c>
      <c r="G19" s="732">
        <f>'数据-取费表'!B2</f>
        <v>44347</v>
      </c>
      <c r="H19" s="733"/>
      <c r="I19" s="857" t="str">
        <f>IF(H19="季度增幅（自定义）",SUMIF(N21:N24,E2,O21:O24),"")</f>
        <v/>
      </c>
      <c r="J19" s="858"/>
      <c r="K19" s="854"/>
      <c r="L19" s="859" t="s">
        <v>1657</v>
      </c>
      <c r="M19" s="860">
        <f>ROUND(SUMIF(地价!B2:F2,E2,地价!B35:F35),0)</f>
        <v>0</v>
      </c>
      <c r="N19" s="861" t="s">
        <v>1658</v>
      </c>
      <c r="O19" s="862">
        <f>ROUNDDOWN(DATEDIF(E19,G19,"M")/3,0)</f>
        <v>29</v>
      </c>
      <c r="P19" s="863"/>
      <c r="Q19" s="917"/>
      <c r="R19" s="917"/>
      <c r="S19" s="917"/>
      <c r="T19" s="794"/>
      <c r="U19" s="794"/>
      <c r="V19" s="794"/>
      <c r="W19" s="650"/>
      <c r="X19" s="650"/>
      <c r="Y19" s="650"/>
      <c r="Z19" s="854"/>
      <c r="AA19" s="854"/>
      <c r="AB19" s="854"/>
      <c r="AC19" s="854"/>
      <c r="AD19" s="854"/>
      <c r="AE19" s="854"/>
      <c r="AF19" s="917"/>
      <c r="AG19" s="933"/>
      <c r="AH19" s="932"/>
      <c r="AI19" s="934"/>
      <c r="AJ19" s="934"/>
      <c r="AK19" s="935"/>
    </row>
    <row r="20" spans="1:37" s="649" customFormat="1" ht="27">
      <c r="A20" s="734" t="s">
        <v>848</v>
      </c>
      <c r="B20" s="735" t="s">
        <v>1659</v>
      </c>
      <c r="C20" s="736" t="e">
        <f>ROUND(POWER(1+G20,J20-I20)*(POWER(1+G20,I20)-1)/(POWER(1+G20,J20)-1),4)</f>
        <v>#DIV/0!</v>
      </c>
      <c r="D20" s="737" t="s">
        <v>1660</v>
      </c>
      <c r="E20" s="738">
        <f>存贷款利率!E18/100</f>
        <v>4.3499999999999997E-2</v>
      </c>
      <c r="F20" s="737" t="s">
        <v>1661</v>
      </c>
      <c r="G20" s="739">
        <f>SUMIF(M26:P26,E2,M28:P28)</f>
        <v>0</v>
      </c>
      <c r="H20" s="737" t="s">
        <v>1662</v>
      </c>
      <c r="I20" s="715" t="e">
        <f>SUMIF('数据-取费表'!C6:C15,E2,'数据-取费表'!F6:F15)/COUNTIF('数据-取费表'!C6:C15,E2)</f>
        <v>#DIV/0!</v>
      </c>
      <c r="J20" s="864">
        <f>IF(E2="住宅",70,IF(E2="商业",40,50))</f>
        <v>50</v>
      </c>
      <c r="K20" s="854"/>
      <c r="L20" s="865" t="s">
        <v>1663</v>
      </c>
      <c r="M20" s="866">
        <f>ROUND(SUMPRODUCT((地价!A4:A35=YEAR(G19)&amp;"-"&amp;ROUNDUP(MONTH(G19)/3,0))*(地价!B2:F2=E2)*(地价!B4:F35)),0)</f>
        <v>0</v>
      </c>
      <c r="N20" s="867" t="s">
        <v>1664</v>
      </c>
      <c r="O20" s="868" t="s">
        <v>1665</v>
      </c>
      <c r="P20" s="869" t="s">
        <v>1666</v>
      </c>
      <c r="Q20" s="855"/>
      <c r="R20" s="917"/>
      <c r="S20" s="917"/>
      <c r="T20" s="794"/>
      <c r="U20" s="794"/>
      <c r="V20" s="794"/>
      <c r="W20" s="650"/>
      <c r="X20" s="650"/>
      <c r="Y20" s="650"/>
      <c r="Z20" s="854"/>
      <c r="AA20" s="854"/>
      <c r="AB20" s="854"/>
      <c r="AC20" s="854"/>
      <c r="AD20" s="854"/>
      <c r="AE20" s="854"/>
      <c r="AF20" s="854"/>
      <c r="AG20" s="855"/>
      <c r="AH20" s="855"/>
      <c r="AI20" s="855"/>
      <c r="AJ20" s="855"/>
    </row>
    <row r="21" spans="1:37" s="649" customFormat="1" ht="15">
      <c r="A21" s="740" t="s">
        <v>870</v>
      </c>
      <c r="B21" s="741" t="s">
        <v>1667</v>
      </c>
      <c r="C21" s="742">
        <f>IF(B21="容积率修正",IF(G3&lt;=10,D22,J22),C23)</f>
        <v>0</v>
      </c>
      <c r="D21" s="743"/>
      <c r="E21" s="743"/>
      <c r="F21" s="743"/>
      <c r="G21" s="743"/>
      <c r="H21" s="743"/>
      <c r="I21" s="743"/>
      <c r="J21" s="870"/>
      <c r="K21" s="854"/>
      <c r="L21" s="855"/>
      <c r="M21" s="855"/>
      <c r="N21" s="871" t="s">
        <v>1668</v>
      </c>
      <c r="O21" s="872"/>
      <c r="P21" s="873">
        <f>SUMPRODUCT((地价!A3:A35=YEAR(G19)&amp;"-"&amp;ROUNDUP(MONTH(G19)/3,0))*(地价!AD2:AH2=N21)*(地价!AD3:AH35))</f>
        <v>1.11E-2</v>
      </c>
      <c r="Q21" s="855"/>
      <c r="R21" s="917"/>
      <c r="S21" s="917"/>
      <c r="T21" s="794"/>
      <c r="U21" s="794"/>
      <c r="V21" s="794"/>
      <c r="W21" s="650"/>
      <c r="X21" s="650"/>
      <c r="Y21" s="650"/>
      <c r="Z21" s="854"/>
      <c r="AA21" s="854"/>
      <c r="AB21" s="854"/>
      <c r="AC21" s="854"/>
      <c r="AD21" s="854"/>
      <c r="AE21" s="854"/>
      <c r="AF21" s="854"/>
      <c r="AG21" s="855"/>
      <c r="AH21" s="855"/>
      <c r="AI21" s="855"/>
      <c r="AJ21" s="855"/>
    </row>
    <row r="22" spans="1:37" s="649" customFormat="1" ht="14.25">
      <c r="A22" s="744" t="s">
        <v>1669</v>
      </c>
      <c r="B22" s="745" t="s">
        <v>1670</v>
      </c>
      <c r="C22" s="746" t="s">
        <v>1671</v>
      </c>
      <c r="D22" s="746">
        <f>IF(E22=G22,F22,IF(G3&lt;=10,ROUND(F22+(H22-F22)*(G3-E22)/(G22-E22),4),"——"))</f>
        <v>0</v>
      </c>
      <c r="E22" s="665">
        <f>ROUNDDOWN(G3,1)</f>
        <v>2.5</v>
      </c>
      <c r="F22" s="74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5">
        <f>ROUNDUP(G3,1)</f>
        <v>2.6</v>
      </c>
      <c r="H22" s="7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6" t="s">
        <v>1672</v>
      </c>
      <c r="J22" s="874" t="str">
        <f>IF(G3&gt;10,D113,"——")</f>
        <v>——</v>
      </c>
      <c r="K22" s="854"/>
      <c r="L22" s="855"/>
      <c r="M22" s="855"/>
      <c r="N22" s="871" t="s">
        <v>1673</v>
      </c>
      <c r="O22" s="872"/>
      <c r="P22" s="873">
        <f>SUMPRODUCT((地价!A3:A35=YEAR(G19)&amp;"-"&amp;ROUNDUP(MONTH(G19)/3,0))*(地价!AD2:AH2=N22)*(地价!AD3:AH35))</f>
        <v>1.11E-2</v>
      </c>
      <c r="Q22" s="855"/>
      <c r="R22" s="917"/>
      <c r="S22" s="917"/>
      <c r="T22" s="794"/>
      <c r="U22" s="794"/>
      <c r="V22" s="794"/>
      <c r="W22" s="650"/>
      <c r="X22" s="650"/>
      <c r="Y22" s="650"/>
      <c r="Z22" s="854"/>
      <c r="AA22" s="854"/>
      <c r="AB22" s="854"/>
      <c r="AC22" s="854"/>
      <c r="AD22" s="854"/>
      <c r="AE22" s="854"/>
      <c r="AF22" s="854"/>
      <c r="AG22" s="855"/>
      <c r="AH22" s="855"/>
      <c r="AI22" s="855"/>
      <c r="AJ22" s="855"/>
    </row>
    <row r="23" spans="1:37" ht="27">
      <c r="A23" s="744" t="s">
        <v>1674</v>
      </c>
      <c r="B23" s="747" t="s">
        <v>1675</v>
      </c>
      <c r="C23" s="748">
        <f>ROUND(IF(G3&gt;1,IF(I3&lt;7,SUMPRODUCT((B93:B98=I3)*(C92:N92=G2)*(C93:N98)),SUMIF(C92:N92,G2,C100:N100)),IF(I3&lt;7,SUMPRODUCT((B102:B107=I3)*(C92:N92=G2)*(C102:N107)),SUMIF(C92:N92,G2,C109:N109))),4)</f>
        <v>0</v>
      </c>
      <c r="D23" s="710"/>
      <c r="E23" s="710"/>
      <c r="F23" s="749"/>
      <c r="G23" s="750"/>
      <c r="H23" s="751"/>
      <c r="I23" s="875"/>
      <c r="J23" s="876"/>
      <c r="K23" s="650"/>
      <c r="L23" s="651"/>
      <c r="M23" s="651"/>
      <c r="N23" s="871" t="s">
        <v>1676</v>
      </c>
      <c r="O23" s="872"/>
      <c r="P23" s="873">
        <f>SUMPRODUCT((地价!A3:A35=YEAR(G19)&amp;"-"&amp;ROUNDUP(MONTH(G19)/3,0))*(地价!AD2:AH2=N23)*(地价!AD3:AH35))</f>
        <v>1.9400000000000001E-2</v>
      </c>
      <c r="Q23" s="651"/>
      <c r="R23" s="917"/>
      <c r="S23" s="917"/>
      <c r="T23" s="794"/>
      <c r="U23" s="794"/>
      <c r="V23" s="794"/>
      <c r="W23" s="650"/>
      <c r="X23" s="650"/>
      <c r="Y23" s="650"/>
      <c r="Z23" s="854"/>
      <c r="AA23" s="854"/>
      <c r="AB23" s="854"/>
      <c r="AC23" s="854"/>
      <c r="AD23" s="854"/>
      <c r="AE23" s="794"/>
      <c r="AF23" s="794"/>
      <c r="AG23" s="932"/>
      <c r="AH23" s="932"/>
      <c r="AI23" s="932"/>
      <c r="AJ23" s="932"/>
      <c r="AK23" s="652"/>
    </row>
    <row r="24" spans="1:37" s="649" customFormat="1" ht="15">
      <c r="A24" s="734" t="s">
        <v>1677</v>
      </c>
      <c r="B24" s="728" t="s">
        <v>1678</v>
      </c>
      <c r="C24" s="729">
        <f>SUMIF(A45:A88,E2,B45:B88)</f>
        <v>0</v>
      </c>
      <c r="D24" s="752"/>
      <c r="E24" s="753"/>
      <c r="F24" s="753"/>
      <c r="G24" s="753"/>
      <c r="H24" s="753"/>
      <c r="I24" s="753"/>
      <c r="J24" s="877"/>
      <c r="K24" s="854"/>
      <c r="L24" s="855"/>
      <c r="M24" s="855"/>
      <c r="N24" s="878" t="s">
        <v>1679</v>
      </c>
      <c r="O24" s="879"/>
      <c r="P24" s="880">
        <f>SUMPRODUCT((地价!A3:A35=YEAR(G19)&amp;"-"&amp;ROUNDUP(MONTH(G19)/3,0))*(地价!AD2:AH2=N24)*(地价!AD3:AH35))</f>
        <v>1.2800000000000001E-2</v>
      </c>
      <c r="Q24" s="855"/>
      <c r="R24" s="917"/>
      <c r="S24" s="917"/>
      <c r="T24" s="794"/>
      <c r="U24" s="794"/>
      <c r="V24" s="794"/>
      <c r="W24" s="650"/>
      <c r="X24" s="650"/>
      <c r="Y24" s="650"/>
      <c r="Z24" s="854"/>
      <c r="AA24" s="854"/>
      <c r="AB24" s="854"/>
      <c r="AC24" s="854"/>
      <c r="AD24" s="854"/>
      <c r="AE24" s="854"/>
      <c r="AF24" s="854"/>
      <c r="AG24" s="855"/>
      <c r="AH24" s="855"/>
      <c r="AI24" s="855"/>
      <c r="AJ24" s="855"/>
    </row>
    <row r="25" spans="1:37" ht="15">
      <c r="A25" s="734" t="s">
        <v>1680</v>
      </c>
      <c r="B25" s="754" t="s">
        <v>1681</v>
      </c>
      <c r="C25" s="755"/>
      <c r="D25" s="684"/>
      <c r="E25" s="684"/>
      <c r="F25" s="756"/>
      <c r="G25" s="684"/>
      <c r="H25" s="684"/>
      <c r="I25" s="684"/>
      <c r="J25" s="839"/>
      <c r="K25" s="650"/>
      <c r="L25" s="651"/>
      <c r="M25" s="651"/>
      <c r="N25" s="881" t="s">
        <v>1682</v>
      </c>
      <c r="O25" s="882"/>
      <c r="P25" s="883">
        <f>SUMPRODUCT((地价!A3:A35=YEAR(G19)&amp;"-"&amp;ROUNDUP(MONTH(G19)/3,0))*(地价!AD2:AH2=N25)*(地价!AD3:AH35))</f>
        <v>1.7600000000000001E-2</v>
      </c>
      <c r="Q25" s="651"/>
      <c r="R25" s="917"/>
      <c r="S25" s="917"/>
      <c r="T25" s="794"/>
      <c r="U25" s="794"/>
      <c r="V25" s="794"/>
      <c r="W25" s="650"/>
      <c r="X25" s="650"/>
      <c r="Y25" s="650"/>
      <c r="Z25" s="854"/>
      <c r="AA25" s="854"/>
      <c r="AB25" s="854"/>
      <c r="AC25" s="854"/>
      <c r="AD25" s="854"/>
      <c r="AE25" s="794"/>
      <c r="AF25" s="794"/>
      <c r="AG25" s="932"/>
      <c r="AH25" s="932"/>
      <c r="AI25" s="932"/>
      <c r="AJ25" s="932"/>
    </row>
    <row r="26" spans="1:37" ht="15">
      <c r="A26" s="757"/>
      <c r="B26" s="745" t="s">
        <v>1683</v>
      </c>
      <c r="C26" s="758" t="e">
        <f>IF(B21="容积率修正",E29+SUM(E33:E39),SUM(V2:V16)+SUM(E33:E39))</f>
        <v>#DIV/0!</v>
      </c>
      <c r="D26" s="759"/>
      <c r="E26" s="710"/>
      <c r="F26" s="760"/>
      <c r="G26" s="710"/>
      <c r="H26" s="710"/>
      <c r="I26" s="710"/>
      <c r="J26" s="884"/>
      <c r="K26" s="650"/>
      <c r="L26" s="885" t="s">
        <v>1583</v>
      </c>
      <c r="M26" s="681" t="s">
        <v>1684</v>
      </c>
      <c r="N26" s="681" t="s">
        <v>1685</v>
      </c>
      <c r="O26" s="681" t="s">
        <v>1686</v>
      </c>
      <c r="P26" s="886" t="s">
        <v>1687</v>
      </c>
      <c r="Q26" s="651"/>
      <c r="R26" s="917"/>
      <c r="S26" s="917"/>
      <c r="T26" s="794"/>
      <c r="U26" s="794"/>
      <c r="V26" s="794"/>
      <c r="W26" s="650"/>
      <c r="X26" s="650"/>
      <c r="Y26" s="650"/>
      <c r="Z26" s="854"/>
      <c r="AA26" s="854"/>
      <c r="AB26" s="854"/>
      <c r="AC26" s="854"/>
      <c r="AD26" s="854"/>
      <c r="AE26" s="794"/>
      <c r="AF26" s="794"/>
      <c r="AG26" s="932"/>
      <c r="AH26" s="932"/>
      <c r="AI26" s="932"/>
      <c r="AJ26" s="932"/>
    </row>
    <row r="27" spans="1:37" ht="15">
      <c r="A27" s="757"/>
      <c r="B27" s="761" t="s">
        <v>1688</v>
      </c>
      <c r="C27" s="762" t="e">
        <f>E30+SUM(I33:I39)</f>
        <v>#DIV/0!</v>
      </c>
      <c r="D27" s="763"/>
      <c r="E27" s="764"/>
      <c r="F27" s="765"/>
      <c r="G27" s="764"/>
      <c r="H27" s="764"/>
      <c r="I27" s="764"/>
      <c r="J27" s="887"/>
      <c r="K27" s="650"/>
      <c r="L27" s="888" t="s">
        <v>1689</v>
      </c>
      <c r="M27" s="690">
        <v>0.25</v>
      </c>
      <c r="N27" s="690">
        <v>0.2</v>
      </c>
      <c r="O27" s="690">
        <v>0.15</v>
      </c>
      <c r="P27" s="889">
        <v>0.1</v>
      </c>
      <c r="Q27" s="917"/>
      <c r="R27" s="917"/>
      <c r="S27" s="917"/>
      <c r="T27" s="794"/>
      <c r="U27" s="794"/>
      <c r="V27" s="794"/>
      <c r="W27" s="650"/>
      <c r="X27" s="650"/>
      <c r="Y27" s="650"/>
      <c r="Z27" s="854"/>
      <c r="AA27" s="854"/>
      <c r="AB27" s="854"/>
      <c r="AC27" s="854"/>
      <c r="AD27" s="854"/>
      <c r="AE27" s="794"/>
      <c r="AF27" s="794"/>
      <c r="AG27" s="932"/>
      <c r="AH27" s="932"/>
      <c r="AI27" s="932"/>
      <c r="AJ27" s="932"/>
    </row>
    <row r="28" spans="1:37" ht="15">
      <c r="A28" s="766"/>
      <c r="B28" s="767" t="s">
        <v>1690</v>
      </c>
      <c r="C28" s="768" t="s">
        <v>1691</v>
      </c>
      <c r="D28" s="768" t="s">
        <v>494</v>
      </c>
      <c r="E28" s="769" t="s">
        <v>1692</v>
      </c>
      <c r="F28" s="770"/>
      <c r="G28" s="699"/>
      <c r="H28" s="699"/>
      <c r="I28" s="699"/>
      <c r="J28" s="842"/>
      <c r="K28" s="650"/>
      <c r="L28" s="890" t="s">
        <v>1661</v>
      </c>
      <c r="M28" s="891">
        <f>ROUND($E$20*(1+M27),3)</f>
        <v>5.3999999999999999E-2</v>
      </c>
      <c r="N28" s="891">
        <f>ROUND($E$20*(1+N27),3)</f>
        <v>5.1999999999999998E-2</v>
      </c>
      <c r="O28" s="891">
        <f>ROUND($E$20*(1+O27),3)</f>
        <v>0.05</v>
      </c>
      <c r="P28" s="892">
        <f>ROUND($E$20*(1+P27),3)</f>
        <v>4.8000000000000001E-2</v>
      </c>
      <c r="Q28" s="917"/>
      <c r="R28" s="917"/>
      <c r="S28" s="917"/>
      <c r="T28" s="794"/>
      <c r="U28" s="794"/>
      <c r="V28" s="794"/>
      <c r="W28" s="650"/>
      <c r="X28" s="650"/>
      <c r="Y28" s="650"/>
      <c r="Z28" s="854"/>
      <c r="AA28" s="854"/>
      <c r="AB28" s="854"/>
      <c r="AC28" s="854"/>
      <c r="AD28" s="854"/>
      <c r="AE28" s="794"/>
      <c r="AF28" s="794"/>
      <c r="AG28" s="932"/>
      <c r="AH28" s="932"/>
      <c r="AI28" s="932"/>
      <c r="AJ28" s="932"/>
    </row>
    <row r="29" spans="1:37" ht="22.5" customHeight="1">
      <c r="A29" s="771"/>
      <c r="B29" s="772" t="s">
        <v>1693</v>
      </c>
      <c r="C29" s="773" t="e">
        <f>ROUND(C5*C18*C19*C20*C21*C24,0)</f>
        <v>#DIV/0!</v>
      </c>
      <c r="D29" s="774"/>
      <c r="E29" s="775" t="e">
        <f>ROUND(C29*D29/10000,0)</f>
        <v>#DIV/0!</v>
      </c>
      <c r="F29" s="776" t="s">
        <v>1694</v>
      </c>
      <c r="G29" s="777"/>
      <c r="H29" s="777"/>
      <c r="I29" s="777"/>
      <c r="J29" s="893"/>
      <c r="K29" s="650"/>
      <c r="L29" s="650"/>
      <c r="M29" s="650"/>
      <c r="N29" s="650"/>
      <c r="O29" s="856"/>
      <c r="P29" s="856"/>
      <c r="Q29" s="917"/>
      <c r="R29" s="917"/>
      <c r="S29" s="917"/>
      <c r="T29" s="794"/>
      <c r="U29" s="794"/>
      <c r="V29" s="794"/>
      <c r="W29" s="650"/>
      <c r="X29" s="650"/>
      <c r="Y29" s="650"/>
      <c r="Z29" s="854"/>
      <c r="AA29" s="854"/>
      <c r="AB29" s="854"/>
      <c r="AC29" s="854"/>
      <c r="AD29" s="854"/>
      <c r="AE29" s="650"/>
      <c r="AF29" s="650"/>
      <c r="AG29" s="651"/>
      <c r="AH29" s="651"/>
      <c r="AI29" s="651"/>
      <c r="AJ29" s="651"/>
    </row>
    <row r="30" spans="1:37" ht="24.75">
      <c r="A30" s="778"/>
      <c r="B30" s="779" t="s">
        <v>1695</v>
      </c>
      <c r="C30" s="712" t="e">
        <f>ROUND(IF(E2="工业",C29*M39,C29*M38),0)</f>
        <v>#DIV/0!</v>
      </c>
      <c r="D30" s="780"/>
      <c r="E30" s="775" t="e">
        <f>ROUND(C30*D30/10000,0)</f>
        <v>#DIV/0!</v>
      </c>
      <c r="F30" s="781" t="s">
        <v>1696</v>
      </c>
      <c r="G30" s="782"/>
      <c r="H30" s="782"/>
      <c r="I30" s="782"/>
      <c r="J30" s="894"/>
      <c r="K30" s="650"/>
      <c r="L30" s="650"/>
      <c r="M30" s="650"/>
      <c r="N30" s="650"/>
      <c r="O30" s="856"/>
      <c r="P30" s="856"/>
      <c r="Q30" s="917"/>
      <c r="R30" s="917"/>
      <c r="S30" s="917"/>
      <c r="T30" s="794"/>
      <c r="U30" s="794"/>
      <c r="V30" s="794"/>
      <c r="W30" s="650"/>
      <c r="X30" s="650"/>
      <c r="Y30" s="650"/>
      <c r="Z30" s="854"/>
      <c r="AA30" s="854"/>
      <c r="AB30" s="854"/>
      <c r="AC30" s="854"/>
      <c r="AD30" s="854"/>
      <c r="AE30" s="650"/>
      <c r="AF30" s="650"/>
      <c r="AG30" s="651"/>
      <c r="AH30" s="651"/>
      <c r="AI30" s="651"/>
      <c r="AJ30" s="651"/>
    </row>
    <row r="31" spans="1:37" ht="14.25">
      <c r="A31" s="783"/>
      <c r="B31" s="784" t="s">
        <v>1697</v>
      </c>
      <c r="C31" s="785" t="s">
        <v>1698</v>
      </c>
      <c r="D31" s="699"/>
      <c r="E31" s="785"/>
      <c r="F31" s="785"/>
      <c r="G31" s="697" t="s">
        <v>1696</v>
      </c>
      <c r="H31" s="699"/>
      <c r="I31" s="895"/>
      <c r="J31" s="842"/>
      <c r="K31" s="650"/>
      <c r="L31" s="650"/>
      <c r="M31" s="650"/>
      <c r="N31" s="650"/>
      <c r="O31" s="856"/>
      <c r="P31" s="856"/>
      <c r="Q31" s="917"/>
      <c r="R31" s="917"/>
      <c r="S31" s="917"/>
      <c r="T31" s="794"/>
      <c r="U31" s="794"/>
      <c r="V31" s="794"/>
      <c r="W31" s="650"/>
      <c r="X31" s="650"/>
      <c r="Y31" s="650"/>
      <c r="Z31" s="854"/>
      <c r="AA31" s="854"/>
      <c r="AB31" s="854"/>
      <c r="AC31" s="854"/>
      <c r="AD31" s="854"/>
      <c r="AE31" s="650"/>
      <c r="AF31" s="650"/>
      <c r="AG31" s="651"/>
      <c r="AH31" s="651"/>
      <c r="AI31" s="651"/>
      <c r="AJ31" s="651"/>
    </row>
    <row r="32" spans="1:37" ht="24">
      <c r="A32" s="771"/>
      <c r="B32" s="786"/>
      <c r="C32" s="787" t="s">
        <v>1691</v>
      </c>
      <c r="D32" s="788" t="s">
        <v>494</v>
      </c>
      <c r="E32" s="788" t="s">
        <v>1692</v>
      </c>
      <c r="F32" s="657" t="s">
        <v>1699</v>
      </c>
      <c r="G32" s="789" t="s">
        <v>1691</v>
      </c>
      <c r="H32" s="789" t="s">
        <v>494</v>
      </c>
      <c r="I32" s="789" t="s">
        <v>1692</v>
      </c>
      <c r="J32" s="289"/>
      <c r="K32" s="650"/>
      <c r="L32" s="650"/>
      <c r="M32" s="650"/>
      <c r="N32" s="650"/>
      <c r="O32" s="856"/>
      <c r="P32" s="856"/>
      <c r="Q32" s="917"/>
      <c r="R32" s="917"/>
      <c r="S32" s="917"/>
      <c r="T32" s="794"/>
      <c r="U32" s="794"/>
      <c r="V32" s="794"/>
      <c r="W32" s="650"/>
      <c r="X32" s="650"/>
      <c r="Y32" s="650"/>
      <c r="Z32" s="854"/>
      <c r="AA32" s="854"/>
      <c r="AB32" s="854"/>
      <c r="AC32" s="854"/>
      <c r="AD32" s="854"/>
      <c r="AE32" s="650"/>
      <c r="AF32" s="650"/>
      <c r="AG32" s="651"/>
      <c r="AH32" s="651"/>
      <c r="AI32" s="651"/>
      <c r="AJ32" s="651"/>
    </row>
    <row r="33" spans="1:37" ht="36" customHeight="1">
      <c r="A33" s="3530"/>
      <c r="B33" s="790" t="s">
        <v>1700</v>
      </c>
      <c r="C33" s="773" t="e">
        <f>ROUND(D5*C19*C20*C24*F33,0)</f>
        <v>#DIV/0!</v>
      </c>
      <c r="D33" s="774"/>
      <c r="E33" s="691" t="e">
        <f>ROUND(C33*D33/10000,0)</f>
        <v>#DIV/0!</v>
      </c>
      <c r="F33" s="691">
        <f>SUMIF(修正!A45:A56,G2,修正!B45:B56)</f>
        <v>0</v>
      </c>
      <c r="G33" s="691" t="e">
        <f t="shared" ref="G33" si="6">ROUND(IF(E2="工业",C33*$M$39,C33*$M$38),0)</f>
        <v>#DIV/0!</v>
      </c>
      <c r="H33" s="691">
        <f>D33</f>
        <v>0</v>
      </c>
      <c r="I33" s="691" t="e">
        <f>ROUND(G33*H33/10000,0)</f>
        <v>#DIV/0!</v>
      </c>
      <c r="J33" s="3539" t="s">
        <v>1701</v>
      </c>
      <c r="K33" s="650"/>
      <c r="L33" s="650"/>
      <c r="M33" s="650"/>
      <c r="N33" s="650"/>
      <c r="O33" s="856"/>
      <c r="P33" s="856"/>
      <c r="Q33" s="917"/>
      <c r="R33" s="917"/>
      <c r="S33" s="917"/>
      <c r="T33" s="794"/>
      <c r="U33" s="794"/>
      <c r="V33" s="794"/>
      <c r="W33" s="650"/>
      <c r="X33" s="650"/>
      <c r="Y33" s="650"/>
      <c r="Z33" s="854"/>
      <c r="AA33" s="854"/>
      <c r="AB33" s="854"/>
      <c r="AC33" s="854"/>
      <c r="AD33" s="854"/>
      <c r="AE33" s="794"/>
      <c r="AF33" s="794"/>
      <c r="AG33" s="932"/>
      <c r="AH33" s="932"/>
      <c r="AI33" s="932"/>
      <c r="AJ33" s="932"/>
    </row>
    <row r="34" spans="1:37" ht="14.25">
      <c r="A34" s="3531"/>
      <c r="B34" s="701" t="s">
        <v>1702</v>
      </c>
      <c r="C34" s="773" t="e">
        <f>ROUND(D5*C19*C20*C24*F34,0)</f>
        <v>#DIV/0!</v>
      </c>
      <c r="D34" s="774"/>
      <c r="E34" s="691" t="e">
        <f t="shared" ref="E34:E39" si="7">ROUND(C34*D34/10000,0)</f>
        <v>#DIV/0!</v>
      </c>
      <c r="F34" s="691">
        <f>SUMIF(修正!A45:A56,G2,修正!C45:C56)</f>
        <v>0</v>
      </c>
      <c r="G34" s="691" t="e">
        <f>ROUND(IF(E2="工业",C34*$M$39,C34*$M$38),0)</f>
        <v>#DIV/0!</v>
      </c>
      <c r="H34" s="691">
        <f t="shared" ref="H34:H39" si="8">D34</f>
        <v>0</v>
      </c>
      <c r="I34" s="691" t="e">
        <f t="shared" ref="I34:I39" si="9">ROUND(G34*H34/10000,0)</f>
        <v>#DIV/0!</v>
      </c>
      <c r="J34" s="3531"/>
      <c r="K34" s="650"/>
      <c r="L34" s="650"/>
      <c r="M34" s="650"/>
      <c r="N34" s="650"/>
      <c r="O34" s="856"/>
      <c r="P34" s="856"/>
      <c r="Q34" s="917"/>
      <c r="R34" s="917"/>
      <c r="S34" s="917"/>
      <c r="T34" s="794"/>
      <c r="U34" s="794"/>
      <c r="V34" s="794"/>
      <c r="W34" s="650"/>
      <c r="X34" s="650"/>
      <c r="Y34" s="650"/>
      <c r="Z34" s="854"/>
      <c r="AA34" s="854"/>
      <c r="AB34" s="854"/>
      <c r="AC34" s="854"/>
      <c r="AD34" s="854"/>
      <c r="AE34" s="794"/>
      <c r="AF34" s="794"/>
      <c r="AG34" s="932"/>
      <c r="AH34" s="932"/>
      <c r="AI34" s="932"/>
      <c r="AJ34" s="932"/>
    </row>
    <row r="35" spans="1:37">
      <c r="A35" s="3531"/>
      <c r="B35" s="701" t="s">
        <v>1703</v>
      </c>
      <c r="C35" s="773" t="e">
        <f>ROUND(D5*C19*C20*C24*F35,0)</f>
        <v>#DIV/0!</v>
      </c>
      <c r="D35" s="774"/>
      <c r="E35" s="691" t="e">
        <f t="shared" si="7"/>
        <v>#DIV/0!</v>
      </c>
      <c r="F35" s="691">
        <f>SUMIF(修正!A45:A56,G2,修正!D45:D56)</f>
        <v>0</v>
      </c>
      <c r="G35" s="691" t="e">
        <f>ROUND(IF(E2="工业",C35*$M$39,C35*$M$38),0)</f>
        <v>#DIV/0!</v>
      </c>
      <c r="H35" s="691">
        <f t="shared" si="8"/>
        <v>0</v>
      </c>
      <c r="I35" s="691" t="e">
        <f t="shared" si="9"/>
        <v>#DIV/0!</v>
      </c>
      <c r="J35" s="3531"/>
      <c r="K35" s="650"/>
      <c r="L35" s="650"/>
      <c r="M35" s="650"/>
      <c r="N35" s="650"/>
      <c r="O35" s="650"/>
      <c r="P35" s="650"/>
      <c r="Q35" s="650"/>
      <c r="R35" s="650"/>
      <c r="S35" s="650"/>
      <c r="T35" s="650"/>
      <c r="U35" s="650"/>
      <c r="V35" s="650"/>
      <c r="W35" s="650"/>
      <c r="X35" s="650"/>
      <c r="Y35" s="650"/>
      <c r="Z35" s="794"/>
      <c r="AA35" s="794"/>
      <c r="AB35" s="794"/>
      <c r="AC35" s="794"/>
      <c r="AD35" s="794"/>
      <c r="AE35" s="794"/>
      <c r="AF35" s="794"/>
      <c r="AG35" s="932"/>
      <c r="AH35" s="932"/>
      <c r="AI35" s="932"/>
      <c r="AJ35" s="932"/>
    </row>
    <row r="36" spans="1:37">
      <c r="A36" s="3532"/>
      <c r="B36" s="701" t="s">
        <v>1704</v>
      </c>
      <c r="C36" s="773" t="e">
        <f>ROUND(D5*C19*C20*C24*F36,0)</f>
        <v>#DIV/0!</v>
      </c>
      <c r="D36" s="774"/>
      <c r="E36" s="691" t="e">
        <f t="shared" si="7"/>
        <v>#DIV/0!</v>
      </c>
      <c r="F36" s="691">
        <f>SUMIF(修正!A45:A56,G2,修正!E45:E56)</f>
        <v>0</v>
      </c>
      <c r="G36" s="691" t="e">
        <f>ROUND(IF(E2="工业",C36*$M$39,C36*$M$38),0)</f>
        <v>#DIV/0!</v>
      </c>
      <c r="H36" s="691">
        <f t="shared" si="8"/>
        <v>0</v>
      </c>
      <c r="I36" s="691" t="e">
        <f t="shared" si="9"/>
        <v>#DIV/0!</v>
      </c>
      <c r="J36" s="3532"/>
      <c r="K36" s="650"/>
      <c r="L36" s="651"/>
      <c r="M36" s="651"/>
      <c r="N36" s="650"/>
      <c r="O36" s="650"/>
      <c r="P36" s="650"/>
      <c r="Q36" s="650"/>
      <c r="R36" s="650"/>
      <c r="S36" s="650"/>
      <c r="T36" s="650"/>
      <c r="U36" s="650"/>
      <c r="V36" s="650"/>
      <c r="W36" s="650"/>
      <c r="X36" s="650"/>
      <c r="Y36" s="650"/>
      <c r="Z36" s="794"/>
      <c r="AA36" s="794"/>
      <c r="AB36" s="794"/>
      <c r="AC36" s="794"/>
      <c r="AD36" s="794"/>
      <c r="AE36" s="794"/>
      <c r="AF36" s="794"/>
      <c r="AG36" s="932"/>
      <c r="AH36" s="932"/>
      <c r="AI36" s="932"/>
      <c r="AJ36" s="932"/>
    </row>
    <row r="37" spans="1:37">
      <c r="A37" s="791"/>
      <c r="B37" s="701" t="s">
        <v>1705</v>
      </c>
      <c r="C37" s="691" t="e">
        <f>ROUND(D5*C19*C20*C24*F37,0)</f>
        <v>#DIV/0!</v>
      </c>
      <c r="D37" s="774"/>
      <c r="E37" s="691" t="e">
        <f t="shared" si="7"/>
        <v>#DIV/0!</v>
      </c>
      <c r="F37" s="773">
        <f>SUMIF(修正!A45:A56,G2,修正!F45:F56)</f>
        <v>0</v>
      </c>
      <c r="G37" s="691" t="e">
        <f>ROUND(IF(E2="工业",C37*$M$39,C37*$M$38),0)</f>
        <v>#DIV/0!</v>
      </c>
      <c r="H37" s="691">
        <f t="shared" si="8"/>
        <v>0</v>
      </c>
      <c r="I37" s="691" t="e">
        <f t="shared" si="9"/>
        <v>#DIV/0!</v>
      </c>
      <c r="J37" s="896"/>
      <c r="K37" s="650"/>
      <c r="L37" s="897" t="s">
        <v>1706</v>
      </c>
      <c r="M37" s="898"/>
      <c r="N37" s="650"/>
      <c r="O37" s="650"/>
      <c r="P37" s="650"/>
      <c r="Q37" s="650"/>
      <c r="R37" s="650"/>
      <c r="S37" s="650"/>
      <c r="T37" s="650"/>
      <c r="U37" s="650"/>
      <c r="V37" s="650"/>
      <c r="W37" s="650"/>
      <c r="X37" s="650"/>
      <c r="Y37" s="650"/>
      <c r="Z37" s="794"/>
      <c r="AA37" s="794"/>
      <c r="AB37" s="794"/>
      <c r="AC37" s="794"/>
      <c r="AD37" s="794"/>
      <c r="AE37" s="794"/>
      <c r="AF37" s="794"/>
      <c r="AG37" s="932"/>
      <c r="AH37" s="932"/>
      <c r="AI37" s="932"/>
      <c r="AJ37" s="932"/>
    </row>
    <row r="38" spans="1:37">
      <c r="A38" s="791"/>
      <c r="B38" s="701" t="s">
        <v>1707</v>
      </c>
      <c r="C38" s="691" t="e">
        <f>ROUND(D5*C19*C41*C24*F38,0)</f>
        <v>#DIV/0!</v>
      </c>
      <c r="D38" s="774"/>
      <c r="E38" s="691" t="e">
        <f t="shared" si="7"/>
        <v>#DIV/0!</v>
      </c>
      <c r="F38" s="773">
        <f>SUMIF(修正!A45:A56,G2,修正!G45:G56)</f>
        <v>0</v>
      </c>
      <c r="G38" s="691" t="e">
        <f>ROUND(IF(E2="工业",C38*$M$39,C38*$M$38),0)</f>
        <v>#DIV/0!</v>
      </c>
      <c r="H38" s="691">
        <f t="shared" si="8"/>
        <v>0</v>
      </c>
      <c r="I38" s="691" t="e">
        <f t="shared" si="9"/>
        <v>#DIV/0!</v>
      </c>
      <c r="J38" s="896"/>
      <c r="K38" s="650"/>
      <c r="L38" s="899" t="s">
        <v>1708</v>
      </c>
      <c r="M38" s="900">
        <v>0.25</v>
      </c>
      <c r="N38" s="650"/>
      <c r="O38" s="650"/>
      <c r="P38" s="650"/>
      <c r="Q38" s="650"/>
      <c r="R38" s="650"/>
      <c r="S38" s="650"/>
      <c r="T38" s="650"/>
      <c r="U38" s="650"/>
      <c r="V38" s="650"/>
      <c r="W38" s="650"/>
      <c r="X38" s="650"/>
      <c r="Y38" s="650"/>
      <c r="Z38" s="794"/>
      <c r="AA38" s="794"/>
      <c r="AB38" s="794"/>
      <c r="AC38" s="794"/>
      <c r="AD38" s="794"/>
    </row>
    <row r="39" spans="1:37">
      <c r="A39" s="778"/>
      <c r="B39" s="792" t="s">
        <v>1709</v>
      </c>
      <c r="C39" s="712" t="e">
        <f>ROUND(D5*C19*C41*C24*F39,0)</f>
        <v>#DIV/0!</v>
      </c>
      <c r="D39" s="780"/>
      <c r="E39" s="712" t="e">
        <f t="shared" si="7"/>
        <v>#DIV/0!</v>
      </c>
      <c r="F39" s="793">
        <f>SUMIF(修正!A45:A56,G2,修正!H45:H56)</f>
        <v>0</v>
      </c>
      <c r="G39" s="712" t="e">
        <f>ROUND(IF(E2="工业",C39*$M$39,C39*$M$38),0)</f>
        <v>#DIV/0!</v>
      </c>
      <c r="H39" s="712">
        <f t="shared" si="8"/>
        <v>0</v>
      </c>
      <c r="I39" s="712" t="e">
        <f t="shared" si="9"/>
        <v>#DIV/0!</v>
      </c>
      <c r="J39" s="901"/>
      <c r="K39" s="650"/>
      <c r="L39" s="902" t="s">
        <v>1687</v>
      </c>
      <c r="M39" s="903">
        <v>0.15</v>
      </c>
      <c r="N39" s="650"/>
      <c r="O39" s="650"/>
      <c r="P39" s="650"/>
      <c r="Q39" s="650"/>
      <c r="R39" s="650"/>
      <c r="S39" s="650"/>
      <c r="T39" s="650"/>
      <c r="U39" s="650"/>
      <c r="V39" s="650"/>
      <c r="W39" s="650"/>
      <c r="X39" s="650"/>
      <c r="Y39" s="650"/>
      <c r="Z39" s="794"/>
      <c r="AA39" s="794"/>
      <c r="AB39" s="794"/>
      <c r="AC39" s="794"/>
      <c r="AD39" s="794"/>
    </row>
    <row r="40" spans="1:37" s="650" customFormat="1">
      <c r="Z40" s="794"/>
      <c r="AA40" s="794"/>
      <c r="AB40" s="794"/>
      <c r="AC40" s="794"/>
      <c r="AD40" s="794"/>
      <c r="AE40" s="794"/>
      <c r="AF40" s="794"/>
      <c r="AG40" s="794"/>
      <c r="AH40" s="794"/>
      <c r="AI40" s="794"/>
      <c r="AJ40" s="794"/>
    </row>
    <row r="41" spans="1:37" s="650" customFormat="1">
      <c r="A41" s="794"/>
      <c r="B41" s="795" t="s">
        <v>1710</v>
      </c>
      <c r="C41" s="657" t="e">
        <f>ROUND(POWER(1+E41,H41-G41)*(POWER(1+E41,G41)-1)/(POWER(1+E41,H41)-1),4)</f>
        <v>#DIV/0!</v>
      </c>
      <c r="D41" s="691" t="s">
        <v>1661</v>
      </c>
      <c r="E41" s="796">
        <f>G20</f>
        <v>0</v>
      </c>
      <c r="F41" s="691" t="s">
        <v>1662</v>
      </c>
      <c r="G41" s="797"/>
      <c r="H41" s="691">
        <v>50</v>
      </c>
      <c r="Z41" s="794"/>
      <c r="AA41" s="794"/>
      <c r="AB41" s="794"/>
      <c r="AC41" s="794"/>
      <c r="AD41" s="794"/>
      <c r="AE41" s="794"/>
      <c r="AF41" s="794"/>
      <c r="AG41" s="794"/>
      <c r="AH41" s="794"/>
      <c r="AI41" s="794"/>
      <c r="AJ41" s="794"/>
    </row>
    <row r="42" spans="1:37" s="650" customFormat="1">
      <c r="A42" s="794"/>
      <c r="B42" s="798"/>
      <c r="Z42" s="794"/>
      <c r="AA42" s="794"/>
      <c r="AB42" s="794"/>
      <c r="AC42" s="794"/>
      <c r="AD42" s="794"/>
      <c r="AE42" s="794"/>
      <c r="AF42" s="794"/>
      <c r="AG42" s="794"/>
      <c r="AH42" s="794"/>
      <c r="AI42" s="794"/>
      <c r="AJ42" s="794"/>
    </row>
    <row r="43" spans="1:37" s="650" customFormat="1">
      <c r="A43" s="794"/>
      <c r="B43" s="798"/>
      <c r="Z43" s="794"/>
      <c r="AA43" s="794"/>
      <c r="AB43" s="794"/>
      <c r="AC43" s="794"/>
      <c r="AD43" s="794"/>
      <c r="AE43" s="794"/>
      <c r="AF43" s="794"/>
      <c r="AG43" s="794"/>
      <c r="AH43" s="794"/>
      <c r="AI43" s="794"/>
      <c r="AJ43" s="794"/>
    </row>
    <row r="44" spans="1:37" s="650" customFormat="1">
      <c r="A44" s="794"/>
      <c r="B44" s="798"/>
      <c r="Z44" s="794"/>
      <c r="AA44" s="794"/>
      <c r="AB44" s="794"/>
      <c r="AC44" s="794"/>
      <c r="AD44" s="794"/>
      <c r="AE44" s="794"/>
      <c r="AF44" s="794"/>
      <c r="AG44" s="794"/>
      <c r="AH44" s="794"/>
      <c r="AI44" s="794"/>
      <c r="AJ44" s="794"/>
    </row>
    <row r="45" spans="1:37" s="650" customFormat="1" ht="15">
      <c r="A45" s="799" t="s">
        <v>1711</v>
      </c>
      <c r="B45" s="800"/>
      <c r="C45" s="801"/>
      <c r="D45" s="801"/>
      <c r="E45" s="801"/>
      <c r="F45" s="802"/>
      <c r="G45" s="802"/>
      <c r="H45" s="802"/>
      <c r="I45" s="904"/>
      <c r="J45" s="904"/>
      <c r="K45" s="904"/>
      <c r="L45" s="904"/>
      <c r="M45" s="904"/>
      <c r="Z45" s="794"/>
      <c r="AA45" s="794"/>
      <c r="AB45" s="794"/>
      <c r="AC45" s="794"/>
      <c r="AD45" s="794"/>
      <c r="AE45" s="794"/>
      <c r="AF45" s="794"/>
      <c r="AG45" s="794"/>
      <c r="AH45" s="794"/>
      <c r="AI45" s="794"/>
      <c r="AJ45" s="794"/>
    </row>
    <row r="46" spans="1:37" s="650" customFormat="1" ht="15">
      <c r="A46" s="803" t="s">
        <v>1712</v>
      </c>
      <c r="B46" s="804">
        <f>1+E48</f>
        <v>1</v>
      </c>
      <c r="C46" s="805"/>
      <c r="D46" s="806"/>
      <c r="E46" s="807"/>
      <c r="F46" s="808"/>
      <c r="G46" s="802"/>
      <c r="H46" s="801"/>
      <c r="I46" s="904"/>
      <c r="J46" s="904"/>
      <c r="K46" s="904"/>
      <c r="L46" s="904"/>
      <c r="M46" s="904"/>
      <c r="Z46" s="794"/>
      <c r="AA46" s="794"/>
      <c r="AB46" s="794"/>
      <c r="AC46" s="794"/>
      <c r="AD46" s="794"/>
      <c r="AE46" s="794"/>
      <c r="AF46" s="794"/>
      <c r="AG46" s="794"/>
      <c r="AH46" s="794"/>
      <c r="AI46" s="794"/>
      <c r="AJ46" s="794"/>
    </row>
    <row r="47" spans="1:37" s="650" customFormat="1" ht="24.75">
      <c r="A47" s="809" t="s">
        <v>1713</v>
      </c>
      <c r="B47" s="810" t="s">
        <v>1714</v>
      </c>
      <c r="C47" s="810" t="s">
        <v>1715</v>
      </c>
      <c r="D47" s="810" t="s">
        <v>1716</v>
      </c>
      <c r="E47" s="811" t="s">
        <v>1717</v>
      </c>
      <c r="F47" s="812" t="s">
        <v>1718</v>
      </c>
      <c r="G47" s="810" t="s">
        <v>1647</v>
      </c>
      <c r="H47" s="813" t="s">
        <v>1719</v>
      </c>
      <c r="I47" s="810" t="s">
        <v>1720</v>
      </c>
      <c r="J47" s="905" t="s">
        <v>1104</v>
      </c>
      <c r="K47" s="905" t="s">
        <v>1105</v>
      </c>
      <c r="L47" s="905" t="s">
        <v>1106</v>
      </c>
      <c r="M47" s="905" t="s">
        <v>1107</v>
      </c>
      <c r="N47" s="905" t="s">
        <v>1108</v>
      </c>
      <c r="AA47" s="794"/>
      <c r="AB47" s="794"/>
      <c r="AC47" s="794"/>
      <c r="AD47" s="794"/>
      <c r="AE47" s="794"/>
      <c r="AF47" s="794"/>
      <c r="AG47" s="794"/>
      <c r="AH47" s="794"/>
      <c r="AI47" s="794"/>
      <c r="AJ47" s="794"/>
      <c r="AK47" s="794"/>
    </row>
    <row r="48" spans="1:37" s="650" customFormat="1" ht="25.5">
      <c r="A48" s="809" t="s">
        <v>1721</v>
      </c>
      <c r="B48" s="814" t="str">
        <f>估价对象房地状况!C4</f>
        <v>周边商业氛围成熟，人流量大，商业繁华度较好</v>
      </c>
      <c r="C48" s="707"/>
      <c r="D48" s="815">
        <f t="shared" ref="D48:D56" si="10">SUMIF($J$47:$N$47,C48,J48:N48)</f>
        <v>0</v>
      </c>
      <c r="E48" s="816">
        <f>ROUND(SUM(D48:D56),4)</f>
        <v>0</v>
      </c>
      <c r="F48" s="817" t="str">
        <f>IF(E2="商业",SUMIF(L1:L12,G2,N1:N12),"——")</f>
        <v>——</v>
      </c>
      <c r="G48" s="818"/>
      <c r="H48" s="819" t="str">
        <f t="shared" ref="H48:H56" si="11">IFERROR(ROUNDDOWN($F$48*I48/2,4),"——")</f>
        <v>——</v>
      </c>
      <c r="I48" s="906">
        <v>0.33</v>
      </c>
      <c r="J48" s="907">
        <f t="shared" ref="J48:J56" si="12">K48+$G48</f>
        <v>0</v>
      </c>
      <c r="K48" s="907">
        <f t="shared" ref="K48:K56" si="13">$L48+$G48</f>
        <v>0</v>
      </c>
      <c r="L48" s="907">
        <v>0</v>
      </c>
      <c r="M48" s="907">
        <f t="shared" ref="M48:N56" si="14">L48-$G48</f>
        <v>0</v>
      </c>
      <c r="N48" s="907">
        <f t="shared" si="14"/>
        <v>0</v>
      </c>
      <c r="AA48" s="794"/>
      <c r="AB48" s="794"/>
      <c r="AC48" s="794"/>
      <c r="AD48" s="794"/>
      <c r="AE48" s="794"/>
      <c r="AF48" s="794"/>
      <c r="AG48" s="794"/>
      <c r="AH48" s="794"/>
      <c r="AI48" s="794"/>
      <c r="AJ48" s="794"/>
      <c r="AK48" s="794"/>
    </row>
    <row r="49" spans="1:37" s="650" customFormat="1" ht="89.25">
      <c r="A49" s="809" t="s">
        <v>1722</v>
      </c>
      <c r="B49" s="820" t="str">
        <f>估价对象房地状况!C18</f>
        <v>估价对象紧邻城市支路-东环路、附近有公交车站昌平南大街站，停靠线路有493路、昌52路、昌66路等，附近600米范围内有地铁昌平线昌平站合评价交通便捷度较好。</v>
      </c>
      <c r="C49" s="707"/>
      <c r="D49" s="815">
        <f t="shared" si="10"/>
        <v>0</v>
      </c>
      <c r="E49" s="821"/>
      <c r="F49" s="817"/>
      <c r="G49" s="818"/>
      <c r="H49" s="819" t="str">
        <f t="shared" si="11"/>
        <v>——</v>
      </c>
      <c r="I49" s="906">
        <v>0.25</v>
      </c>
      <c r="J49" s="907">
        <f t="shared" si="12"/>
        <v>0</v>
      </c>
      <c r="K49" s="907">
        <f t="shared" si="13"/>
        <v>0</v>
      </c>
      <c r="L49" s="907">
        <v>0</v>
      </c>
      <c r="M49" s="907">
        <f t="shared" si="14"/>
        <v>0</v>
      </c>
      <c r="N49" s="907">
        <f t="shared" si="14"/>
        <v>0</v>
      </c>
      <c r="AA49" s="794"/>
      <c r="AB49" s="794"/>
      <c r="AC49" s="794"/>
      <c r="AD49" s="794"/>
      <c r="AE49" s="794"/>
      <c r="AF49" s="794"/>
      <c r="AG49" s="794"/>
      <c r="AH49" s="794"/>
      <c r="AI49" s="794"/>
      <c r="AJ49" s="794"/>
      <c r="AK49" s="794"/>
    </row>
    <row r="50" spans="1:37" s="650" customFormat="1" ht="24">
      <c r="A50" s="809" t="s">
        <v>1723</v>
      </c>
      <c r="B50" s="820">
        <f>估价对象房地状况!C19</f>
        <v>0</v>
      </c>
      <c r="C50" s="707"/>
      <c r="D50" s="815">
        <f t="shared" si="10"/>
        <v>0</v>
      </c>
      <c r="E50" s="821"/>
      <c r="F50" s="817"/>
      <c r="G50" s="818"/>
      <c r="H50" s="819" t="str">
        <f t="shared" si="11"/>
        <v>——</v>
      </c>
      <c r="I50" s="906">
        <v>0.05</v>
      </c>
      <c r="J50" s="907">
        <f t="shared" si="12"/>
        <v>0</v>
      </c>
      <c r="K50" s="907">
        <f t="shared" si="13"/>
        <v>0</v>
      </c>
      <c r="L50" s="907">
        <v>0</v>
      </c>
      <c r="M50" s="907">
        <f t="shared" si="14"/>
        <v>0</v>
      </c>
      <c r="N50" s="907">
        <f t="shared" si="14"/>
        <v>0</v>
      </c>
      <c r="AA50" s="794"/>
      <c r="AB50" s="794"/>
      <c r="AC50" s="794"/>
      <c r="AD50" s="794"/>
      <c r="AE50" s="794"/>
      <c r="AF50" s="794"/>
      <c r="AG50" s="794"/>
      <c r="AH50" s="794"/>
      <c r="AI50" s="794"/>
      <c r="AJ50" s="794"/>
      <c r="AK50" s="794"/>
    </row>
    <row r="51" spans="1:37" s="650" customFormat="1" ht="36.75">
      <c r="A51" s="809" t="s">
        <v>1724</v>
      </c>
      <c r="B51" s="822" t="s">
        <v>1725</v>
      </c>
      <c r="C51" s="707"/>
      <c r="D51" s="815">
        <f t="shared" si="10"/>
        <v>0</v>
      </c>
      <c r="E51" s="821"/>
      <c r="F51" s="817"/>
      <c r="G51" s="818"/>
      <c r="H51" s="819" t="str">
        <f t="shared" si="11"/>
        <v>——</v>
      </c>
      <c r="I51" s="906">
        <v>0.05</v>
      </c>
      <c r="J51" s="907">
        <f t="shared" si="12"/>
        <v>0</v>
      </c>
      <c r="K51" s="907">
        <f t="shared" si="13"/>
        <v>0</v>
      </c>
      <c r="L51" s="907">
        <v>0</v>
      </c>
      <c r="M51" s="907">
        <f t="shared" si="14"/>
        <v>0</v>
      </c>
      <c r="N51" s="907">
        <f t="shared" si="14"/>
        <v>0</v>
      </c>
      <c r="AA51" s="794"/>
      <c r="AB51" s="794"/>
      <c r="AC51" s="794"/>
      <c r="AD51" s="794"/>
      <c r="AE51" s="794"/>
      <c r="AF51" s="794"/>
      <c r="AG51" s="794"/>
      <c r="AH51" s="794"/>
      <c r="AI51" s="794"/>
      <c r="AJ51" s="794"/>
      <c r="AK51" s="794"/>
    </row>
    <row r="52" spans="1:37" s="650" customFormat="1" ht="24">
      <c r="A52" s="809" t="s">
        <v>1726</v>
      </c>
      <c r="B52" s="820" t="str">
        <f>估价对象房地状况!C24</f>
        <v>紧邻城市支路-东环路</v>
      </c>
      <c r="C52" s="707"/>
      <c r="D52" s="815">
        <f t="shared" si="10"/>
        <v>0</v>
      </c>
      <c r="E52" s="821"/>
      <c r="F52" s="817"/>
      <c r="G52" s="818"/>
      <c r="H52" s="819" t="str">
        <f t="shared" si="11"/>
        <v>——</v>
      </c>
      <c r="I52" s="906">
        <v>0.08</v>
      </c>
      <c r="J52" s="907">
        <f t="shared" si="12"/>
        <v>0</v>
      </c>
      <c r="K52" s="907">
        <f t="shared" si="13"/>
        <v>0</v>
      </c>
      <c r="L52" s="907">
        <v>0</v>
      </c>
      <c r="M52" s="907">
        <f t="shared" si="14"/>
        <v>0</v>
      </c>
      <c r="N52" s="907">
        <f t="shared" si="14"/>
        <v>0</v>
      </c>
      <c r="AA52" s="794"/>
      <c r="AB52" s="794"/>
      <c r="AC52" s="794"/>
      <c r="AD52" s="794"/>
      <c r="AE52" s="794"/>
      <c r="AF52" s="794"/>
      <c r="AG52" s="794"/>
      <c r="AH52" s="794"/>
      <c r="AI52" s="794"/>
      <c r="AJ52" s="794"/>
      <c r="AK52" s="794"/>
    </row>
    <row r="53" spans="1:37" s="650" customFormat="1" ht="24">
      <c r="A53" s="809" t="s">
        <v>1727</v>
      </c>
      <c r="B53" s="823" t="s">
        <v>1728</v>
      </c>
      <c r="C53" s="707"/>
      <c r="D53" s="815">
        <f t="shared" si="10"/>
        <v>0</v>
      </c>
      <c r="E53" s="821"/>
      <c r="F53" s="817"/>
      <c r="G53" s="818"/>
      <c r="H53" s="819" t="str">
        <f t="shared" si="11"/>
        <v>——</v>
      </c>
      <c r="I53" s="906">
        <v>0.03</v>
      </c>
      <c r="J53" s="907">
        <f t="shared" si="12"/>
        <v>0</v>
      </c>
      <c r="K53" s="907">
        <f t="shared" si="13"/>
        <v>0</v>
      </c>
      <c r="L53" s="907">
        <v>0</v>
      </c>
      <c r="M53" s="907">
        <f t="shared" si="14"/>
        <v>0</v>
      </c>
      <c r="N53" s="907">
        <f t="shared" si="14"/>
        <v>0</v>
      </c>
      <c r="AA53" s="794"/>
      <c r="AB53" s="794"/>
      <c r="AC53" s="794"/>
      <c r="AD53" s="794"/>
      <c r="AE53" s="794"/>
      <c r="AF53" s="794"/>
      <c r="AG53" s="794"/>
      <c r="AH53" s="794"/>
      <c r="AI53" s="794"/>
      <c r="AJ53" s="794"/>
      <c r="AK53" s="794"/>
    </row>
    <row r="54" spans="1:37" s="650" customFormat="1" ht="114.75">
      <c r="A54" s="824" t="s">
        <v>1729</v>
      </c>
      <c r="B54" s="359"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54" s="707"/>
      <c r="D54" s="815">
        <f t="shared" si="10"/>
        <v>0</v>
      </c>
      <c r="E54" s="821"/>
      <c r="F54" s="817"/>
      <c r="G54" s="818"/>
      <c r="H54" s="819" t="str">
        <f t="shared" si="11"/>
        <v>——</v>
      </c>
      <c r="I54" s="906">
        <v>0.05</v>
      </c>
      <c r="J54" s="907">
        <f t="shared" si="12"/>
        <v>0</v>
      </c>
      <c r="K54" s="907">
        <f t="shared" si="13"/>
        <v>0</v>
      </c>
      <c r="L54" s="907">
        <v>0</v>
      </c>
      <c r="M54" s="907">
        <f t="shared" si="14"/>
        <v>0</v>
      </c>
      <c r="N54" s="907">
        <f t="shared" si="14"/>
        <v>0</v>
      </c>
      <c r="AA54" s="794"/>
      <c r="AB54" s="794"/>
      <c r="AC54" s="794"/>
      <c r="AD54" s="794"/>
      <c r="AE54" s="794"/>
      <c r="AF54" s="794"/>
      <c r="AG54" s="794"/>
      <c r="AH54" s="794"/>
      <c r="AI54" s="794"/>
      <c r="AJ54" s="794"/>
      <c r="AK54" s="794"/>
    </row>
    <row r="55" spans="1:37" s="650" customFormat="1" ht="25.5">
      <c r="A55" s="824" t="s">
        <v>1730</v>
      </c>
      <c r="B55" s="820" t="str">
        <f>估价对象房地状况!C22</f>
        <v>估价对象所在区域基础设施水平为七通一平</v>
      </c>
      <c r="C55" s="707"/>
      <c r="D55" s="815">
        <f t="shared" si="10"/>
        <v>0</v>
      </c>
      <c r="E55" s="821"/>
      <c r="F55" s="817"/>
      <c r="G55" s="818"/>
      <c r="H55" s="819" t="str">
        <f t="shared" si="11"/>
        <v>——</v>
      </c>
      <c r="I55" s="906">
        <v>0.1</v>
      </c>
      <c r="J55" s="907">
        <f t="shared" si="12"/>
        <v>0</v>
      </c>
      <c r="K55" s="907">
        <f t="shared" si="13"/>
        <v>0</v>
      </c>
      <c r="L55" s="907">
        <v>0</v>
      </c>
      <c r="M55" s="907">
        <f t="shared" si="14"/>
        <v>0</v>
      </c>
      <c r="N55" s="907">
        <f t="shared" si="14"/>
        <v>0</v>
      </c>
      <c r="AA55" s="794"/>
      <c r="AB55" s="794"/>
      <c r="AC55" s="794"/>
      <c r="AD55" s="794"/>
      <c r="AE55" s="794"/>
      <c r="AF55" s="794"/>
      <c r="AG55" s="794"/>
      <c r="AH55" s="794"/>
      <c r="AI55" s="794"/>
      <c r="AJ55" s="794"/>
      <c r="AK55" s="794"/>
    </row>
    <row r="56" spans="1:37" s="650" customFormat="1" ht="63.75">
      <c r="A56" s="825" t="s">
        <v>1731</v>
      </c>
      <c r="B56" s="826" t="str">
        <f>估价对象房地状况!C20</f>
        <v>估计对象周边有昌平公园、学府等自然环境景观，有北京昌平卫生学校、中国石油大学等人文环境；综合评价环境状况较好。</v>
      </c>
      <c r="C56" s="707"/>
      <c r="D56" s="815">
        <f t="shared" si="10"/>
        <v>0</v>
      </c>
      <c r="E56" s="827"/>
      <c r="F56" s="817"/>
      <c r="G56" s="818"/>
      <c r="H56" s="819" t="str">
        <f t="shared" si="11"/>
        <v>——</v>
      </c>
      <c r="I56" s="908">
        <v>0.06</v>
      </c>
      <c r="J56" s="907">
        <f t="shared" si="12"/>
        <v>0</v>
      </c>
      <c r="K56" s="907">
        <f t="shared" si="13"/>
        <v>0</v>
      </c>
      <c r="L56" s="907">
        <v>0</v>
      </c>
      <c r="M56" s="907">
        <f t="shared" si="14"/>
        <v>0</v>
      </c>
      <c r="N56" s="907">
        <f t="shared" si="14"/>
        <v>0</v>
      </c>
      <c r="AA56" s="794"/>
      <c r="AB56" s="794"/>
      <c r="AC56" s="794"/>
      <c r="AD56" s="794"/>
      <c r="AE56" s="794"/>
      <c r="AF56" s="794"/>
      <c r="AG56" s="794"/>
      <c r="AH56" s="794"/>
      <c r="AI56" s="794"/>
      <c r="AJ56" s="794"/>
      <c r="AK56" s="794"/>
    </row>
    <row r="57" spans="1:37" s="650" customFormat="1" ht="15">
      <c r="A57" s="803" t="s">
        <v>1732</v>
      </c>
      <c r="B57" s="804">
        <f>1+E59</f>
        <v>1</v>
      </c>
      <c r="C57" s="806"/>
      <c r="D57" s="806"/>
      <c r="E57" s="807"/>
      <c r="F57" s="808"/>
      <c r="G57" s="802"/>
      <c r="H57" s="802"/>
      <c r="I57" s="802"/>
      <c r="J57" s="801"/>
      <c r="K57" s="801"/>
      <c r="L57" s="801"/>
      <c r="M57" s="801"/>
      <c r="N57" s="801"/>
      <c r="AA57" s="794"/>
      <c r="AB57" s="794"/>
      <c r="AC57" s="794"/>
      <c r="AD57" s="794"/>
      <c r="AE57" s="794"/>
      <c r="AF57" s="794"/>
      <c r="AG57" s="794"/>
      <c r="AH57" s="794"/>
      <c r="AI57" s="794"/>
      <c r="AJ57" s="794"/>
      <c r="AK57" s="794"/>
    </row>
    <row r="58" spans="1:37" s="650" customFormat="1" ht="24.75">
      <c r="A58" s="809" t="s">
        <v>1713</v>
      </c>
      <c r="B58" s="810"/>
      <c r="C58" s="810" t="s">
        <v>1715</v>
      </c>
      <c r="D58" s="810" t="s">
        <v>1716</v>
      </c>
      <c r="E58" s="811" t="s">
        <v>1717</v>
      </c>
      <c r="F58" s="812" t="s">
        <v>1733</v>
      </c>
      <c r="G58" s="810" t="s">
        <v>1647</v>
      </c>
      <c r="H58" s="813" t="s">
        <v>1719</v>
      </c>
      <c r="I58" s="810" t="s">
        <v>1720</v>
      </c>
      <c r="J58" s="905" t="s">
        <v>1104</v>
      </c>
      <c r="K58" s="905" t="s">
        <v>1105</v>
      </c>
      <c r="L58" s="905" t="s">
        <v>1106</v>
      </c>
      <c r="M58" s="905" t="s">
        <v>1107</v>
      </c>
      <c r="N58" s="905" t="s">
        <v>1108</v>
      </c>
      <c r="AA58" s="794"/>
      <c r="AB58" s="794"/>
      <c r="AC58" s="794"/>
      <c r="AD58" s="794"/>
      <c r="AE58" s="794"/>
      <c r="AF58" s="794"/>
      <c r="AG58" s="794"/>
      <c r="AH58" s="794"/>
      <c r="AI58" s="794"/>
      <c r="AJ58" s="794"/>
      <c r="AK58" s="794"/>
    </row>
    <row r="59" spans="1:37" s="650" customFormat="1" ht="38.25">
      <c r="A59" s="809" t="s">
        <v>1734</v>
      </c>
      <c r="B59" s="814" t="str">
        <f>估价对象房地状况!C17</f>
        <v>，周边办公楼项目一般，入驻率高，办公集聚程度一般</v>
      </c>
      <c r="C59" s="707"/>
      <c r="D59" s="815">
        <f t="shared" ref="D59:D67" si="15">SUMIF($J$58:$N$58,C59,J59:N59)</f>
        <v>0</v>
      </c>
      <c r="E59" s="816">
        <f>ROUND(SUM(D59:D67),4)</f>
        <v>0</v>
      </c>
      <c r="F59" s="817" t="str">
        <f>IF(E2="办公",SUMIF(L1:L12,G2,N1:N12),"——")</f>
        <v>——</v>
      </c>
      <c r="G59" s="818"/>
      <c r="H59" s="819" t="str">
        <f t="shared" ref="H59:H67" si="16">IFERROR(ROUNDDOWN($F$59*I59/2,4),"——")</f>
        <v>——</v>
      </c>
      <c r="I59" s="906">
        <v>0.24</v>
      </c>
      <c r="J59" s="907">
        <f t="shared" ref="J59:J67" si="17">K59+$G59</f>
        <v>0</v>
      </c>
      <c r="K59" s="907">
        <f t="shared" ref="K59:K67" si="18">$L59+$G59</f>
        <v>0</v>
      </c>
      <c r="L59" s="907">
        <v>0</v>
      </c>
      <c r="M59" s="907">
        <f t="shared" ref="M59:N67" si="19">L59-$G59</f>
        <v>0</v>
      </c>
      <c r="N59" s="907">
        <f t="shared" si="19"/>
        <v>0</v>
      </c>
      <c r="AA59" s="794"/>
      <c r="AB59" s="794"/>
      <c r="AC59" s="794"/>
      <c r="AD59" s="794"/>
      <c r="AE59" s="794"/>
      <c r="AF59" s="794"/>
      <c r="AG59" s="794"/>
      <c r="AH59" s="794"/>
      <c r="AI59" s="794"/>
      <c r="AJ59" s="794"/>
      <c r="AK59" s="794"/>
    </row>
    <row r="60" spans="1:37" s="650" customFormat="1" ht="89.25">
      <c r="A60" s="809" t="s">
        <v>1722</v>
      </c>
      <c r="B60" s="820" t="str">
        <f>估价对象房地状况!C18</f>
        <v>估价对象紧邻城市支路-东环路、附近有公交车站昌平南大街站，停靠线路有493路、昌52路、昌66路等，附近600米范围内有地铁昌平线昌平站合评价交通便捷度较好。</v>
      </c>
      <c r="C60" s="707"/>
      <c r="D60" s="815">
        <f t="shared" si="15"/>
        <v>0</v>
      </c>
      <c r="E60" s="821"/>
      <c r="F60" s="817"/>
      <c r="G60" s="818"/>
      <c r="H60" s="819" t="str">
        <f t="shared" si="16"/>
        <v>——</v>
      </c>
      <c r="I60" s="906">
        <v>0.3</v>
      </c>
      <c r="J60" s="907">
        <f t="shared" si="17"/>
        <v>0</v>
      </c>
      <c r="K60" s="907">
        <f t="shared" si="18"/>
        <v>0</v>
      </c>
      <c r="L60" s="907">
        <v>0</v>
      </c>
      <c r="M60" s="907">
        <f t="shared" si="19"/>
        <v>0</v>
      </c>
      <c r="N60" s="907">
        <f t="shared" si="19"/>
        <v>0</v>
      </c>
      <c r="AA60" s="794"/>
      <c r="AB60" s="794"/>
      <c r="AC60" s="794"/>
      <c r="AD60" s="794"/>
      <c r="AE60" s="794"/>
      <c r="AF60" s="794"/>
      <c r="AG60" s="794"/>
      <c r="AH60" s="794"/>
      <c r="AI60" s="794"/>
      <c r="AJ60" s="794"/>
      <c r="AK60" s="794"/>
    </row>
    <row r="61" spans="1:37" s="650" customFormat="1" ht="24">
      <c r="A61" s="809" t="s">
        <v>1723</v>
      </c>
      <c r="B61" s="820">
        <f>估价对象房地状况!C19</f>
        <v>0</v>
      </c>
      <c r="C61" s="707"/>
      <c r="D61" s="815">
        <f t="shared" si="15"/>
        <v>0</v>
      </c>
      <c r="E61" s="821"/>
      <c r="F61" s="817"/>
      <c r="G61" s="818"/>
      <c r="H61" s="819" t="str">
        <f t="shared" si="16"/>
        <v>——</v>
      </c>
      <c r="I61" s="906">
        <v>0.08</v>
      </c>
      <c r="J61" s="907">
        <f t="shared" si="17"/>
        <v>0</v>
      </c>
      <c r="K61" s="907">
        <f t="shared" si="18"/>
        <v>0</v>
      </c>
      <c r="L61" s="907">
        <v>0</v>
      </c>
      <c r="M61" s="907">
        <f t="shared" si="19"/>
        <v>0</v>
      </c>
      <c r="N61" s="907">
        <f t="shared" si="19"/>
        <v>0</v>
      </c>
      <c r="AA61" s="794"/>
      <c r="AB61" s="794"/>
      <c r="AC61" s="794"/>
      <c r="AD61" s="794"/>
      <c r="AE61" s="794"/>
      <c r="AF61" s="794"/>
      <c r="AG61" s="794"/>
      <c r="AH61" s="794"/>
      <c r="AI61" s="794"/>
      <c r="AJ61" s="794"/>
      <c r="AK61" s="794"/>
    </row>
    <row r="62" spans="1:37" s="650" customFormat="1" ht="36.75">
      <c r="A62" s="809" t="s">
        <v>1724</v>
      </c>
      <c r="B62" s="822" t="s">
        <v>1725</v>
      </c>
      <c r="C62" s="707"/>
      <c r="D62" s="815">
        <f t="shared" si="15"/>
        <v>0</v>
      </c>
      <c r="E62" s="821"/>
      <c r="F62" s="817"/>
      <c r="G62" s="818"/>
      <c r="H62" s="819" t="str">
        <f t="shared" si="16"/>
        <v>——</v>
      </c>
      <c r="I62" s="906">
        <v>0.04</v>
      </c>
      <c r="J62" s="907">
        <f t="shared" si="17"/>
        <v>0</v>
      </c>
      <c r="K62" s="907">
        <f t="shared" si="18"/>
        <v>0</v>
      </c>
      <c r="L62" s="907">
        <v>0</v>
      </c>
      <c r="M62" s="907">
        <f t="shared" si="19"/>
        <v>0</v>
      </c>
      <c r="N62" s="907">
        <f t="shared" si="19"/>
        <v>0</v>
      </c>
      <c r="AA62" s="794"/>
      <c r="AB62" s="794"/>
      <c r="AC62" s="794"/>
      <c r="AD62" s="794"/>
      <c r="AE62" s="794"/>
      <c r="AF62" s="794"/>
      <c r="AG62" s="794"/>
      <c r="AH62" s="794"/>
      <c r="AI62" s="794"/>
      <c r="AJ62" s="794"/>
      <c r="AK62" s="794"/>
    </row>
    <row r="63" spans="1:37" s="650" customFormat="1" ht="24">
      <c r="A63" s="809" t="s">
        <v>1726</v>
      </c>
      <c r="B63" s="820" t="str">
        <f>估价对象房地状况!C24</f>
        <v>紧邻城市支路-东环路</v>
      </c>
      <c r="C63" s="707"/>
      <c r="D63" s="815">
        <f t="shared" si="15"/>
        <v>0</v>
      </c>
      <c r="E63" s="821"/>
      <c r="F63" s="817"/>
      <c r="G63" s="818"/>
      <c r="H63" s="819" t="str">
        <f t="shared" si="16"/>
        <v>——</v>
      </c>
      <c r="I63" s="906">
        <v>0.05</v>
      </c>
      <c r="J63" s="907">
        <f t="shared" si="17"/>
        <v>0</v>
      </c>
      <c r="K63" s="907">
        <f t="shared" si="18"/>
        <v>0</v>
      </c>
      <c r="L63" s="907">
        <v>0</v>
      </c>
      <c r="M63" s="907">
        <f t="shared" si="19"/>
        <v>0</v>
      </c>
      <c r="N63" s="907">
        <f t="shared" si="19"/>
        <v>0</v>
      </c>
      <c r="AA63" s="794"/>
      <c r="AB63" s="794"/>
      <c r="AC63" s="794"/>
      <c r="AD63" s="794"/>
      <c r="AE63" s="794"/>
      <c r="AF63" s="794"/>
      <c r="AG63" s="794"/>
      <c r="AH63" s="794"/>
      <c r="AI63" s="794"/>
      <c r="AJ63" s="794"/>
      <c r="AK63" s="794"/>
    </row>
    <row r="64" spans="1:37" s="650" customFormat="1" ht="24">
      <c r="A64" s="809" t="s">
        <v>1727</v>
      </c>
      <c r="B64" s="823" t="s">
        <v>1728</v>
      </c>
      <c r="C64" s="707"/>
      <c r="D64" s="815">
        <f t="shared" si="15"/>
        <v>0</v>
      </c>
      <c r="E64" s="821"/>
      <c r="F64" s="817"/>
      <c r="G64" s="818"/>
      <c r="H64" s="819" t="str">
        <f t="shared" si="16"/>
        <v>——</v>
      </c>
      <c r="I64" s="906">
        <v>0.05</v>
      </c>
      <c r="J64" s="907">
        <f t="shared" si="17"/>
        <v>0</v>
      </c>
      <c r="K64" s="907">
        <f t="shared" si="18"/>
        <v>0</v>
      </c>
      <c r="L64" s="907">
        <v>0</v>
      </c>
      <c r="M64" s="907">
        <f t="shared" si="19"/>
        <v>0</v>
      </c>
      <c r="N64" s="907">
        <f t="shared" si="19"/>
        <v>0</v>
      </c>
      <c r="AA64" s="794"/>
      <c r="AB64" s="794"/>
      <c r="AC64" s="794"/>
      <c r="AD64" s="794"/>
      <c r="AE64" s="794"/>
      <c r="AF64" s="794"/>
      <c r="AG64" s="794"/>
      <c r="AH64" s="794"/>
      <c r="AI64" s="794"/>
      <c r="AJ64" s="794"/>
      <c r="AK64" s="794"/>
    </row>
    <row r="65" spans="1:37" s="650" customFormat="1" ht="114.75">
      <c r="A65" s="809" t="s">
        <v>1729</v>
      </c>
      <c r="B65" s="359"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65" s="707"/>
      <c r="D65" s="815">
        <f t="shared" si="15"/>
        <v>0</v>
      </c>
      <c r="E65" s="821"/>
      <c r="F65" s="817"/>
      <c r="G65" s="818"/>
      <c r="H65" s="819" t="str">
        <f t="shared" si="16"/>
        <v>——</v>
      </c>
      <c r="I65" s="906">
        <v>0.06</v>
      </c>
      <c r="J65" s="907">
        <f t="shared" si="17"/>
        <v>0</v>
      </c>
      <c r="K65" s="907">
        <f t="shared" si="18"/>
        <v>0</v>
      </c>
      <c r="L65" s="907">
        <v>0</v>
      </c>
      <c r="M65" s="907">
        <f t="shared" si="19"/>
        <v>0</v>
      </c>
      <c r="N65" s="907">
        <f t="shared" si="19"/>
        <v>0</v>
      </c>
      <c r="AA65" s="794"/>
      <c r="AB65" s="794"/>
      <c r="AC65" s="794"/>
      <c r="AD65" s="794"/>
      <c r="AE65" s="794"/>
      <c r="AF65" s="794"/>
      <c r="AG65" s="794"/>
      <c r="AH65" s="794"/>
      <c r="AI65" s="794"/>
      <c r="AJ65" s="794"/>
      <c r="AK65" s="794"/>
    </row>
    <row r="66" spans="1:37" s="650" customFormat="1" ht="25.5">
      <c r="A66" s="809" t="s">
        <v>1730</v>
      </c>
      <c r="B66" s="359" t="str">
        <f>估价对象房地状况!C22</f>
        <v>估价对象所在区域基础设施水平为七通一平</v>
      </c>
      <c r="C66" s="707"/>
      <c r="D66" s="815">
        <f t="shared" si="15"/>
        <v>0</v>
      </c>
      <c r="E66" s="821"/>
      <c r="F66" s="817"/>
      <c r="G66" s="818"/>
      <c r="H66" s="819" t="str">
        <f t="shared" si="16"/>
        <v>——</v>
      </c>
      <c r="I66" s="906">
        <v>0.12</v>
      </c>
      <c r="J66" s="907">
        <f t="shared" si="17"/>
        <v>0</v>
      </c>
      <c r="K66" s="907">
        <f t="shared" si="18"/>
        <v>0</v>
      </c>
      <c r="L66" s="907">
        <v>0</v>
      </c>
      <c r="M66" s="907">
        <f t="shared" si="19"/>
        <v>0</v>
      </c>
      <c r="N66" s="907">
        <f t="shared" si="19"/>
        <v>0</v>
      </c>
      <c r="AA66" s="794"/>
      <c r="AB66" s="794"/>
      <c r="AC66" s="794"/>
      <c r="AD66" s="794"/>
      <c r="AE66" s="794"/>
      <c r="AF66" s="794"/>
      <c r="AG66" s="794"/>
      <c r="AH66" s="794"/>
      <c r="AI66" s="794"/>
      <c r="AJ66" s="794"/>
      <c r="AK66" s="794"/>
    </row>
    <row r="67" spans="1:37" s="650" customFormat="1" ht="63.75">
      <c r="A67" s="825" t="s">
        <v>1731</v>
      </c>
      <c r="B67" s="936" t="str">
        <f>估价对象房地状况!C20</f>
        <v>估计对象周边有昌平公园、学府等自然环境景观，有北京昌平卫生学校、中国石油大学等人文环境；综合评价环境状况较好。</v>
      </c>
      <c r="C67" s="707"/>
      <c r="D67" s="815">
        <f t="shared" si="15"/>
        <v>0</v>
      </c>
      <c r="E67" s="827"/>
      <c r="F67" s="817"/>
      <c r="G67" s="818"/>
      <c r="H67" s="819" t="str">
        <f t="shared" si="16"/>
        <v>——</v>
      </c>
      <c r="I67" s="908">
        <v>0.06</v>
      </c>
      <c r="J67" s="907">
        <f t="shared" si="17"/>
        <v>0</v>
      </c>
      <c r="K67" s="907">
        <f t="shared" si="18"/>
        <v>0</v>
      </c>
      <c r="L67" s="907">
        <v>0</v>
      </c>
      <c r="M67" s="907">
        <f t="shared" si="19"/>
        <v>0</v>
      </c>
      <c r="N67" s="907">
        <f t="shared" si="19"/>
        <v>0</v>
      </c>
      <c r="AA67" s="794"/>
      <c r="AB67" s="794"/>
      <c r="AC67" s="794"/>
      <c r="AD67" s="794"/>
      <c r="AE67" s="794"/>
      <c r="AF67" s="794"/>
      <c r="AG67" s="794"/>
      <c r="AH67" s="794"/>
      <c r="AI67" s="794"/>
      <c r="AJ67" s="794"/>
      <c r="AK67" s="794"/>
    </row>
    <row r="68" spans="1:37" s="650" customFormat="1" ht="15">
      <c r="A68" s="803" t="s">
        <v>1735</v>
      </c>
      <c r="B68" s="804">
        <f>1+E70</f>
        <v>1</v>
      </c>
      <c r="C68" s="806"/>
      <c r="D68" s="806"/>
      <c r="E68" s="807"/>
      <c r="F68" s="808"/>
      <c r="G68" s="802"/>
      <c r="H68" s="802"/>
      <c r="I68" s="802"/>
      <c r="J68" s="801"/>
      <c r="K68" s="801"/>
      <c r="L68" s="801"/>
      <c r="M68" s="801"/>
      <c r="N68" s="801"/>
      <c r="AA68" s="794"/>
      <c r="AB68" s="794"/>
      <c r="AC68" s="794"/>
      <c r="AD68" s="794"/>
      <c r="AE68" s="794"/>
      <c r="AF68" s="794"/>
      <c r="AG68" s="794"/>
      <c r="AH68" s="794"/>
      <c r="AI68" s="794"/>
      <c r="AJ68" s="794"/>
      <c r="AK68" s="794"/>
    </row>
    <row r="69" spans="1:37" s="650" customFormat="1" ht="24.75">
      <c r="A69" s="809" t="s">
        <v>1713</v>
      </c>
      <c r="B69" s="810"/>
      <c r="C69" s="810" t="s">
        <v>1715</v>
      </c>
      <c r="D69" s="810" t="s">
        <v>1716</v>
      </c>
      <c r="E69" s="811" t="s">
        <v>1717</v>
      </c>
      <c r="F69" s="812" t="s">
        <v>1733</v>
      </c>
      <c r="G69" s="810" t="s">
        <v>1647</v>
      </c>
      <c r="H69" s="813" t="s">
        <v>1719</v>
      </c>
      <c r="I69" s="810" t="s">
        <v>1720</v>
      </c>
      <c r="J69" s="905" t="s">
        <v>1104</v>
      </c>
      <c r="K69" s="905" t="s">
        <v>1105</v>
      </c>
      <c r="L69" s="905" t="s">
        <v>1106</v>
      </c>
      <c r="M69" s="905" t="s">
        <v>1107</v>
      </c>
      <c r="N69" s="905" t="s">
        <v>1108</v>
      </c>
      <c r="AA69" s="794"/>
      <c r="AB69" s="794"/>
      <c r="AC69" s="794"/>
      <c r="AD69" s="794"/>
      <c r="AE69" s="794"/>
      <c r="AF69" s="794"/>
      <c r="AG69" s="794"/>
      <c r="AH69" s="794"/>
      <c r="AI69" s="794"/>
      <c r="AJ69" s="794"/>
      <c r="AK69" s="794"/>
    </row>
    <row r="70" spans="1:37" s="650" customFormat="1" ht="76.5">
      <c r="A70" s="809" t="s">
        <v>1736</v>
      </c>
      <c r="B70" s="814" t="str">
        <f>估价对象房地状况!C15</f>
        <v>估价对象周边有欧亚花园、昌平区双拥大院、力天嘉苑等住宅小区、居住小区规模较大，入住率较高，综合评价居住社区成熟度较好。</v>
      </c>
      <c r="C70" s="707"/>
      <c r="D70" s="815">
        <f t="shared" ref="D70:D78" si="20">SUMIF($J$69:$N$69,C70,J70:N70)</f>
        <v>0</v>
      </c>
      <c r="E70" s="816">
        <f>ROUND(SUM(D70:D78),4)</f>
        <v>0</v>
      </c>
      <c r="F70" s="817" t="str">
        <f>IF(E2="住宅",SUMIF(L1:L12,G2,N1:N12),"——")</f>
        <v>——</v>
      </c>
      <c r="G70" s="818"/>
      <c r="H70" s="819" t="str">
        <f t="shared" ref="H70:H78" si="21">IFERROR(ROUNDDOWN($F$70*I70/2,4),"——")</f>
        <v>——</v>
      </c>
      <c r="I70" s="906">
        <v>0.14000000000000001</v>
      </c>
      <c r="J70" s="907">
        <f t="shared" ref="J70:J78" si="22">K70+$G70</f>
        <v>0</v>
      </c>
      <c r="K70" s="907">
        <f t="shared" ref="K70:K78" si="23">$L70+$G70</f>
        <v>0</v>
      </c>
      <c r="L70" s="907">
        <v>0</v>
      </c>
      <c r="M70" s="907">
        <f t="shared" ref="M70:N78" si="24">L70-$G70</f>
        <v>0</v>
      </c>
      <c r="N70" s="907">
        <f t="shared" si="24"/>
        <v>0</v>
      </c>
      <c r="AA70" s="794"/>
      <c r="AB70" s="794"/>
      <c r="AC70" s="794"/>
      <c r="AD70" s="794"/>
      <c r="AE70" s="794"/>
      <c r="AF70" s="794"/>
      <c r="AG70" s="794"/>
      <c r="AH70" s="794"/>
      <c r="AI70" s="794"/>
      <c r="AJ70" s="794"/>
      <c r="AK70" s="794"/>
    </row>
    <row r="71" spans="1:37" s="650" customFormat="1" ht="89.25">
      <c r="A71" s="809" t="s">
        <v>1722</v>
      </c>
      <c r="B71" s="820" t="str">
        <f>估价对象房地状况!C18</f>
        <v>估价对象紧邻城市支路-东环路、附近有公交车站昌平南大街站，停靠线路有493路、昌52路、昌66路等，附近600米范围内有地铁昌平线昌平站合评价交通便捷度较好。</v>
      </c>
      <c r="C71" s="707"/>
      <c r="D71" s="815">
        <f t="shared" si="20"/>
        <v>0</v>
      </c>
      <c r="E71" s="937"/>
      <c r="F71" s="817"/>
      <c r="G71" s="818"/>
      <c r="H71" s="819" t="str">
        <f t="shared" si="21"/>
        <v>——</v>
      </c>
      <c r="I71" s="906">
        <v>0.3</v>
      </c>
      <c r="J71" s="907">
        <f t="shared" si="22"/>
        <v>0</v>
      </c>
      <c r="K71" s="907">
        <f t="shared" si="23"/>
        <v>0</v>
      </c>
      <c r="L71" s="907">
        <v>0</v>
      </c>
      <c r="M71" s="907">
        <f t="shared" si="24"/>
        <v>0</v>
      </c>
      <c r="N71" s="907">
        <f t="shared" si="24"/>
        <v>0</v>
      </c>
      <c r="AA71" s="794"/>
      <c r="AB71" s="794"/>
      <c r="AC71" s="794"/>
      <c r="AD71" s="794"/>
      <c r="AE71" s="794"/>
      <c r="AF71" s="794"/>
      <c r="AG71" s="794"/>
      <c r="AH71" s="794"/>
      <c r="AI71" s="794"/>
      <c r="AJ71" s="794"/>
      <c r="AK71" s="794"/>
    </row>
    <row r="72" spans="1:37" s="650" customFormat="1" ht="24">
      <c r="A72" s="809" t="s">
        <v>1723</v>
      </c>
      <c r="B72" s="820">
        <f>估价对象房地状况!C19</f>
        <v>0</v>
      </c>
      <c r="C72" s="707"/>
      <c r="D72" s="815">
        <f t="shared" si="20"/>
        <v>0</v>
      </c>
      <c r="E72" s="937"/>
      <c r="F72" s="817"/>
      <c r="G72" s="818"/>
      <c r="H72" s="819" t="str">
        <f t="shared" si="21"/>
        <v>——</v>
      </c>
      <c r="I72" s="906">
        <v>0.08</v>
      </c>
      <c r="J72" s="907">
        <f t="shared" si="22"/>
        <v>0</v>
      </c>
      <c r="K72" s="907">
        <f t="shared" si="23"/>
        <v>0</v>
      </c>
      <c r="L72" s="907">
        <v>0</v>
      </c>
      <c r="M72" s="907">
        <f t="shared" si="24"/>
        <v>0</v>
      </c>
      <c r="N72" s="907">
        <f t="shared" si="24"/>
        <v>0</v>
      </c>
      <c r="AA72" s="794"/>
      <c r="AB72" s="794"/>
      <c r="AC72" s="794"/>
      <c r="AD72" s="794"/>
      <c r="AE72" s="794"/>
      <c r="AF72" s="794"/>
      <c r="AG72" s="794"/>
      <c r="AH72" s="794"/>
      <c r="AI72" s="794"/>
      <c r="AJ72" s="794"/>
      <c r="AK72" s="794"/>
    </row>
    <row r="73" spans="1:37" s="650" customFormat="1" ht="14.25">
      <c r="A73" s="809" t="s">
        <v>1737</v>
      </c>
      <c r="B73" s="820" t="str">
        <f>估价对象房地状况!C24</f>
        <v>紧邻城市支路-东环路</v>
      </c>
      <c r="C73" s="707"/>
      <c r="D73" s="815">
        <f t="shared" si="20"/>
        <v>0</v>
      </c>
      <c r="E73" s="937"/>
      <c r="F73" s="817"/>
      <c r="G73" s="818"/>
      <c r="H73" s="819" t="str">
        <f t="shared" si="21"/>
        <v>——</v>
      </c>
      <c r="I73" s="906">
        <v>0.04</v>
      </c>
      <c r="J73" s="907">
        <f t="shared" si="22"/>
        <v>0</v>
      </c>
      <c r="K73" s="907">
        <f t="shared" si="23"/>
        <v>0</v>
      </c>
      <c r="L73" s="907">
        <v>0</v>
      </c>
      <c r="M73" s="907">
        <f t="shared" si="24"/>
        <v>0</v>
      </c>
      <c r="N73" s="907">
        <f t="shared" si="24"/>
        <v>0</v>
      </c>
      <c r="AA73" s="794"/>
      <c r="AB73" s="794"/>
      <c r="AC73" s="794"/>
      <c r="AD73" s="794"/>
      <c r="AE73" s="794"/>
      <c r="AF73" s="794"/>
      <c r="AG73" s="794"/>
      <c r="AH73" s="794"/>
      <c r="AI73" s="794"/>
      <c r="AJ73" s="794"/>
      <c r="AK73" s="794"/>
    </row>
    <row r="74" spans="1:37" s="650" customFormat="1" ht="114.75">
      <c r="A74" s="809" t="s">
        <v>1729</v>
      </c>
      <c r="B74" s="359"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74" s="707"/>
      <c r="D74" s="815">
        <f t="shared" si="20"/>
        <v>0</v>
      </c>
      <c r="E74" s="937"/>
      <c r="F74" s="817"/>
      <c r="G74" s="818"/>
      <c r="H74" s="819" t="str">
        <f t="shared" si="21"/>
        <v>——</v>
      </c>
      <c r="I74" s="906">
        <v>0.08</v>
      </c>
      <c r="J74" s="907">
        <f t="shared" si="22"/>
        <v>0</v>
      </c>
      <c r="K74" s="907">
        <f t="shared" si="23"/>
        <v>0</v>
      </c>
      <c r="L74" s="907">
        <v>0</v>
      </c>
      <c r="M74" s="907">
        <f t="shared" si="24"/>
        <v>0</v>
      </c>
      <c r="N74" s="907">
        <f t="shared" si="24"/>
        <v>0</v>
      </c>
      <c r="AA74" s="794"/>
      <c r="AB74" s="794"/>
      <c r="AC74" s="794"/>
      <c r="AD74" s="794"/>
      <c r="AE74" s="794"/>
      <c r="AF74" s="794"/>
      <c r="AG74" s="794"/>
      <c r="AH74" s="794"/>
      <c r="AI74" s="794"/>
      <c r="AJ74" s="794"/>
      <c r="AK74" s="794"/>
    </row>
    <row r="75" spans="1:37" s="650" customFormat="1" ht="25.5">
      <c r="A75" s="809" t="s">
        <v>1730</v>
      </c>
      <c r="B75" s="359" t="str">
        <f>估价对象房地状况!C22</f>
        <v>估价对象所在区域基础设施水平为七通一平</v>
      </c>
      <c r="C75" s="707"/>
      <c r="D75" s="815">
        <f t="shared" si="20"/>
        <v>0</v>
      </c>
      <c r="E75" s="937"/>
      <c r="F75" s="817"/>
      <c r="G75" s="818"/>
      <c r="H75" s="819" t="str">
        <f t="shared" si="21"/>
        <v>——</v>
      </c>
      <c r="I75" s="906">
        <v>0.12</v>
      </c>
      <c r="J75" s="907">
        <f t="shared" si="22"/>
        <v>0</v>
      </c>
      <c r="K75" s="907">
        <f t="shared" si="23"/>
        <v>0</v>
      </c>
      <c r="L75" s="907">
        <v>0</v>
      </c>
      <c r="M75" s="907">
        <f t="shared" si="24"/>
        <v>0</v>
      </c>
      <c r="N75" s="907">
        <f t="shared" si="24"/>
        <v>0</v>
      </c>
      <c r="AA75" s="794"/>
      <c r="AB75" s="794"/>
      <c r="AC75" s="794"/>
      <c r="AD75" s="794"/>
      <c r="AE75" s="794"/>
      <c r="AF75" s="794"/>
      <c r="AG75" s="794"/>
      <c r="AH75" s="794"/>
      <c r="AI75" s="794"/>
      <c r="AJ75" s="794"/>
      <c r="AK75" s="794"/>
    </row>
    <row r="76" spans="1:37" s="651" customFormat="1" ht="24">
      <c r="A76" s="809" t="s">
        <v>1727</v>
      </c>
      <c r="B76" s="823" t="s">
        <v>1728</v>
      </c>
      <c r="C76" s="707"/>
      <c r="D76" s="815">
        <f t="shared" si="20"/>
        <v>0</v>
      </c>
      <c r="E76" s="937"/>
      <c r="F76" s="817"/>
      <c r="G76" s="818"/>
      <c r="H76" s="819" t="str">
        <f t="shared" si="21"/>
        <v>——</v>
      </c>
      <c r="I76" s="906">
        <v>0.05</v>
      </c>
      <c r="J76" s="907">
        <f t="shared" si="22"/>
        <v>0</v>
      </c>
      <c r="K76" s="907">
        <f t="shared" si="23"/>
        <v>0</v>
      </c>
      <c r="L76" s="907">
        <v>0</v>
      </c>
      <c r="M76" s="907">
        <f t="shared" si="24"/>
        <v>0</v>
      </c>
      <c r="N76" s="907">
        <f t="shared" si="24"/>
        <v>0</v>
      </c>
      <c r="AA76" s="932"/>
      <c r="AB76" s="794"/>
      <c r="AC76" s="794"/>
      <c r="AD76" s="794"/>
      <c r="AE76" s="794"/>
      <c r="AF76" s="794"/>
      <c r="AG76" s="794"/>
      <c r="AH76" s="932"/>
      <c r="AI76" s="932"/>
      <c r="AJ76" s="932"/>
      <c r="AK76" s="932"/>
    </row>
    <row r="77" spans="1:37" ht="63.75">
      <c r="A77" s="809" t="s">
        <v>1731</v>
      </c>
      <c r="B77" s="814" t="str">
        <f>估价对象房地状况!C20</f>
        <v>估计对象周边有昌平公园、学府等自然环境景观，有北京昌平卫生学校、中国石油大学等人文环境；综合评价环境状况较好。</v>
      </c>
      <c r="C77" s="707"/>
      <c r="D77" s="815">
        <f t="shared" si="20"/>
        <v>0</v>
      </c>
      <c r="E77" s="937"/>
      <c r="F77" s="817"/>
      <c r="G77" s="818"/>
      <c r="H77" s="819" t="str">
        <f t="shared" si="21"/>
        <v>——</v>
      </c>
      <c r="I77" s="906">
        <v>0.15</v>
      </c>
      <c r="J77" s="907">
        <f t="shared" si="22"/>
        <v>0</v>
      </c>
      <c r="K77" s="907">
        <f t="shared" si="23"/>
        <v>0</v>
      </c>
      <c r="L77" s="907">
        <v>0</v>
      </c>
      <c r="M77" s="907">
        <f t="shared" si="24"/>
        <v>0</v>
      </c>
      <c r="N77" s="907">
        <f t="shared" si="24"/>
        <v>0</v>
      </c>
      <c r="Z77" s="654"/>
      <c r="AA77" s="652"/>
      <c r="AG77" s="656"/>
      <c r="AK77" s="652"/>
    </row>
    <row r="78" spans="1:37" ht="24">
      <c r="A78" s="825" t="s">
        <v>1738</v>
      </c>
      <c r="B78" s="938"/>
      <c r="C78" s="707"/>
      <c r="D78" s="815">
        <f t="shared" si="20"/>
        <v>0</v>
      </c>
      <c r="E78" s="939"/>
      <c r="F78" s="817"/>
      <c r="G78" s="818"/>
      <c r="H78" s="819" t="str">
        <f t="shared" si="21"/>
        <v>——</v>
      </c>
      <c r="I78" s="908">
        <v>0.04</v>
      </c>
      <c r="J78" s="907">
        <f t="shared" si="22"/>
        <v>0</v>
      </c>
      <c r="K78" s="907">
        <f t="shared" si="23"/>
        <v>0</v>
      </c>
      <c r="L78" s="907">
        <v>0</v>
      </c>
      <c r="M78" s="907">
        <f t="shared" si="24"/>
        <v>0</v>
      </c>
      <c r="N78" s="907">
        <f t="shared" si="24"/>
        <v>0</v>
      </c>
      <c r="Z78" s="654"/>
      <c r="AA78" s="652"/>
      <c r="AG78" s="656"/>
      <c r="AK78" s="652"/>
    </row>
    <row r="79" spans="1:37" ht="15">
      <c r="A79" s="803" t="s">
        <v>1739</v>
      </c>
      <c r="B79" s="804">
        <f>1+E81</f>
        <v>1</v>
      </c>
      <c r="C79" s="806"/>
      <c r="D79" s="806"/>
      <c r="E79" s="807"/>
      <c r="F79" s="808"/>
      <c r="G79" s="802"/>
      <c r="H79" s="802"/>
      <c r="I79" s="802"/>
      <c r="J79" s="801"/>
      <c r="K79" s="801"/>
      <c r="L79" s="801"/>
      <c r="M79" s="801"/>
      <c r="N79" s="801"/>
      <c r="Z79" s="654"/>
      <c r="AA79" s="652"/>
      <c r="AG79" s="656"/>
      <c r="AK79" s="652"/>
    </row>
    <row r="80" spans="1:37" ht="24.75">
      <c r="A80" s="809" t="s">
        <v>1713</v>
      </c>
      <c r="B80" s="810"/>
      <c r="C80" s="810" t="s">
        <v>1715</v>
      </c>
      <c r="D80" s="810" t="s">
        <v>1716</v>
      </c>
      <c r="E80" s="811" t="s">
        <v>1717</v>
      </c>
      <c r="F80" s="812" t="s">
        <v>1733</v>
      </c>
      <c r="G80" s="810" t="s">
        <v>1647</v>
      </c>
      <c r="H80" s="813" t="s">
        <v>1719</v>
      </c>
      <c r="I80" s="810" t="s">
        <v>1720</v>
      </c>
      <c r="J80" s="905" t="s">
        <v>1104</v>
      </c>
      <c r="K80" s="905" t="s">
        <v>1105</v>
      </c>
      <c r="L80" s="905" t="s">
        <v>1106</v>
      </c>
      <c r="M80" s="905" t="s">
        <v>1107</v>
      </c>
      <c r="N80" s="905" t="s">
        <v>1108</v>
      </c>
      <c r="Z80" s="654"/>
      <c r="AA80" s="652"/>
      <c r="AG80" s="656"/>
      <c r="AK80" s="652"/>
    </row>
    <row r="81" spans="1:37" ht="38.25">
      <c r="A81" s="809" t="s">
        <v>1740</v>
      </c>
      <c r="B81" s="820" t="str">
        <f>估价对象房地状况!G15</f>
        <v>估价对象位于XX开发区，园区建设成熟度XX，产业集聚程度XX</v>
      </c>
      <c r="C81" s="707"/>
      <c r="D81" s="815">
        <f t="shared" ref="D81:D88" si="25">SUMIF($J$80:$N$80,C81,J81:N81)</f>
        <v>0</v>
      </c>
      <c r="E81" s="816">
        <f>ROUND(SUM(D81:D88),4)</f>
        <v>0</v>
      </c>
      <c r="F81" s="817" t="str">
        <f>IF(E2="工业",SUMIF(L1:L12,G2,N1:N12),"——")</f>
        <v>——</v>
      </c>
      <c r="G81" s="818"/>
      <c r="H81" s="819" t="str">
        <f t="shared" ref="H81:H88" si="26">IFERROR(ROUNDDOWN($F$81*I81/2,4),"——")</f>
        <v>——</v>
      </c>
      <c r="I81" s="906">
        <v>0.26</v>
      </c>
      <c r="J81" s="907">
        <f t="shared" ref="J81:J88" si="27">K81+$G81</f>
        <v>0</v>
      </c>
      <c r="K81" s="907">
        <f t="shared" ref="K81:K88" si="28">$L81+$G81</f>
        <v>0</v>
      </c>
      <c r="L81" s="907">
        <v>0</v>
      </c>
      <c r="M81" s="907">
        <f t="shared" ref="M81:N88" si="29">L81-$G81</f>
        <v>0</v>
      </c>
      <c r="N81" s="907">
        <f t="shared" si="29"/>
        <v>0</v>
      </c>
      <c r="Z81" s="654"/>
      <c r="AA81" s="652"/>
      <c r="AG81" s="656"/>
      <c r="AK81" s="652"/>
    </row>
    <row r="82" spans="1:37" ht="51">
      <c r="A82" s="809" t="s">
        <v>1722</v>
      </c>
      <c r="B82" s="820" t="str">
        <f>估价对象房地状况!G16</f>
        <v>估价对象周边道路状况、公共交通通达情况、停车便捷程度，综合评价交通便捷度较好</v>
      </c>
      <c r="C82" s="707"/>
      <c r="D82" s="815">
        <f t="shared" si="25"/>
        <v>0</v>
      </c>
      <c r="E82" s="937"/>
      <c r="F82" s="817"/>
      <c r="G82" s="818"/>
      <c r="H82" s="819" t="str">
        <f t="shared" si="26"/>
        <v>——</v>
      </c>
      <c r="I82" s="906">
        <v>0.33</v>
      </c>
      <c r="J82" s="907">
        <f t="shared" si="27"/>
        <v>0</v>
      </c>
      <c r="K82" s="907">
        <f t="shared" si="28"/>
        <v>0</v>
      </c>
      <c r="L82" s="907">
        <v>0</v>
      </c>
      <c r="M82" s="907">
        <f t="shared" si="29"/>
        <v>0</v>
      </c>
      <c r="N82" s="907">
        <f t="shared" si="29"/>
        <v>0</v>
      </c>
      <c r="Z82" s="654"/>
      <c r="AA82" s="652"/>
      <c r="AG82" s="656"/>
      <c r="AK82" s="652"/>
    </row>
    <row r="83" spans="1:37" ht="24">
      <c r="A83" s="809" t="s">
        <v>1723</v>
      </c>
      <c r="B83" s="820">
        <f>估价对象房地状况!G17</f>
        <v>0</v>
      </c>
      <c r="C83" s="707"/>
      <c r="D83" s="815">
        <f t="shared" si="25"/>
        <v>0</v>
      </c>
      <c r="E83" s="937"/>
      <c r="F83" s="817"/>
      <c r="G83" s="818"/>
      <c r="H83" s="819" t="str">
        <f t="shared" si="26"/>
        <v>——</v>
      </c>
      <c r="I83" s="906">
        <v>0.05</v>
      </c>
      <c r="J83" s="907">
        <f t="shared" si="27"/>
        <v>0</v>
      </c>
      <c r="K83" s="907">
        <f t="shared" si="28"/>
        <v>0</v>
      </c>
      <c r="L83" s="907">
        <v>0</v>
      </c>
      <c r="M83" s="907">
        <f t="shared" si="29"/>
        <v>0</v>
      </c>
      <c r="N83" s="907">
        <f t="shared" si="29"/>
        <v>0</v>
      </c>
      <c r="Z83" s="654"/>
      <c r="AA83" s="652"/>
      <c r="AG83" s="656"/>
      <c r="AK83" s="652"/>
    </row>
    <row r="84" spans="1:37" ht="14.25">
      <c r="A84" s="809" t="s">
        <v>1737</v>
      </c>
      <c r="B84" s="820">
        <f>估价对象房地状况!G22</f>
        <v>0</v>
      </c>
      <c r="C84" s="707"/>
      <c r="D84" s="815">
        <f t="shared" si="25"/>
        <v>0</v>
      </c>
      <c r="E84" s="937"/>
      <c r="F84" s="817"/>
      <c r="G84" s="818"/>
      <c r="H84" s="819" t="str">
        <f t="shared" si="26"/>
        <v>——</v>
      </c>
      <c r="I84" s="906">
        <v>0.04</v>
      </c>
      <c r="J84" s="907">
        <f t="shared" si="27"/>
        <v>0</v>
      </c>
      <c r="K84" s="907">
        <f t="shared" si="28"/>
        <v>0</v>
      </c>
      <c r="L84" s="907">
        <v>0</v>
      </c>
      <c r="M84" s="907">
        <f t="shared" si="29"/>
        <v>0</v>
      </c>
      <c r="N84" s="907">
        <f t="shared" si="29"/>
        <v>0</v>
      </c>
      <c r="Z84" s="654"/>
      <c r="AA84" s="652"/>
      <c r="AG84" s="656"/>
      <c r="AK84" s="652"/>
    </row>
    <row r="85" spans="1:37" ht="25.5">
      <c r="A85" s="809" t="s">
        <v>1729</v>
      </c>
      <c r="B85" s="359" t="str">
        <f>估价对象房地状况!G19</f>
        <v>估价对象所在区域公共配套设施齐备情况</v>
      </c>
      <c r="C85" s="707"/>
      <c r="D85" s="815">
        <f t="shared" si="25"/>
        <v>0</v>
      </c>
      <c r="E85" s="937"/>
      <c r="F85" s="817"/>
      <c r="G85" s="818"/>
      <c r="H85" s="819" t="str">
        <f t="shared" si="26"/>
        <v>——</v>
      </c>
      <c r="I85" s="906">
        <v>0.06</v>
      </c>
      <c r="J85" s="907">
        <f t="shared" si="27"/>
        <v>0</v>
      </c>
      <c r="K85" s="907">
        <f t="shared" si="28"/>
        <v>0</v>
      </c>
      <c r="L85" s="907">
        <v>0</v>
      </c>
      <c r="M85" s="907">
        <f t="shared" si="29"/>
        <v>0</v>
      </c>
      <c r="N85" s="907">
        <f t="shared" si="29"/>
        <v>0</v>
      </c>
      <c r="Z85" s="654"/>
      <c r="AA85" s="652"/>
      <c r="AG85" s="656"/>
      <c r="AK85" s="652"/>
    </row>
    <row r="86" spans="1:37" ht="25.5">
      <c r="A86" s="809" t="s">
        <v>1730</v>
      </c>
      <c r="B86" s="359" t="str">
        <f>估价对象房地状况!G20</f>
        <v>估价对象所在区域基础设施水平</v>
      </c>
      <c r="C86" s="707"/>
      <c r="D86" s="815">
        <f t="shared" si="25"/>
        <v>0</v>
      </c>
      <c r="E86" s="937"/>
      <c r="F86" s="817"/>
      <c r="G86" s="818"/>
      <c r="H86" s="819" t="str">
        <f t="shared" si="26"/>
        <v>——</v>
      </c>
      <c r="I86" s="906">
        <v>0.15</v>
      </c>
      <c r="J86" s="907">
        <f t="shared" si="27"/>
        <v>0</v>
      </c>
      <c r="K86" s="907">
        <f t="shared" si="28"/>
        <v>0</v>
      </c>
      <c r="L86" s="907">
        <v>0</v>
      </c>
      <c r="M86" s="907">
        <f t="shared" si="29"/>
        <v>0</v>
      </c>
      <c r="N86" s="907">
        <f t="shared" si="29"/>
        <v>0</v>
      </c>
      <c r="Z86" s="654"/>
      <c r="AA86" s="652"/>
      <c r="AG86" s="656"/>
      <c r="AK86" s="652"/>
    </row>
    <row r="87" spans="1:37" ht="24">
      <c r="A87" s="809" t="s">
        <v>1727</v>
      </c>
      <c r="B87" s="823" t="s">
        <v>1741</v>
      </c>
      <c r="C87" s="707"/>
      <c r="D87" s="815">
        <f t="shared" si="25"/>
        <v>0</v>
      </c>
      <c r="E87" s="937"/>
      <c r="F87" s="817"/>
      <c r="G87" s="818"/>
      <c r="H87" s="819" t="str">
        <f t="shared" si="26"/>
        <v>——</v>
      </c>
      <c r="I87" s="906">
        <v>0.05</v>
      </c>
      <c r="J87" s="907">
        <f t="shared" si="27"/>
        <v>0</v>
      </c>
      <c r="K87" s="907">
        <f t="shared" si="28"/>
        <v>0</v>
      </c>
      <c r="L87" s="907">
        <v>0</v>
      </c>
      <c r="M87" s="907">
        <f t="shared" si="29"/>
        <v>0</v>
      </c>
      <c r="N87" s="907">
        <f t="shared" si="29"/>
        <v>0</v>
      </c>
      <c r="Z87" s="654"/>
      <c r="AA87" s="652"/>
      <c r="AG87" s="656"/>
      <c r="AK87" s="652"/>
    </row>
    <row r="88" spans="1:37" ht="38.25">
      <c r="A88" s="825" t="s">
        <v>1742</v>
      </c>
      <c r="B88" s="940" t="str">
        <f>估价对象房地状况!G18</f>
        <v>该园区内是否有污染型企业，绿化情况，卫生条件，整体环境状况判断</v>
      </c>
      <c r="C88" s="707"/>
      <c r="D88" s="815">
        <f t="shared" si="25"/>
        <v>0</v>
      </c>
      <c r="E88" s="939"/>
      <c r="F88" s="817"/>
      <c r="G88" s="818"/>
      <c r="H88" s="819" t="str">
        <f t="shared" si="26"/>
        <v>——</v>
      </c>
      <c r="I88" s="908">
        <v>0.06</v>
      </c>
      <c r="J88" s="907">
        <f t="shared" si="27"/>
        <v>0</v>
      </c>
      <c r="K88" s="907">
        <f t="shared" si="28"/>
        <v>0</v>
      </c>
      <c r="L88" s="907">
        <v>0</v>
      </c>
      <c r="M88" s="907">
        <f t="shared" si="29"/>
        <v>0</v>
      </c>
      <c r="N88" s="907">
        <f t="shared" si="29"/>
        <v>0</v>
      </c>
      <c r="Z88" s="654"/>
      <c r="AA88" s="652"/>
      <c r="AG88" s="656"/>
      <c r="AK88" s="652"/>
    </row>
    <row r="90" spans="1:37">
      <c r="A90" s="3522" t="s">
        <v>1743</v>
      </c>
      <c r="B90" s="3522"/>
      <c r="C90" s="3522"/>
      <c r="D90" s="3522"/>
      <c r="E90" s="3522"/>
      <c r="F90" s="3522"/>
      <c r="G90" s="3522"/>
      <c r="H90" s="3522"/>
      <c r="I90" s="3522"/>
      <c r="J90" s="3522"/>
      <c r="K90" s="941"/>
      <c r="L90" s="941"/>
      <c r="M90" s="941"/>
      <c r="N90" s="941"/>
    </row>
    <row r="91" spans="1:37">
      <c r="A91" s="3533" t="s">
        <v>1744</v>
      </c>
      <c r="B91" s="3533" t="s">
        <v>1745</v>
      </c>
      <c r="C91" s="776" t="s">
        <v>1746</v>
      </c>
      <c r="D91" s="777"/>
      <c r="E91" s="777"/>
      <c r="F91" s="777"/>
      <c r="G91" s="777"/>
      <c r="H91" s="777"/>
      <c r="I91" s="777"/>
      <c r="J91" s="962"/>
      <c r="K91" s="963"/>
      <c r="L91" s="963"/>
      <c r="M91" s="963"/>
      <c r="N91" s="963"/>
    </row>
    <row r="92" spans="1:37">
      <c r="A92" s="3533"/>
      <c r="B92" s="3533"/>
      <c r="C92" s="775" t="s">
        <v>1608</v>
      </c>
      <c r="D92" s="775" t="s">
        <v>1609</v>
      </c>
      <c r="E92" s="775" t="s">
        <v>1610</v>
      </c>
      <c r="F92" s="775" t="s">
        <v>1611</v>
      </c>
      <c r="G92" s="775" t="s">
        <v>1612</v>
      </c>
      <c r="H92" s="775" t="s">
        <v>1613</v>
      </c>
      <c r="I92" s="775" t="s">
        <v>1614</v>
      </c>
      <c r="J92" s="775" t="s">
        <v>1615</v>
      </c>
      <c r="K92" s="775" t="s">
        <v>1616</v>
      </c>
      <c r="L92" s="775" t="s">
        <v>1617</v>
      </c>
      <c r="M92" s="775" t="s">
        <v>1618</v>
      </c>
      <c r="N92" s="775" t="s">
        <v>1619</v>
      </c>
    </row>
    <row r="93" spans="1:37">
      <c r="A93" s="3534" t="s">
        <v>1747</v>
      </c>
      <c r="B93" s="942">
        <v>1</v>
      </c>
      <c r="C93" s="943">
        <v>1.9361999999999999</v>
      </c>
      <c r="D93" s="943">
        <v>1.9361999999999999</v>
      </c>
      <c r="E93" s="943">
        <v>1.8629</v>
      </c>
      <c r="F93" s="943">
        <v>1.8629</v>
      </c>
      <c r="G93" s="943">
        <v>1.8629</v>
      </c>
      <c r="H93" s="943">
        <v>1.8629</v>
      </c>
      <c r="I93" s="943">
        <v>1.8629</v>
      </c>
      <c r="J93" s="943">
        <v>1.9419999999999999</v>
      </c>
      <c r="K93" s="943">
        <v>1.9419999999999999</v>
      </c>
      <c r="L93" s="943">
        <v>1.9419999999999999</v>
      </c>
      <c r="M93" s="943">
        <v>1.9419999999999999</v>
      </c>
      <c r="N93" s="943">
        <v>1.9419999999999999</v>
      </c>
    </row>
    <row r="94" spans="1:37">
      <c r="A94" s="3535"/>
      <c r="B94" s="942">
        <v>2</v>
      </c>
      <c r="C94" s="943">
        <v>1.4198</v>
      </c>
      <c r="D94" s="943">
        <v>1.4198</v>
      </c>
      <c r="E94" s="943">
        <v>1.3371999999999999</v>
      </c>
      <c r="F94" s="943">
        <v>1.3371999999999999</v>
      </c>
      <c r="G94" s="943">
        <v>1.3371999999999999</v>
      </c>
      <c r="H94" s="943">
        <v>1.3371999999999999</v>
      </c>
      <c r="I94" s="943">
        <v>1.3371999999999999</v>
      </c>
      <c r="J94" s="943">
        <v>1.2799</v>
      </c>
      <c r="K94" s="943">
        <v>1.2799</v>
      </c>
      <c r="L94" s="943">
        <v>1.2799</v>
      </c>
      <c r="M94" s="943">
        <v>1.2799</v>
      </c>
      <c r="N94" s="943">
        <v>1.2799</v>
      </c>
    </row>
    <row r="95" spans="1:37">
      <c r="A95" s="3535"/>
      <c r="B95" s="942">
        <v>3</v>
      </c>
      <c r="C95" s="943">
        <v>1.1594</v>
      </c>
      <c r="D95" s="943">
        <v>1.1594</v>
      </c>
      <c r="E95" s="943">
        <v>1.0788</v>
      </c>
      <c r="F95" s="943">
        <v>1.0788</v>
      </c>
      <c r="G95" s="943">
        <v>1.0788</v>
      </c>
      <c r="H95" s="943">
        <v>1.0788</v>
      </c>
      <c r="I95" s="943">
        <v>1.0788</v>
      </c>
      <c r="J95" s="943">
        <v>1.0072000000000001</v>
      </c>
      <c r="K95" s="943">
        <v>1.0072000000000001</v>
      </c>
      <c r="L95" s="943">
        <v>1.0072000000000001</v>
      </c>
      <c r="M95" s="943">
        <v>1.0072000000000001</v>
      </c>
      <c r="N95" s="943">
        <v>1.0072000000000001</v>
      </c>
    </row>
    <row r="96" spans="1:37">
      <c r="A96" s="3535"/>
      <c r="B96" s="942">
        <v>4</v>
      </c>
      <c r="C96" s="943">
        <v>0.96220000000000006</v>
      </c>
      <c r="D96" s="943">
        <v>0.96220000000000006</v>
      </c>
      <c r="E96" s="943">
        <v>0.86560000000000004</v>
      </c>
      <c r="F96" s="943">
        <v>0.86560000000000004</v>
      </c>
      <c r="G96" s="943">
        <v>0.86560000000000004</v>
      </c>
      <c r="H96" s="943">
        <v>0.86560000000000004</v>
      </c>
      <c r="I96" s="943">
        <v>0.86560000000000004</v>
      </c>
      <c r="J96" s="943">
        <v>0.75249999999999995</v>
      </c>
      <c r="K96" s="943">
        <v>0.75249999999999995</v>
      </c>
      <c r="L96" s="943">
        <v>0.75249999999999995</v>
      </c>
      <c r="M96" s="943">
        <v>0.75249999999999995</v>
      </c>
      <c r="N96" s="943">
        <v>0.75249999999999995</v>
      </c>
    </row>
    <row r="97" spans="1:14">
      <c r="A97" s="3535"/>
      <c r="B97" s="942">
        <v>5</v>
      </c>
      <c r="C97" s="943">
        <v>0.8417</v>
      </c>
      <c r="D97" s="943">
        <v>0.8417</v>
      </c>
      <c r="E97" s="943">
        <v>0.73709999999999998</v>
      </c>
      <c r="F97" s="943">
        <v>0.73709999999999998</v>
      </c>
      <c r="G97" s="943">
        <v>0.73709999999999998</v>
      </c>
      <c r="H97" s="943">
        <v>0.73709999999999998</v>
      </c>
      <c r="I97" s="943">
        <v>0.73709999999999998</v>
      </c>
      <c r="J97" s="943">
        <v>0.56589999999999996</v>
      </c>
      <c r="K97" s="943">
        <v>0.56589999999999996</v>
      </c>
      <c r="L97" s="943">
        <v>0.56589999999999996</v>
      </c>
      <c r="M97" s="943">
        <v>0.56589999999999996</v>
      </c>
      <c r="N97" s="943">
        <v>0.56589999999999996</v>
      </c>
    </row>
    <row r="98" spans="1:14">
      <c r="A98" s="3535"/>
      <c r="B98" s="942">
        <v>6</v>
      </c>
      <c r="C98" s="943">
        <v>0.76080000000000003</v>
      </c>
      <c r="D98" s="943">
        <v>0.76080000000000003</v>
      </c>
      <c r="E98" s="943">
        <v>0.6482</v>
      </c>
      <c r="F98" s="943">
        <v>0.6482</v>
      </c>
      <c r="G98" s="943">
        <v>0.6482</v>
      </c>
      <c r="H98" s="943">
        <v>0.6482</v>
      </c>
      <c r="I98" s="943">
        <v>0.6482</v>
      </c>
      <c r="J98" s="943">
        <v>0.45250000000000001</v>
      </c>
      <c r="K98" s="943">
        <v>0.45250000000000001</v>
      </c>
      <c r="L98" s="943">
        <v>0.45250000000000001</v>
      </c>
      <c r="M98" s="943">
        <v>0.45250000000000001</v>
      </c>
      <c r="N98" s="943">
        <v>0.45250000000000001</v>
      </c>
    </row>
    <row r="99" spans="1:14">
      <c r="A99" s="3535"/>
      <c r="B99" s="942" t="s">
        <v>1625</v>
      </c>
      <c r="C99" s="944">
        <f>$I$3</f>
        <v>0</v>
      </c>
      <c r="D99" s="944">
        <f t="shared" ref="D99:N99" si="30">$I$3</f>
        <v>0</v>
      </c>
      <c r="E99" s="944">
        <f t="shared" si="30"/>
        <v>0</v>
      </c>
      <c r="F99" s="944">
        <f t="shared" si="30"/>
        <v>0</v>
      </c>
      <c r="G99" s="944">
        <f t="shared" si="30"/>
        <v>0</v>
      </c>
      <c r="H99" s="944">
        <f t="shared" si="30"/>
        <v>0</v>
      </c>
      <c r="I99" s="944">
        <f t="shared" si="30"/>
        <v>0</v>
      </c>
      <c r="J99" s="944">
        <f t="shared" si="30"/>
        <v>0</v>
      </c>
      <c r="K99" s="944">
        <f t="shared" si="30"/>
        <v>0</v>
      </c>
      <c r="L99" s="944">
        <f t="shared" si="30"/>
        <v>0</v>
      </c>
      <c r="M99" s="944">
        <f t="shared" si="30"/>
        <v>0</v>
      </c>
      <c r="N99" s="944">
        <f t="shared" si="30"/>
        <v>0</v>
      </c>
    </row>
    <row r="100" spans="1:14">
      <c r="A100" s="3536"/>
      <c r="B100" s="942">
        <v>7</v>
      </c>
      <c r="C100" s="945">
        <f>(-0.163*(C99^2)-0.59*C99+7617)*(10^(-4))</f>
        <v>0.76170000000000004</v>
      </c>
      <c r="D100" s="945">
        <f>(-0.163*(D99^2)-0.59*D99+7617)*(10^(-4))</f>
        <v>0.76170000000000004</v>
      </c>
      <c r="E100" s="945">
        <f>(-0.161*(E99^2)-7.509*E99+6533)*(10^(-4))</f>
        <v>0.65329999999999999</v>
      </c>
      <c r="F100" s="945">
        <f>(-0.161*(F99^2)-7.509*F99+6533)*(10^(-4))</f>
        <v>0.65329999999999999</v>
      </c>
      <c r="G100" s="945">
        <f>(-0.161*(G99^2)-7.509*G99+6533)*(10^(-4))</f>
        <v>0.65329999999999999</v>
      </c>
      <c r="H100" s="945">
        <f>(-0.161*(H99^2)-7.509*H99+6533)*(10^(-4))</f>
        <v>0.65329999999999999</v>
      </c>
      <c r="I100" s="945">
        <f>(-0.161*(I99^2)-7.509*I99+6533)*(10^(-4))</f>
        <v>0.65329999999999999</v>
      </c>
      <c r="J100" s="945">
        <f>(-0.214*(J99^2)-21.991*J99+4665)*(10^(-4))</f>
        <v>0.46650000000000003</v>
      </c>
      <c r="K100" s="945">
        <f>(-0.214*(K99^2)-21.991*K99+4665)*(10^(-4))</f>
        <v>0.46650000000000003</v>
      </c>
      <c r="L100" s="945">
        <f>(-0.214*(L99^2)-21.991*L99+4665)*(10^(-4))</f>
        <v>0.46650000000000003</v>
      </c>
      <c r="M100" s="945">
        <f>(-0.214*(M99^2)-21.991*M99+4665)*(10^(-4))</f>
        <v>0.46650000000000003</v>
      </c>
      <c r="N100" s="945">
        <f>(-0.214*(N99^2)-21.991*N99+4665)*(10^(-4))</f>
        <v>0.46650000000000003</v>
      </c>
    </row>
    <row r="101" spans="1:14">
      <c r="A101" s="3534" t="s">
        <v>1748</v>
      </c>
      <c r="B101" s="946" t="s">
        <v>1749</v>
      </c>
      <c r="C101" s="947">
        <f>$G$3</f>
        <v>2.56</v>
      </c>
      <c r="D101" s="947">
        <f t="shared" ref="D101:N101" si="31">$G$3</f>
        <v>2.56</v>
      </c>
      <c r="E101" s="947">
        <f t="shared" si="31"/>
        <v>2.56</v>
      </c>
      <c r="F101" s="947">
        <f t="shared" si="31"/>
        <v>2.56</v>
      </c>
      <c r="G101" s="947">
        <f t="shared" si="31"/>
        <v>2.56</v>
      </c>
      <c r="H101" s="947">
        <f t="shared" si="31"/>
        <v>2.56</v>
      </c>
      <c r="I101" s="947">
        <f t="shared" si="31"/>
        <v>2.56</v>
      </c>
      <c r="J101" s="947">
        <f t="shared" si="31"/>
        <v>2.56</v>
      </c>
      <c r="K101" s="947">
        <f t="shared" si="31"/>
        <v>2.56</v>
      </c>
      <c r="L101" s="947">
        <f t="shared" si="31"/>
        <v>2.56</v>
      </c>
      <c r="M101" s="947">
        <f t="shared" si="31"/>
        <v>2.56</v>
      </c>
      <c r="N101" s="947">
        <f t="shared" si="31"/>
        <v>2.56</v>
      </c>
    </row>
    <row r="102" spans="1:14">
      <c r="A102" s="3535"/>
      <c r="B102" s="942">
        <v>1</v>
      </c>
      <c r="C102" s="943">
        <f>1.9362/C101</f>
        <v>0.75632812500000002</v>
      </c>
      <c r="D102" s="943">
        <f>1.9362/D101</f>
        <v>0.75632812500000002</v>
      </c>
      <c r="E102" s="943">
        <f>1.8629/E101</f>
        <v>0.72769531249999997</v>
      </c>
      <c r="F102" s="943">
        <f>1.8629/F101</f>
        <v>0.72769531249999997</v>
      </c>
      <c r="G102" s="943">
        <f>1.8629/G101</f>
        <v>0.72769531249999997</v>
      </c>
      <c r="H102" s="943">
        <f>1.8629/H101</f>
        <v>0.72769531249999997</v>
      </c>
      <c r="I102" s="943">
        <f>1.8629/I101</f>
        <v>0.72769531249999997</v>
      </c>
      <c r="J102" s="943">
        <f>1.942/J101</f>
        <v>0.75859374999999996</v>
      </c>
      <c r="K102" s="943">
        <f>1.942/K101</f>
        <v>0.75859374999999996</v>
      </c>
      <c r="L102" s="943">
        <f>1.942/L101</f>
        <v>0.75859374999999996</v>
      </c>
      <c r="M102" s="943">
        <f>1.942/M101</f>
        <v>0.75859374999999996</v>
      </c>
      <c r="N102" s="943">
        <f>1.942/N101</f>
        <v>0.75859374999999996</v>
      </c>
    </row>
    <row r="103" spans="1:14">
      <c r="A103" s="3535"/>
      <c r="B103" s="942">
        <v>2</v>
      </c>
      <c r="C103" s="943">
        <f>1.4198/C101</f>
        <v>0.55460937499999996</v>
      </c>
      <c r="D103" s="943">
        <f>1.4198/D101</f>
        <v>0.55460937499999996</v>
      </c>
      <c r="E103" s="943">
        <f>1.3372/E101</f>
        <v>0.52234375</v>
      </c>
      <c r="F103" s="943">
        <f>1.3372/F101</f>
        <v>0.52234375</v>
      </c>
      <c r="G103" s="943">
        <f>1.3372/G101</f>
        <v>0.52234375</v>
      </c>
      <c r="H103" s="943">
        <f>1.3372/H101</f>
        <v>0.52234375</v>
      </c>
      <c r="I103" s="943">
        <f>1.3372/I101</f>
        <v>0.52234375</v>
      </c>
      <c r="J103" s="943">
        <f>1.2799/J101</f>
        <v>0.49996093749999998</v>
      </c>
      <c r="K103" s="943">
        <f>1.2799/K101</f>
        <v>0.49996093749999998</v>
      </c>
      <c r="L103" s="943">
        <f>1.2799/L101</f>
        <v>0.49996093749999998</v>
      </c>
      <c r="M103" s="943">
        <f>1.2799/M101</f>
        <v>0.49996093749999998</v>
      </c>
      <c r="N103" s="943">
        <f>1.2799/N101</f>
        <v>0.49996093749999998</v>
      </c>
    </row>
    <row r="104" spans="1:14">
      <c r="A104" s="3535"/>
      <c r="B104" s="942">
        <v>3</v>
      </c>
      <c r="C104" s="943">
        <f>1.1594/C101</f>
        <v>0.45289062499999999</v>
      </c>
      <c r="D104" s="943">
        <f>1.1594/D101</f>
        <v>0.45289062499999999</v>
      </c>
      <c r="E104" s="943">
        <f>1.0788/E101</f>
        <v>0.42140624999999998</v>
      </c>
      <c r="F104" s="943">
        <f>1.0788/F101</f>
        <v>0.42140624999999998</v>
      </c>
      <c r="G104" s="943">
        <f>1.0788/G101</f>
        <v>0.42140624999999998</v>
      </c>
      <c r="H104" s="943">
        <f>1.0788/H101</f>
        <v>0.42140624999999998</v>
      </c>
      <c r="I104" s="943">
        <f>1.0788/I101</f>
        <v>0.42140624999999998</v>
      </c>
      <c r="J104" s="943">
        <f>1.0072/J101</f>
        <v>0.3934375</v>
      </c>
      <c r="K104" s="943">
        <f>1.0072/K101</f>
        <v>0.3934375</v>
      </c>
      <c r="L104" s="943">
        <f>1.0072/L101</f>
        <v>0.3934375</v>
      </c>
      <c r="M104" s="943">
        <f>1.0072/M101</f>
        <v>0.3934375</v>
      </c>
      <c r="N104" s="943">
        <f>1.0072/N101</f>
        <v>0.3934375</v>
      </c>
    </row>
    <row r="105" spans="1:14">
      <c r="A105" s="3535"/>
      <c r="B105" s="942">
        <v>4</v>
      </c>
      <c r="C105" s="943">
        <f>0.9622/C101</f>
        <v>0.375859375</v>
      </c>
      <c r="D105" s="943">
        <f>0.9622/D101</f>
        <v>0.375859375</v>
      </c>
      <c r="E105" s="943">
        <f>0.8656/E101</f>
        <v>0.33812500000000001</v>
      </c>
      <c r="F105" s="943">
        <f>0.8656/F101</f>
        <v>0.33812500000000001</v>
      </c>
      <c r="G105" s="943">
        <f>0.8656/G101</f>
        <v>0.33812500000000001</v>
      </c>
      <c r="H105" s="943">
        <f>0.8656/H101</f>
        <v>0.33812500000000001</v>
      </c>
      <c r="I105" s="943">
        <f>0.8656/I101</f>
        <v>0.33812500000000001</v>
      </c>
      <c r="J105" s="943">
        <f>0.7525/J101</f>
        <v>0.2939453125</v>
      </c>
      <c r="K105" s="943">
        <f>0.7525/K101</f>
        <v>0.2939453125</v>
      </c>
      <c r="L105" s="943">
        <f>0.7525/L101</f>
        <v>0.2939453125</v>
      </c>
      <c r="M105" s="943">
        <f>0.7525/M101</f>
        <v>0.2939453125</v>
      </c>
      <c r="N105" s="943">
        <f>0.7525/N101</f>
        <v>0.2939453125</v>
      </c>
    </row>
    <row r="106" spans="1:14">
      <c r="A106" s="3535"/>
      <c r="B106" s="942">
        <v>5</v>
      </c>
      <c r="C106" s="943">
        <f>0.8417/C101</f>
        <v>0.32878906250000001</v>
      </c>
      <c r="D106" s="943">
        <f>0.8417/D101</f>
        <v>0.32878906250000001</v>
      </c>
      <c r="E106" s="943">
        <f>0.7371/E101</f>
        <v>0.28792968749999998</v>
      </c>
      <c r="F106" s="943">
        <f>0.7371/F101</f>
        <v>0.28792968749999998</v>
      </c>
      <c r="G106" s="943">
        <f>0.7371/G101</f>
        <v>0.28792968749999998</v>
      </c>
      <c r="H106" s="943">
        <f>0.7371/H101</f>
        <v>0.28792968749999998</v>
      </c>
      <c r="I106" s="943">
        <f>0.7371/I101</f>
        <v>0.28792968749999998</v>
      </c>
      <c r="J106" s="943">
        <f>0.5659/J101</f>
        <v>0.22105468750000001</v>
      </c>
      <c r="K106" s="943">
        <f>0.5659/K101</f>
        <v>0.22105468750000001</v>
      </c>
      <c r="L106" s="943">
        <f>0.5659/L101</f>
        <v>0.22105468750000001</v>
      </c>
      <c r="M106" s="943">
        <f>0.5659/M101</f>
        <v>0.22105468750000001</v>
      </c>
      <c r="N106" s="943">
        <f>0.5659/N101</f>
        <v>0.22105468750000001</v>
      </c>
    </row>
    <row r="107" spans="1:14">
      <c r="A107" s="3535"/>
      <c r="B107" s="942">
        <v>6</v>
      </c>
      <c r="C107" s="943">
        <f>0.7608/C101</f>
        <v>0.29718749999999999</v>
      </c>
      <c r="D107" s="943">
        <f>0.7608/D101</f>
        <v>0.29718749999999999</v>
      </c>
      <c r="E107" s="943">
        <f>0.6482/E101</f>
        <v>0.25320312499999997</v>
      </c>
      <c r="F107" s="943">
        <f>0.6482/F101</f>
        <v>0.25320312499999997</v>
      </c>
      <c r="G107" s="943">
        <f>0.6482/G101</f>
        <v>0.25320312499999997</v>
      </c>
      <c r="H107" s="943">
        <f>0.6482/H101</f>
        <v>0.25320312499999997</v>
      </c>
      <c r="I107" s="943">
        <f>0.6482/I101</f>
        <v>0.25320312499999997</v>
      </c>
      <c r="J107" s="943">
        <f>0.4525/J101</f>
        <v>0.1767578125</v>
      </c>
      <c r="K107" s="943">
        <f>0.4525/K101</f>
        <v>0.1767578125</v>
      </c>
      <c r="L107" s="943">
        <f>0.4525/L101</f>
        <v>0.1767578125</v>
      </c>
      <c r="M107" s="943">
        <f>0.4525/M101</f>
        <v>0.1767578125</v>
      </c>
      <c r="N107" s="943">
        <f>0.4525/N101</f>
        <v>0.1767578125</v>
      </c>
    </row>
    <row r="108" spans="1:14">
      <c r="A108" s="3535"/>
      <c r="B108" s="3537" t="s">
        <v>1639</v>
      </c>
      <c r="C108" s="944">
        <f>C99</f>
        <v>0</v>
      </c>
      <c r="D108" s="944">
        <f t="shared" ref="D108:N108" si="32">D99</f>
        <v>0</v>
      </c>
      <c r="E108" s="944">
        <f t="shared" si="32"/>
        <v>0</v>
      </c>
      <c r="F108" s="944">
        <f t="shared" si="32"/>
        <v>0</v>
      </c>
      <c r="G108" s="944">
        <f t="shared" si="32"/>
        <v>0</v>
      </c>
      <c r="H108" s="944">
        <f t="shared" si="32"/>
        <v>0</v>
      </c>
      <c r="I108" s="944">
        <f t="shared" si="32"/>
        <v>0</v>
      </c>
      <c r="J108" s="944">
        <f t="shared" si="32"/>
        <v>0</v>
      </c>
      <c r="K108" s="944">
        <f t="shared" si="32"/>
        <v>0</v>
      </c>
      <c r="L108" s="944">
        <f t="shared" si="32"/>
        <v>0</v>
      </c>
      <c r="M108" s="944">
        <f t="shared" si="32"/>
        <v>0</v>
      </c>
      <c r="N108" s="944">
        <f t="shared" si="32"/>
        <v>0</v>
      </c>
    </row>
    <row r="109" spans="1:14">
      <c r="A109" s="3536"/>
      <c r="B109" s="3538"/>
      <c r="C109" s="945">
        <f>(-0.163*(C108^2)-0.59*C108+7617)*(10^(-4))/C101</f>
        <v>0.29753906250000001</v>
      </c>
      <c r="D109" s="945">
        <f>(-0.163*(D108^2)-0.59*D108+7617)*(10^(-4))/D101</f>
        <v>0.29753906250000001</v>
      </c>
      <c r="E109" s="945">
        <f>(-0.161*(E108^2)-7.509*E108+6533)*(10^(-4))/E101</f>
        <v>0.25519531249999999</v>
      </c>
      <c r="F109" s="945">
        <f>(-0.161*(F108^2)-7.509*F108+6533)*(10^(-4))/F101</f>
        <v>0.25519531249999999</v>
      </c>
      <c r="G109" s="945">
        <f>(-0.161*(G108^2)-7.509*G108+6533)*(10^(-4))/G101</f>
        <v>0.25519531249999999</v>
      </c>
      <c r="H109" s="945">
        <f>(-0.161*(H108^2)-7.509*H108+6533)*(10^(-4))/H101</f>
        <v>0.25519531249999999</v>
      </c>
      <c r="I109" s="945">
        <f>(-0.161*(I108^2)-7.509*I108+6533)*(10^(-4))/I101</f>
        <v>0.25519531249999999</v>
      </c>
      <c r="J109" s="945">
        <f>(-0.214*(J108^2)-21.991*J108+4665)*(10^(-4))/J101</f>
        <v>0.18222656249999999</v>
      </c>
      <c r="K109" s="945">
        <f>(-0.214*(K108^2)-21.991*K108+4665)*(10^(-4))/K101</f>
        <v>0.18222656249999999</v>
      </c>
      <c r="L109" s="945">
        <f>(-0.214*(L108^2)-21.991*L108+4665)*(10^(-4))/L101</f>
        <v>0.18222656249999999</v>
      </c>
      <c r="M109" s="945">
        <f>(-0.214*(M108^2)-21.991*M108+4665)*(10^(-4))/M101</f>
        <v>0.18222656249999999</v>
      </c>
      <c r="N109" s="945">
        <f>(-0.214*(N108^2)-21.991*N108+4665)*(10^(-4))/N101</f>
        <v>0.18222656249999999</v>
      </c>
    </row>
    <row r="110" spans="1:14">
      <c r="A110" s="3524" t="s">
        <v>1750</v>
      </c>
      <c r="B110" s="3524"/>
      <c r="C110" s="3524"/>
      <c r="D110" s="3524"/>
      <c r="E110" s="3524"/>
      <c r="F110" s="3524"/>
      <c r="G110" s="3524"/>
      <c r="H110" s="3524"/>
      <c r="I110" s="3524"/>
      <c r="J110" s="3524"/>
      <c r="K110" s="948"/>
      <c r="L110" s="948"/>
      <c r="M110" s="948"/>
      <c r="N110" s="948"/>
    </row>
    <row r="113" spans="1:13" ht="24.75">
      <c r="A113" s="949" t="s">
        <v>1751</v>
      </c>
      <c r="B113" s="950">
        <f>G3</f>
        <v>2.56</v>
      </c>
      <c r="C113" s="951" t="s">
        <v>1752</v>
      </c>
      <c r="D113" s="952">
        <f>SUMPRODUCT((A115:A118=F113)*(B114:M114=H113)*B115:M118)</f>
        <v>0</v>
      </c>
      <c r="E113" s="662" t="s">
        <v>1583</v>
      </c>
      <c r="F113" s="953">
        <f>E2</f>
        <v>0</v>
      </c>
      <c r="G113" s="662" t="s">
        <v>1584</v>
      </c>
      <c r="H113" s="953">
        <f>G2</f>
        <v>0</v>
      </c>
      <c r="I113" s="662"/>
      <c r="J113" s="964"/>
      <c r="K113" s="964"/>
      <c r="L113" s="964"/>
      <c r="M113" s="964"/>
    </row>
    <row r="114" spans="1:13">
      <c r="A114" s="954"/>
      <c r="B114" s="955" t="s">
        <v>1753</v>
      </c>
      <c r="C114" s="955" t="s">
        <v>1754</v>
      </c>
      <c r="D114" s="955" t="s">
        <v>1755</v>
      </c>
      <c r="E114" s="956" t="s">
        <v>1756</v>
      </c>
      <c r="F114" s="956" t="s">
        <v>1757</v>
      </c>
      <c r="G114" s="956" t="s">
        <v>1758</v>
      </c>
      <c r="H114" s="957" t="s">
        <v>1759</v>
      </c>
      <c r="I114" s="957" t="s">
        <v>1760</v>
      </c>
      <c r="J114" s="965" t="s">
        <v>1761</v>
      </c>
      <c r="K114" s="965" t="s">
        <v>1762</v>
      </c>
      <c r="L114" s="965" t="s">
        <v>1763</v>
      </c>
      <c r="M114" s="966" t="s">
        <v>1764</v>
      </c>
    </row>
    <row r="115" spans="1:13">
      <c r="A115" s="958" t="s">
        <v>1684</v>
      </c>
      <c r="B115" s="959">
        <f>ROUND(0.9335-0.0094*B113,4)</f>
        <v>0.90939999999999999</v>
      </c>
      <c r="C115" s="959">
        <f>B115</f>
        <v>0.90939999999999999</v>
      </c>
      <c r="D115" s="959">
        <f>ROUND(0.8331-0.0109*B113,4)</f>
        <v>0.80520000000000003</v>
      </c>
      <c r="E115" s="959">
        <f>D115</f>
        <v>0.80520000000000003</v>
      </c>
      <c r="F115" s="959">
        <f>E115</f>
        <v>0.80520000000000003</v>
      </c>
      <c r="G115" s="959">
        <f>F115</f>
        <v>0.80520000000000003</v>
      </c>
      <c r="H115" s="959">
        <f>G115</f>
        <v>0.80520000000000003</v>
      </c>
      <c r="I115" s="959">
        <f>ROUND(0.689-0.0155*B113,4)</f>
        <v>0.64929999999999999</v>
      </c>
      <c r="J115" s="959">
        <f t="shared" ref="J115:M118" si="33">I115</f>
        <v>0.64929999999999999</v>
      </c>
      <c r="K115" s="959">
        <f t="shared" si="33"/>
        <v>0.64929999999999999</v>
      </c>
      <c r="L115" s="959">
        <f t="shared" si="33"/>
        <v>0.64929999999999999</v>
      </c>
      <c r="M115" s="967">
        <f t="shared" si="33"/>
        <v>0.64929999999999999</v>
      </c>
    </row>
    <row r="116" spans="1:13">
      <c r="A116" s="958" t="s">
        <v>1685</v>
      </c>
      <c r="B116" s="959">
        <f>ROUND(0.949-0.012*B113,4)</f>
        <v>0.91830000000000001</v>
      </c>
      <c r="C116" s="959">
        <f>B116</f>
        <v>0.91830000000000001</v>
      </c>
      <c r="D116" s="959">
        <f>ROUND(0.8567-0.013*B113,4)</f>
        <v>0.82340000000000002</v>
      </c>
      <c r="E116" s="959">
        <f t="shared" ref="E116:H117" si="34">D116</f>
        <v>0.82340000000000002</v>
      </c>
      <c r="F116" s="959">
        <f t="shared" si="34"/>
        <v>0.82340000000000002</v>
      </c>
      <c r="G116" s="959">
        <f t="shared" si="34"/>
        <v>0.82340000000000002</v>
      </c>
      <c r="H116" s="959">
        <f t="shared" si="34"/>
        <v>0.82340000000000002</v>
      </c>
      <c r="I116" s="959">
        <f>ROUND(0.7694-0.014*B113,4)</f>
        <v>0.73360000000000003</v>
      </c>
      <c r="J116" s="959">
        <f t="shared" si="33"/>
        <v>0.73360000000000003</v>
      </c>
      <c r="K116" s="959">
        <f t="shared" si="33"/>
        <v>0.73360000000000003</v>
      </c>
      <c r="L116" s="959">
        <f t="shared" si="33"/>
        <v>0.73360000000000003</v>
      </c>
      <c r="M116" s="967">
        <f t="shared" si="33"/>
        <v>0.73360000000000003</v>
      </c>
    </row>
    <row r="117" spans="1:13">
      <c r="A117" s="958" t="s">
        <v>1686</v>
      </c>
      <c r="B117" s="959">
        <f>ROUND(0.8808-0.006*B113,4)</f>
        <v>0.86539999999999995</v>
      </c>
      <c r="C117" s="959">
        <f>B117</f>
        <v>0.86539999999999995</v>
      </c>
      <c r="D117" s="959">
        <f>ROUND(0.8748-0.008*B113,4)</f>
        <v>0.85429999999999995</v>
      </c>
      <c r="E117" s="959">
        <f t="shared" si="34"/>
        <v>0.85429999999999995</v>
      </c>
      <c r="F117" s="959">
        <f t="shared" si="34"/>
        <v>0.85429999999999995</v>
      </c>
      <c r="G117" s="959">
        <f t="shared" si="34"/>
        <v>0.85429999999999995</v>
      </c>
      <c r="H117" s="959">
        <f t="shared" si="34"/>
        <v>0.85429999999999995</v>
      </c>
      <c r="I117" s="959">
        <f>ROUND(0.7412-0.0095*B113,4)</f>
        <v>0.71689999999999998</v>
      </c>
      <c r="J117" s="959">
        <f t="shared" si="33"/>
        <v>0.71689999999999998</v>
      </c>
      <c r="K117" s="959">
        <f t="shared" si="33"/>
        <v>0.71689999999999998</v>
      </c>
      <c r="L117" s="959">
        <f t="shared" si="33"/>
        <v>0.71689999999999998</v>
      </c>
      <c r="M117" s="967">
        <f t="shared" si="33"/>
        <v>0.71689999999999998</v>
      </c>
    </row>
    <row r="118" spans="1:13">
      <c r="A118" s="960" t="s">
        <v>1687</v>
      </c>
      <c r="B118" s="961">
        <f>ROUND(0.7275-0.01*B113,4)</f>
        <v>0.70189999999999997</v>
      </c>
      <c r="C118" s="961">
        <f>B118</f>
        <v>0.70189999999999997</v>
      </c>
      <c r="D118" s="961">
        <f>ROUND(0.7043-0.012*B113,4)</f>
        <v>0.67359999999999998</v>
      </c>
      <c r="E118" s="961">
        <f>D118</f>
        <v>0.67359999999999998</v>
      </c>
      <c r="F118" s="961">
        <f>E118</f>
        <v>0.67359999999999998</v>
      </c>
      <c r="G118" s="961">
        <f>ROUND(0.6299-0.0122*B113,4)</f>
        <v>0.59870000000000001</v>
      </c>
      <c r="H118" s="961">
        <f>G118</f>
        <v>0.59870000000000001</v>
      </c>
      <c r="I118" s="961">
        <f>ROUND(0.5667-0.0136*B113,4)</f>
        <v>0.53190000000000004</v>
      </c>
      <c r="J118" s="961">
        <f t="shared" si="33"/>
        <v>0.53190000000000004</v>
      </c>
      <c r="K118" s="961">
        <f t="shared" si="33"/>
        <v>0.53190000000000004</v>
      </c>
      <c r="L118" s="961">
        <f t="shared" si="33"/>
        <v>0.53190000000000004</v>
      </c>
      <c r="M118" s="968">
        <f t="shared" si="33"/>
        <v>0.53190000000000004</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5"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07" customWidth="1"/>
    <col min="2" max="9" width="8.25" style="606" customWidth="1"/>
    <col min="10" max="13" width="8.25" style="607"/>
    <col min="14" max="14" width="10" style="607" customWidth="1"/>
    <col min="15" max="16" width="8.25" style="607"/>
    <col min="17" max="17" width="34.125" style="607" customWidth="1"/>
    <col min="18" max="18" width="8.25" style="607" customWidth="1"/>
    <col min="19" max="19" width="8.25" style="607"/>
    <col min="20" max="20" width="11.625" style="607" customWidth="1"/>
    <col min="21" max="16384" width="8.25" style="607"/>
  </cols>
  <sheetData>
    <row r="1" spans="1:13" ht="19.5" customHeight="1">
      <c r="A1" s="608" t="s">
        <v>210</v>
      </c>
      <c r="B1" s="222" t="s">
        <v>232</v>
      </c>
      <c r="C1" s="222" t="s">
        <v>243</v>
      </c>
      <c r="D1" s="222" t="s">
        <v>253</v>
      </c>
      <c r="E1" s="222" t="s">
        <v>261</v>
      </c>
      <c r="F1" s="222" t="s">
        <v>269</v>
      </c>
      <c r="G1" s="222" t="s">
        <v>275</v>
      </c>
      <c r="H1" s="222" t="s">
        <v>280</v>
      </c>
      <c r="I1" s="222" t="s">
        <v>285</v>
      </c>
      <c r="J1" s="222" t="s">
        <v>288</v>
      </c>
      <c r="K1" s="222" t="s">
        <v>291</v>
      </c>
      <c r="L1" s="222" t="s">
        <v>294</v>
      </c>
      <c r="M1" s="223" t="s">
        <v>297</v>
      </c>
    </row>
    <row r="2" spans="1:13" ht="19.5" customHeight="1">
      <c r="A2" s="609" t="s">
        <v>1765</v>
      </c>
      <c r="B2" s="610">
        <v>3.5</v>
      </c>
      <c r="C2" s="610">
        <v>3.5</v>
      </c>
      <c r="D2" s="611">
        <v>2.5</v>
      </c>
      <c r="E2" s="611">
        <v>2.5</v>
      </c>
      <c r="F2" s="611">
        <v>2.5</v>
      </c>
      <c r="G2" s="611">
        <v>2.5</v>
      </c>
      <c r="H2" s="611">
        <v>2.5</v>
      </c>
      <c r="I2" s="610">
        <v>2</v>
      </c>
      <c r="J2" s="610">
        <v>2</v>
      </c>
      <c r="K2" s="610">
        <v>2</v>
      </c>
      <c r="L2" s="610">
        <v>2</v>
      </c>
      <c r="M2" s="643">
        <v>2</v>
      </c>
    </row>
    <row r="3" spans="1:13" ht="19.5" customHeight="1">
      <c r="A3" s="612" t="s">
        <v>1766</v>
      </c>
      <c r="B3" s="613">
        <v>3.5</v>
      </c>
      <c r="C3" s="613">
        <v>3.5</v>
      </c>
      <c r="D3" s="614">
        <v>2.5</v>
      </c>
      <c r="E3" s="614">
        <v>2.5</v>
      </c>
      <c r="F3" s="614">
        <v>2.5</v>
      </c>
      <c r="G3" s="614">
        <v>2.5</v>
      </c>
      <c r="H3" s="614">
        <v>2.5</v>
      </c>
      <c r="I3" s="613">
        <v>2</v>
      </c>
      <c r="J3" s="613">
        <v>2</v>
      </c>
      <c r="K3" s="613">
        <v>2</v>
      </c>
      <c r="L3" s="613">
        <v>2</v>
      </c>
      <c r="M3" s="644">
        <v>2</v>
      </c>
    </row>
    <row r="4" spans="1:13" ht="19.5" customHeight="1">
      <c r="A4" s="612" t="s">
        <v>457</v>
      </c>
      <c r="B4" s="614">
        <v>2.5</v>
      </c>
      <c r="C4" s="614">
        <v>2.5</v>
      </c>
      <c r="D4" s="614">
        <v>2.5</v>
      </c>
      <c r="E4" s="614">
        <v>2.5</v>
      </c>
      <c r="F4" s="614">
        <v>2.5</v>
      </c>
      <c r="G4" s="614">
        <v>2.5</v>
      </c>
      <c r="H4" s="614">
        <v>2.5</v>
      </c>
      <c r="I4" s="613">
        <v>1.5</v>
      </c>
      <c r="J4" s="613">
        <v>1.5</v>
      </c>
      <c r="K4" s="613">
        <v>1.5</v>
      </c>
      <c r="L4" s="613">
        <v>1.5</v>
      </c>
      <c r="M4" s="644">
        <v>1.5</v>
      </c>
    </row>
    <row r="5" spans="1:13" ht="19.5" customHeight="1">
      <c r="A5" s="615" t="s">
        <v>1767</v>
      </c>
      <c r="B5" s="616">
        <v>1.5</v>
      </c>
      <c r="C5" s="616">
        <v>1.5</v>
      </c>
      <c r="D5" s="616">
        <v>1.5</v>
      </c>
      <c r="E5" s="616">
        <v>1.5</v>
      </c>
      <c r="F5" s="616">
        <v>1.5</v>
      </c>
      <c r="G5" s="617">
        <v>1.2</v>
      </c>
      <c r="H5" s="617">
        <v>1.2</v>
      </c>
      <c r="I5" s="617">
        <v>1</v>
      </c>
      <c r="J5" s="617">
        <v>1</v>
      </c>
      <c r="K5" s="617">
        <v>1</v>
      </c>
      <c r="L5" s="617">
        <v>1</v>
      </c>
      <c r="M5" s="645">
        <v>1</v>
      </c>
    </row>
    <row r="6" spans="1:13" ht="19.5" customHeight="1">
      <c r="A6" s="618" t="s">
        <v>1768</v>
      </c>
      <c r="B6" s="619">
        <v>80</v>
      </c>
      <c r="C6" s="619">
        <v>80</v>
      </c>
      <c r="D6" s="619">
        <v>65</v>
      </c>
      <c r="E6" s="619">
        <v>65</v>
      </c>
      <c r="F6" s="619">
        <v>65</v>
      </c>
      <c r="G6" s="619">
        <v>65</v>
      </c>
      <c r="H6" s="619">
        <v>65</v>
      </c>
      <c r="I6" s="619">
        <v>50</v>
      </c>
      <c r="J6" s="619">
        <v>50</v>
      </c>
      <c r="K6" s="619">
        <v>50</v>
      </c>
      <c r="L6" s="619">
        <v>50</v>
      </c>
      <c r="M6" s="646">
        <v>50</v>
      </c>
    </row>
    <row r="7" spans="1:13" ht="19.5" customHeight="1">
      <c r="A7" s="620" t="s">
        <v>1769</v>
      </c>
      <c r="B7" s="621">
        <v>70</v>
      </c>
      <c r="C7" s="621">
        <v>70</v>
      </c>
      <c r="D7" s="621">
        <v>55</v>
      </c>
      <c r="E7" s="621">
        <v>55</v>
      </c>
      <c r="F7" s="621">
        <v>55</v>
      </c>
      <c r="G7" s="621">
        <v>55</v>
      </c>
      <c r="H7" s="621">
        <v>55</v>
      </c>
      <c r="I7" s="621">
        <v>40</v>
      </c>
      <c r="J7" s="621">
        <v>40</v>
      </c>
      <c r="K7" s="621">
        <v>40</v>
      </c>
      <c r="L7" s="621">
        <v>40</v>
      </c>
      <c r="M7" s="647">
        <v>40</v>
      </c>
    </row>
    <row r="8" spans="1:13" ht="19.5" customHeight="1">
      <c r="A8" s="620" t="s">
        <v>1770</v>
      </c>
      <c r="B8" s="621">
        <v>20</v>
      </c>
      <c r="C8" s="621">
        <v>20</v>
      </c>
      <c r="D8" s="621">
        <v>15</v>
      </c>
      <c r="E8" s="621">
        <v>15</v>
      </c>
      <c r="F8" s="621">
        <v>15</v>
      </c>
      <c r="G8" s="621">
        <v>15</v>
      </c>
      <c r="H8" s="621">
        <v>15</v>
      </c>
      <c r="I8" s="621">
        <v>10</v>
      </c>
      <c r="J8" s="621">
        <v>10</v>
      </c>
      <c r="K8" s="621">
        <v>10</v>
      </c>
      <c r="L8" s="621">
        <v>10</v>
      </c>
      <c r="M8" s="647">
        <v>10</v>
      </c>
    </row>
    <row r="9" spans="1:13" ht="19.5" customHeight="1">
      <c r="A9" s="620" t="s">
        <v>1771</v>
      </c>
      <c r="B9" s="621">
        <v>30</v>
      </c>
      <c r="C9" s="621">
        <v>30</v>
      </c>
      <c r="D9" s="621">
        <v>25</v>
      </c>
      <c r="E9" s="621">
        <v>25</v>
      </c>
      <c r="F9" s="621">
        <v>25</v>
      </c>
      <c r="G9" s="621">
        <v>25</v>
      </c>
      <c r="H9" s="621">
        <v>25</v>
      </c>
      <c r="I9" s="621">
        <v>20</v>
      </c>
      <c r="J9" s="621">
        <v>20</v>
      </c>
      <c r="K9" s="621">
        <v>20</v>
      </c>
      <c r="L9" s="621">
        <v>20</v>
      </c>
      <c r="M9" s="647">
        <v>20</v>
      </c>
    </row>
    <row r="10" spans="1:13" ht="19.5" customHeight="1">
      <c r="A10" s="620" t="s">
        <v>1772</v>
      </c>
      <c r="B10" s="621">
        <v>45</v>
      </c>
      <c r="C10" s="621">
        <v>45</v>
      </c>
      <c r="D10" s="621">
        <v>35</v>
      </c>
      <c r="E10" s="621">
        <v>35</v>
      </c>
      <c r="F10" s="621">
        <v>35</v>
      </c>
      <c r="G10" s="621">
        <v>35</v>
      </c>
      <c r="H10" s="621">
        <v>35</v>
      </c>
      <c r="I10" s="621">
        <v>25</v>
      </c>
      <c r="J10" s="621">
        <v>25</v>
      </c>
      <c r="K10" s="621">
        <v>25</v>
      </c>
      <c r="L10" s="621">
        <v>25</v>
      </c>
      <c r="M10" s="647">
        <v>25</v>
      </c>
    </row>
    <row r="11" spans="1:13" ht="19.5" customHeight="1">
      <c r="A11" s="620" t="s">
        <v>1773</v>
      </c>
      <c r="B11" s="621">
        <v>60</v>
      </c>
      <c r="C11" s="621">
        <v>60</v>
      </c>
      <c r="D11" s="621">
        <v>50</v>
      </c>
      <c r="E11" s="621">
        <v>50</v>
      </c>
      <c r="F11" s="621">
        <v>50</v>
      </c>
      <c r="G11" s="621">
        <v>50</v>
      </c>
      <c r="H11" s="621">
        <v>50</v>
      </c>
      <c r="I11" s="621">
        <v>40</v>
      </c>
      <c r="J11" s="621">
        <v>40</v>
      </c>
      <c r="K11" s="621">
        <v>40</v>
      </c>
      <c r="L11" s="621">
        <v>40</v>
      </c>
      <c r="M11" s="647">
        <v>40</v>
      </c>
    </row>
    <row r="12" spans="1:13" ht="19.5" customHeight="1">
      <c r="A12" s="620" t="s">
        <v>1774</v>
      </c>
      <c r="B12" s="621">
        <v>50</v>
      </c>
      <c r="C12" s="621">
        <v>50</v>
      </c>
      <c r="D12" s="621">
        <v>40</v>
      </c>
      <c r="E12" s="621">
        <v>40</v>
      </c>
      <c r="F12" s="621">
        <v>40</v>
      </c>
      <c r="G12" s="621">
        <v>40</v>
      </c>
      <c r="H12" s="621">
        <v>40</v>
      </c>
      <c r="I12" s="621">
        <v>30</v>
      </c>
      <c r="J12" s="621">
        <v>30</v>
      </c>
      <c r="K12" s="621">
        <v>30</v>
      </c>
      <c r="L12" s="621">
        <v>30</v>
      </c>
      <c r="M12" s="647">
        <v>30</v>
      </c>
    </row>
    <row r="13" spans="1:13" ht="19.5" customHeight="1">
      <c r="A13" s="622" t="s">
        <v>1775</v>
      </c>
      <c r="B13" s="623">
        <v>20</v>
      </c>
      <c r="C13" s="623">
        <v>20</v>
      </c>
      <c r="D13" s="623">
        <v>15</v>
      </c>
      <c r="E13" s="623">
        <v>15</v>
      </c>
      <c r="F13" s="623">
        <v>15</v>
      </c>
      <c r="G13" s="623">
        <v>15</v>
      </c>
      <c r="H13" s="623">
        <v>15</v>
      </c>
      <c r="I13" s="623">
        <v>10</v>
      </c>
      <c r="J13" s="623">
        <v>10</v>
      </c>
      <c r="K13" s="623">
        <v>10</v>
      </c>
      <c r="L13" s="623">
        <v>10</v>
      </c>
      <c r="M13" s="648">
        <v>10</v>
      </c>
    </row>
    <row r="14" spans="1:13" ht="19.5" customHeight="1">
      <c r="A14" s="621" t="s">
        <v>124</v>
      </c>
      <c r="B14" s="624">
        <v>0</v>
      </c>
      <c r="C14" s="624">
        <v>0</v>
      </c>
      <c r="D14" s="624">
        <v>0</v>
      </c>
      <c r="E14" s="624">
        <v>0</v>
      </c>
      <c r="F14" s="624">
        <v>0</v>
      </c>
      <c r="G14" s="624">
        <v>0</v>
      </c>
      <c r="H14" s="624">
        <v>0</v>
      </c>
      <c r="I14" s="624">
        <v>0</v>
      </c>
      <c r="J14" s="624">
        <v>0</v>
      </c>
      <c r="K14" s="624">
        <v>0</v>
      </c>
      <c r="L14" s="624">
        <v>0</v>
      </c>
      <c r="M14" s="624">
        <v>0</v>
      </c>
    </row>
    <row r="15" spans="1:13" ht="19.5" customHeight="1">
      <c r="A15" s="621" t="s">
        <v>1776</v>
      </c>
      <c r="B15" s="624">
        <f>SUM(B6:B13)</f>
        <v>375</v>
      </c>
      <c r="C15" s="624">
        <f t="shared" ref="C15:H15" si="0">SUM(C6:C13)</f>
        <v>375</v>
      </c>
      <c r="D15" s="624">
        <f t="shared" si="0"/>
        <v>300</v>
      </c>
      <c r="E15" s="624">
        <f t="shared" si="0"/>
        <v>300</v>
      </c>
      <c r="F15" s="624">
        <f t="shared" si="0"/>
        <v>300</v>
      </c>
      <c r="G15" s="624">
        <f t="shared" si="0"/>
        <v>300</v>
      </c>
      <c r="H15" s="624">
        <f t="shared" si="0"/>
        <v>300</v>
      </c>
      <c r="I15" s="624">
        <f>SUM(I6:I10,I13)</f>
        <v>155</v>
      </c>
      <c r="J15" s="624">
        <f t="shared" ref="J15:M15" si="1">SUM(J6:J10,J13)</f>
        <v>155</v>
      </c>
      <c r="K15" s="624">
        <f t="shared" si="1"/>
        <v>155</v>
      </c>
      <c r="L15" s="624">
        <f t="shared" si="1"/>
        <v>155</v>
      </c>
      <c r="M15" s="624">
        <f t="shared" si="1"/>
        <v>155</v>
      </c>
    </row>
    <row r="16" spans="1:13" ht="19.5" customHeight="1">
      <c r="A16" s="625" t="s">
        <v>1777</v>
      </c>
      <c r="B16" s="625"/>
      <c r="C16" s="626"/>
      <c r="D16" s="626"/>
      <c r="E16" s="625"/>
      <c r="F16" s="626"/>
      <c r="G16" s="626"/>
    </row>
    <row r="17" spans="1:9" ht="19.5" customHeight="1">
      <c r="A17" s="621" t="s">
        <v>1778</v>
      </c>
      <c r="B17" s="627" t="s">
        <v>1779</v>
      </c>
      <c r="C17" s="627" t="s">
        <v>1780</v>
      </c>
      <c r="D17" s="628"/>
      <c r="E17" s="621" t="s">
        <v>1781</v>
      </c>
      <c r="F17" s="629"/>
      <c r="G17" s="629"/>
    </row>
    <row r="18" spans="1:9" s="605" customFormat="1" ht="19.5" customHeight="1">
      <c r="A18" s="3540" t="s">
        <v>1765</v>
      </c>
      <c r="B18" s="630" t="s">
        <v>1782</v>
      </c>
      <c r="C18" s="631" t="s">
        <v>1783</v>
      </c>
      <c r="D18" s="632"/>
      <c r="E18" s="630">
        <v>1</v>
      </c>
      <c r="F18" s="633" t="s">
        <v>1784</v>
      </c>
      <c r="G18" s="634"/>
      <c r="H18" s="606"/>
      <c r="I18" s="606"/>
    </row>
    <row r="19" spans="1:9" s="605" customFormat="1" ht="19.5" customHeight="1">
      <c r="A19" s="3540"/>
      <c r="B19" s="3540" t="s">
        <v>1785</v>
      </c>
      <c r="C19" s="631" t="s">
        <v>1786</v>
      </c>
      <c r="D19" s="632"/>
      <c r="E19" s="630">
        <v>0.9</v>
      </c>
      <c r="F19" s="633" t="s">
        <v>1787</v>
      </c>
      <c r="G19" s="634"/>
      <c r="H19" s="606"/>
      <c r="I19" s="606"/>
    </row>
    <row r="20" spans="1:9" s="605" customFormat="1" ht="19.5" customHeight="1">
      <c r="A20" s="3540"/>
      <c r="B20" s="3540"/>
      <c r="C20" s="631" t="s">
        <v>1788</v>
      </c>
      <c r="D20" s="632"/>
      <c r="E20" s="630">
        <v>1.1000000000000001</v>
      </c>
      <c r="F20" s="633" t="s">
        <v>1789</v>
      </c>
      <c r="G20" s="634"/>
      <c r="H20" s="606"/>
      <c r="I20" s="606"/>
    </row>
    <row r="21" spans="1:9" s="605" customFormat="1" ht="19.5" customHeight="1">
      <c r="A21" s="3540"/>
      <c r="B21" s="3540"/>
      <c r="C21" s="631" t="s">
        <v>1790</v>
      </c>
      <c r="D21" s="632"/>
      <c r="E21" s="630">
        <v>0.8</v>
      </c>
      <c r="F21" s="633" t="s">
        <v>1791</v>
      </c>
      <c r="G21" s="634"/>
      <c r="H21" s="606"/>
      <c r="I21" s="606"/>
    </row>
    <row r="22" spans="1:9" s="605" customFormat="1" ht="19.5" customHeight="1">
      <c r="A22" s="3540"/>
      <c r="B22" s="3540"/>
      <c r="C22" s="631" t="s">
        <v>1792</v>
      </c>
      <c r="D22" s="632"/>
      <c r="E22" s="630">
        <v>0.5</v>
      </c>
      <c r="F22" s="633"/>
      <c r="G22" s="634"/>
      <c r="H22" s="606"/>
      <c r="I22" s="606"/>
    </row>
    <row r="23" spans="1:9" s="605" customFormat="1" ht="19.5" customHeight="1">
      <c r="A23" s="3540" t="s">
        <v>1766</v>
      </c>
      <c r="B23" s="630" t="s">
        <v>1782</v>
      </c>
      <c r="C23" s="631" t="s">
        <v>1793</v>
      </c>
      <c r="D23" s="632"/>
      <c r="E23" s="630">
        <v>1</v>
      </c>
      <c r="F23" s="633" t="s">
        <v>1794</v>
      </c>
      <c r="G23" s="634"/>
      <c r="H23" s="606"/>
      <c r="I23" s="606"/>
    </row>
    <row r="24" spans="1:9" s="605" customFormat="1" ht="19.5" customHeight="1">
      <c r="A24" s="3540"/>
      <c r="B24" s="3540" t="s">
        <v>1785</v>
      </c>
      <c r="C24" s="631" t="s">
        <v>1795</v>
      </c>
      <c r="D24" s="632"/>
      <c r="E24" s="630">
        <v>0.5</v>
      </c>
      <c r="F24" s="633"/>
      <c r="G24" s="634"/>
      <c r="H24" s="606"/>
      <c r="I24" s="606"/>
    </row>
    <row r="25" spans="1:9" s="605" customFormat="1" ht="19.5" customHeight="1">
      <c r="A25" s="3540"/>
      <c r="B25" s="3540"/>
      <c r="C25" s="631" t="s">
        <v>1796</v>
      </c>
      <c r="D25" s="632"/>
      <c r="E25" s="630">
        <v>1.1000000000000001</v>
      </c>
      <c r="F25" s="633"/>
      <c r="G25" s="634"/>
      <c r="H25" s="606"/>
      <c r="I25" s="606"/>
    </row>
    <row r="26" spans="1:9" s="605" customFormat="1" ht="19.5" customHeight="1">
      <c r="A26" s="3540"/>
      <c r="B26" s="3540"/>
      <c r="C26" s="631" t="s">
        <v>1797</v>
      </c>
      <c r="D26" s="632"/>
      <c r="E26" s="630">
        <v>1.1000000000000001</v>
      </c>
      <c r="F26" s="633"/>
      <c r="G26" s="634"/>
      <c r="H26" s="606"/>
      <c r="I26" s="606"/>
    </row>
    <row r="27" spans="1:9" s="605" customFormat="1" ht="19.5" customHeight="1">
      <c r="A27" s="3540"/>
      <c r="B27" s="3540"/>
      <c r="C27" s="631" t="s">
        <v>1798</v>
      </c>
      <c r="D27" s="632"/>
      <c r="E27" s="630">
        <v>0.9</v>
      </c>
      <c r="F27" s="633" t="s">
        <v>1799</v>
      </c>
      <c r="G27" s="634"/>
      <c r="H27" s="606"/>
      <c r="I27" s="606"/>
    </row>
    <row r="28" spans="1:9" s="605" customFormat="1" ht="19.5" customHeight="1">
      <c r="A28" s="3540"/>
      <c r="B28" s="3540"/>
      <c r="C28" s="631" t="s">
        <v>1800</v>
      </c>
      <c r="D28" s="632"/>
      <c r="E28" s="630">
        <v>0.9</v>
      </c>
      <c r="F28" s="633" t="s">
        <v>1801</v>
      </c>
      <c r="G28" s="634"/>
      <c r="H28" s="606"/>
      <c r="I28" s="606"/>
    </row>
    <row r="29" spans="1:9" s="605" customFormat="1" ht="19.5" customHeight="1">
      <c r="A29" s="3540"/>
      <c r="B29" s="3540"/>
      <c r="C29" s="631" t="s">
        <v>1802</v>
      </c>
      <c r="D29" s="632"/>
      <c r="E29" s="630">
        <v>0.9</v>
      </c>
      <c r="F29" s="633" t="s">
        <v>1803</v>
      </c>
      <c r="G29" s="634"/>
      <c r="H29" s="606"/>
      <c r="I29" s="606"/>
    </row>
    <row r="30" spans="1:9" s="605" customFormat="1" ht="19.5" customHeight="1">
      <c r="A30" s="3540"/>
      <c r="B30" s="3540"/>
      <c r="C30" s="631" t="s">
        <v>1804</v>
      </c>
      <c r="D30" s="632"/>
      <c r="E30" s="630">
        <v>0.9</v>
      </c>
      <c r="F30" s="633" t="s">
        <v>1805</v>
      </c>
      <c r="G30" s="634"/>
      <c r="H30" s="606"/>
      <c r="I30" s="606"/>
    </row>
    <row r="31" spans="1:9" s="605" customFormat="1" ht="19.5" customHeight="1">
      <c r="A31" s="3540"/>
      <c r="B31" s="3540"/>
      <c r="C31" s="631" t="s">
        <v>1806</v>
      </c>
      <c r="D31" s="632"/>
      <c r="E31" s="630">
        <v>0.8</v>
      </c>
      <c r="F31" s="633" t="s">
        <v>1807</v>
      </c>
      <c r="G31" s="634"/>
      <c r="H31" s="606"/>
      <c r="I31" s="606"/>
    </row>
    <row r="32" spans="1:9" s="605" customFormat="1" ht="19.5" customHeight="1">
      <c r="A32" s="3540"/>
      <c r="B32" s="3540"/>
      <c r="C32" s="631" t="s">
        <v>1808</v>
      </c>
      <c r="D32" s="632"/>
      <c r="E32" s="630">
        <v>0.8</v>
      </c>
      <c r="F32" s="633" t="s">
        <v>1809</v>
      </c>
      <c r="G32" s="634"/>
      <c r="H32" s="606"/>
      <c r="I32" s="606"/>
    </row>
    <row r="33" spans="1:9" s="605" customFormat="1" ht="19.5" customHeight="1">
      <c r="A33" s="3540" t="s">
        <v>1810</v>
      </c>
      <c r="B33" s="630" t="s">
        <v>1782</v>
      </c>
      <c r="C33" s="631" t="s">
        <v>1811</v>
      </c>
      <c r="D33" s="632"/>
      <c r="E33" s="630">
        <v>1</v>
      </c>
      <c r="F33" s="633" t="s">
        <v>1812</v>
      </c>
      <c r="G33" s="634"/>
      <c r="H33" s="606"/>
      <c r="I33" s="606"/>
    </row>
    <row r="34" spans="1:9" s="605" customFormat="1" ht="19.5" customHeight="1">
      <c r="A34" s="3540"/>
      <c r="B34" s="630" t="s">
        <v>1785</v>
      </c>
      <c r="C34" s="631" t="s">
        <v>1813</v>
      </c>
      <c r="D34" s="632"/>
      <c r="E34" s="630">
        <v>1.5</v>
      </c>
      <c r="F34" s="633" t="s">
        <v>1814</v>
      </c>
      <c r="G34" s="634"/>
      <c r="H34" s="606"/>
      <c r="I34" s="606"/>
    </row>
    <row r="35" spans="1:9" s="605" customFormat="1" ht="19.5" customHeight="1">
      <c r="A35" s="3540" t="s">
        <v>1767</v>
      </c>
      <c r="B35" s="630" t="s">
        <v>1782</v>
      </c>
      <c r="C35" s="631" t="s">
        <v>1815</v>
      </c>
      <c r="D35" s="632"/>
      <c r="E35" s="630">
        <v>1</v>
      </c>
      <c r="F35" s="633" t="s">
        <v>1816</v>
      </c>
      <c r="G35" s="634"/>
      <c r="H35" s="606"/>
      <c r="I35" s="606"/>
    </row>
    <row r="36" spans="1:9" s="605" customFormat="1" ht="19.5" customHeight="1">
      <c r="A36" s="3540"/>
      <c r="B36" s="3540" t="s">
        <v>1785</v>
      </c>
      <c r="C36" s="631" t="s">
        <v>1817</v>
      </c>
      <c r="D36" s="632"/>
      <c r="E36" s="630">
        <v>1</v>
      </c>
      <c r="F36" s="633" t="s">
        <v>1818</v>
      </c>
      <c r="G36" s="634"/>
      <c r="H36" s="606"/>
      <c r="I36" s="606"/>
    </row>
    <row r="37" spans="1:9" s="605" customFormat="1" ht="19.5" customHeight="1">
      <c r="A37" s="3540"/>
      <c r="B37" s="3540"/>
      <c r="C37" s="631" t="s">
        <v>1819</v>
      </c>
      <c r="D37" s="632"/>
      <c r="E37" s="630">
        <v>1.5</v>
      </c>
      <c r="F37" s="633" t="s">
        <v>1820</v>
      </c>
      <c r="G37" s="634"/>
      <c r="H37" s="606"/>
      <c r="I37" s="606"/>
    </row>
    <row r="38" spans="1:9" s="605" customFormat="1" ht="19.5" customHeight="1">
      <c r="A38" s="3540"/>
      <c r="B38" s="3540"/>
      <c r="C38" s="631" t="s">
        <v>1821</v>
      </c>
      <c r="D38" s="632"/>
      <c r="E38" s="630">
        <v>1</v>
      </c>
      <c r="F38" s="633" t="s">
        <v>1822</v>
      </c>
      <c r="G38" s="634"/>
      <c r="H38" s="606"/>
      <c r="I38" s="606"/>
    </row>
    <row r="39" spans="1:9" s="605" customFormat="1" ht="19.5" customHeight="1">
      <c r="A39" s="3540"/>
      <c r="B39" s="3540"/>
      <c r="C39" s="631" t="s">
        <v>1823</v>
      </c>
      <c r="D39" s="632"/>
      <c r="E39" s="630">
        <v>1</v>
      </c>
      <c r="F39" s="633" t="s">
        <v>1824</v>
      </c>
      <c r="G39" s="634"/>
      <c r="H39" s="606"/>
      <c r="I39" s="606"/>
    </row>
    <row r="40" spans="1:9" s="605" customFormat="1" ht="19.5" customHeight="1">
      <c r="A40" s="635" t="s">
        <v>1825</v>
      </c>
      <c r="B40" s="635"/>
      <c r="C40" s="635"/>
      <c r="D40" s="635"/>
      <c r="E40" s="635"/>
      <c r="F40" s="636"/>
      <c r="G40" s="636"/>
      <c r="H40" s="606"/>
      <c r="I40" s="606"/>
    </row>
    <row r="42" spans="1:9" ht="19.5" customHeight="1">
      <c r="A42" s="637"/>
      <c r="B42" s="621" t="s">
        <v>1826</v>
      </c>
      <c r="C42" s="621" t="s">
        <v>1826</v>
      </c>
      <c r="D42" s="621" t="s">
        <v>1826</v>
      </c>
      <c r="E42" s="623" t="s">
        <v>1826</v>
      </c>
      <c r="F42" s="623" t="s">
        <v>1826</v>
      </c>
      <c r="G42" s="623" t="s">
        <v>1827</v>
      </c>
      <c r="H42" s="623" t="s">
        <v>1826</v>
      </c>
    </row>
    <row r="43" spans="1:9" ht="19.5" customHeight="1">
      <c r="A43" s="638"/>
      <c r="B43" s="623" t="s">
        <v>1765</v>
      </c>
      <c r="C43" s="623" t="s">
        <v>1765</v>
      </c>
      <c r="D43" s="623" t="s">
        <v>1765</v>
      </c>
      <c r="E43" s="623" t="s">
        <v>1765</v>
      </c>
      <c r="F43" s="621" t="s">
        <v>1766</v>
      </c>
      <c r="G43" s="621" t="s">
        <v>1767</v>
      </c>
      <c r="H43" s="621" t="s">
        <v>1828</v>
      </c>
    </row>
    <row r="44" spans="1:9" ht="19.5" customHeight="1">
      <c r="A44" s="639"/>
      <c r="B44" s="621">
        <v>1</v>
      </c>
      <c r="C44" s="621">
        <v>2</v>
      </c>
      <c r="D44" s="621">
        <v>3</v>
      </c>
      <c r="E44" s="623">
        <v>4</v>
      </c>
      <c r="F44" s="628" t="s">
        <v>1829</v>
      </c>
      <c r="G44" s="628" t="s">
        <v>1829</v>
      </c>
      <c r="H44" s="628" t="s">
        <v>1829</v>
      </c>
    </row>
    <row r="45" spans="1:9" ht="19.5" customHeight="1">
      <c r="A45" s="640" t="s">
        <v>232</v>
      </c>
      <c r="B45" s="621">
        <v>0.8</v>
      </c>
      <c r="C45" s="621">
        <v>0.5</v>
      </c>
      <c r="D45" s="621">
        <v>0.36</v>
      </c>
      <c r="E45" s="621">
        <v>0.3</v>
      </c>
      <c r="F45" s="628">
        <v>0.3</v>
      </c>
      <c r="G45" s="621">
        <v>0.3</v>
      </c>
      <c r="H45" s="621">
        <v>0.25</v>
      </c>
    </row>
    <row r="46" spans="1:9" ht="19.5" customHeight="1">
      <c r="A46" s="640" t="s">
        <v>243</v>
      </c>
      <c r="B46" s="621">
        <v>0.8</v>
      </c>
      <c r="C46" s="621">
        <v>0.5</v>
      </c>
      <c r="D46" s="621">
        <v>0.36</v>
      </c>
      <c r="E46" s="621">
        <v>0.3</v>
      </c>
      <c r="F46" s="621">
        <v>0.3</v>
      </c>
      <c r="G46" s="621">
        <v>0.3</v>
      </c>
      <c r="H46" s="621">
        <v>0.25</v>
      </c>
    </row>
    <row r="47" spans="1:9" ht="19.5" customHeight="1">
      <c r="A47" s="640" t="s">
        <v>253</v>
      </c>
      <c r="B47" s="621">
        <v>0.7</v>
      </c>
      <c r="C47" s="621">
        <v>0.4</v>
      </c>
      <c r="D47" s="621">
        <v>0.28000000000000003</v>
      </c>
      <c r="E47" s="621">
        <v>0.25</v>
      </c>
      <c r="F47" s="621">
        <v>0.25</v>
      </c>
      <c r="G47" s="621">
        <v>0.25</v>
      </c>
      <c r="H47" s="621">
        <v>0.2</v>
      </c>
    </row>
    <row r="48" spans="1:9" ht="19.5" customHeight="1">
      <c r="A48" s="640" t="s">
        <v>261</v>
      </c>
      <c r="B48" s="621">
        <v>0.7</v>
      </c>
      <c r="C48" s="621">
        <v>0.4</v>
      </c>
      <c r="D48" s="621">
        <v>0.28000000000000003</v>
      </c>
      <c r="E48" s="621">
        <v>0.25</v>
      </c>
      <c r="F48" s="621">
        <v>0.25</v>
      </c>
      <c r="G48" s="621">
        <v>0.25</v>
      </c>
      <c r="H48" s="621">
        <v>0.2</v>
      </c>
    </row>
    <row r="49" spans="1:8" s="606" customFormat="1" ht="19.5" customHeight="1">
      <c r="A49" s="640" t="s">
        <v>269</v>
      </c>
      <c r="B49" s="621">
        <v>0.7</v>
      </c>
      <c r="C49" s="621">
        <v>0.4</v>
      </c>
      <c r="D49" s="621">
        <v>0.28000000000000003</v>
      </c>
      <c r="E49" s="621">
        <v>0.25</v>
      </c>
      <c r="F49" s="621">
        <v>0.25</v>
      </c>
      <c r="G49" s="621">
        <v>0.25</v>
      </c>
      <c r="H49" s="621">
        <v>0.2</v>
      </c>
    </row>
    <row r="50" spans="1:8" s="606" customFormat="1" ht="19.5" customHeight="1">
      <c r="A50" s="640" t="s">
        <v>275</v>
      </c>
      <c r="B50" s="621">
        <v>0.7</v>
      </c>
      <c r="C50" s="621">
        <v>0.4</v>
      </c>
      <c r="D50" s="621">
        <v>0.28000000000000003</v>
      </c>
      <c r="E50" s="621">
        <v>0.25</v>
      </c>
      <c r="F50" s="621">
        <v>0.25</v>
      </c>
      <c r="G50" s="621">
        <v>0.25</v>
      </c>
      <c r="H50" s="621">
        <v>0.2</v>
      </c>
    </row>
    <row r="51" spans="1:8" s="606" customFormat="1" ht="19.5" customHeight="1">
      <c r="A51" s="640" t="s">
        <v>280</v>
      </c>
      <c r="B51" s="621">
        <v>0.7</v>
      </c>
      <c r="C51" s="621">
        <v>0.4</v>
      </c>
      <c r="D51" s="621">
        <v>0.28000000000000003</v>
      </c>
      <c r="E51" s="621">
        <v>0.25</v>
      </c>
      <c r="F51" s="621">
        <v>0.25</v>
      </c>
      <c r="G51" s="621">
        <v>0.25</v>
      </c>
      <c r="H51" s="621">
        <v>0.2</v>
      </c>
    </row>
    <row r="52" spans="1:8" s="606" customFormat="1" ht="19.5" customHeight="1">
      <c r="A52" s="640" t="s">
        <v>285</v>
      </c>
      <c r="B52" s="621">
        <v>0.6</v>
      </c>
      <c r="C52" s="621">
        <v>0.3</v>
      </c>
      <c r="D52" s="621">
        <v>0.2</v>
      </c>
      <c r="E52" s="621">
        <v>0.2</v>
      </c>
      <c r="F52" s="621">
        <v>0.2</v>
      </c>
      <c r="G52" s="621">
        <v>0.2</v>
      </c>
      <c r="H52" s="621">
        <v>0.15</v>
      </c>
    </row>
    <row r="53" spans="1:8" s="606" customFormat="1" ht="19.5" customHeight="1">
      <c r="A53" s="640" t="s">
        <v>288</v>
      </c>
      <c r="B53" s="621">
        <v>0.6</v>
      </c>
      <c r="C53" s="621">
        <v>0.3</v>
      </c>
      <c r="D53" s="621">
        <v>0.2</v>
      </c>
      <c r="E53" s="621">
        <v>0.2</v>
      </c>
      <c r="F53" s="621">
        <v>0.2</v>
      </c>
      <c r="G53" s="621">
        <v>0.2</v>
      </c>
      <c r="H53" s="621">
        <v>0.15</v>
      </c>
    </row>
    <row r="54" spans="1:8" s="606" customFormat="1" ht="19.5" customHeight="1">
      <c r="A54" s="640" t="s">
        <v>291</v>
      </c>
      <c r="B54" s="621">
        <v>0.6</v>
      </c>
      <c r="C54" s="621">
        <v>0.3</v>
      </c>
      <c r="D54" s="621">
        <v>0.2</v>
      </c>
      <c r="E54" s="621">
        <v>0.2</v>
      </c>
      <c r="F54" s="621">
        <v>0.2</v>
      </c>
      <c r="G54" s="621">
        <v>0.2</v>
      </c>
      <c r="H54" s="621">
        <v>0.15</v>
      </c>
    </row>
    <row r="55" spans="1:8" s="606" customFormat="1" ht="19.5" customHeight="1">
      <c r="A55" s="640" t="s">
        <v>294</v>
      </c>
      <c r="B55" s="621">
        <v>0.6</v>
      </c>
      <c r="C55" s="621">
        <v>0.3</v>
      </c>
      <c r="D55" s="621">
        <v>0.2</v>
      </c>
      <c r="E55" s="621">
        <v>0.2</v>
      </c>
      <c r="F55" s="621">
        <v>0.2</v>
      </c>
      <c r="G55" s="621">
        <v>0.2</v>
      </c>
      <c r="H55" s="621">
        <v>0.15</v>
      </c>
    </row>
    <row r="56" spans="1:8" s="606" customFormat="1" ht="19.5" customHeight="1">
      <c r="A56" s="640" t="s">
        <v>297</v>
      </c>
      <c r="B56" s="621">
        <v>0.6</v>
      </c>
      <c r="C56" s="621">
        <v>0.3</v>
      </c>
      <c r="D56" s="621">
        <v>0.2</v>
      </c>
      <c r="E56" s="621">
        <v>0.2</v>
      </c>
      <c r="F56" s="621">
        <v>0.2</v>
      </c>
      <c r="G56" s="621">
        <v>0.2</v>
      </c>
      <c r="H56" s="621">
        <v>0.15</v>
      </c>
    </row>
    <row r="58" spans="1:8" s="606" customFormat="1" ht="19.5" customHeight="1">
      <c r="A58" s="641"/>
      <c r="B58" s="625"/>
      <c r="C58" s="625"/>
      <c r="D58" s="625" t="s">
        <v>1830</v>
      </c>
      <c r="E58" s="625"/>
      <c r="F58" s="625"/>
    </row>
    <row r="59" spans="1:8" s="606" customFormat="1" ht="19.5" customHeight="1">
      <c r="A59" s="630" t="s">
        <v>1831</v>
      </c>
      <c r="B59" s="630" t="s">
        <v>1832</v>
      </c>
      <c r="C59" s="630" t="s">
        <v>1833</v>
      </c>
      <c r="D59" s="630" t="s">
        <v>1834</v>
      </c>
      <c r="E59" s="630" t="s">
        <v>1835</v>
      </c>
      <c r="F59" s="630" t="s">
        <v>1836</v>
      </c>
    </row>
    <row r="60" spans="1:8" ht="13.5">
      <c r="A60" s="630"/>
      <c r="B60" s="630"/>
      <c r="C60" s="630" t="s">
        <v>1837</v>
      </c>
      <c r="D60" s="630"/>
      <c r="E60" s="642" t="s">
        <v>124</v>
      </c>
      <c r="F60" s="630" t="s">
        <v>124</v>
      </c>
    </row>
    <row r="61" spans="1:8" s="606" customFormat="1" ht="24">
      <c r="A61" s="630">
        <v>1</v>
      </c>
      <c r="B61" s="3540" t="s">
        <v>1838</v>
      </c>
      <c r="C61" s="621" t="s">
        <v>1839</v>
      </c>
      <c r="D61" s="621" t="s">
        <v>1840</v>
      </c>
      <c r="E61" s="642">
        <v>0.5</v>
      </c>
      <c r="F61" s="630">
        <v>80</v>
      </c>
    </row>
    <row r="62" spans="1:8" s="606" customFormat="1" ht="24">
      <c r="A62" s="630">
        <v>2</v>
      </c>
      <c r="B62" s="3540"/>
      <c r="C62" s="621" t="s">
        <v>1841</v>
      </c>
      <c r="D62" s="621" t="s">
        <v>1842</v>
      </c>
      <c r="E62" s="642">
        <v>0.5</v>
      </c>
      <c r="F62" s="630">
        <v>80</v>
      </c>
    </row>
    <row r="63" spans="1:8" s="606" customFormat="1" ht="36">
      <c r="A63" s="630">
        <v>3</v>
      </c>
      <c r="B63" s="3540"/>
      <c r="C63" s="621" t="s">
        <v>1843</v>
      </c>
      <c r="D63" s="621" t="s">
        <v>1844</v>
      </c>
      <c r="E63" s="642">
        <v>0.5</v>
      </c>
      <c r="F63" s="630">
        <v>80</v>
      </c>
    </row>
    <row r="64" spans="1:8" s="606" customFormat="1" ht="36">
      <c r="A64" s="630">
        <v>4</v>
      </c>
      <c r="B64" s="3540"/>
      <c r="C64" s="621" t="s">
        <v>1845</v>
      </c>
      <c r="D64" s="621" t="s">
        <v>1846</v>
      </c>
      <c r="E64" s="642">
        <v>0.4</v>
      </c>
      <c r="F64" s="630">
        <v>60</v>
      </c>
    </row>
    <row r="65" spans="1:6" s="606" customFormat="1" ht="36">
      <c r="A65" s="630">
        <v>5</v>
      </c>
      <c r="B65" s="3540"/>
      <c r="C65" s="621" t="s">
        <v>1847</v>
      </c>
      <c r="D65" s="621" t="s">
        <v>1848</v>
      </c>
      <c r="E65" s="642">
        <v>0.2</v>
      </c>
      <c r="F65" s="630">
        <v>30</v>
      </c>
    </row>
    <row r="66" spans="1:6" s="606" customFormat="1" ht="36">
      <c r="A66" s="630">
        <v>6</v>
      </c>
      <c r="B66" s="3540"/>
      <c r="C66" s="621" t="s">
        <v>1849</v>
      </c>
      <c r="D66" s="621" t="s">
        <v>1850</v>
      </c>
      <c r="E66" s="642">
        <v>0.3</v>
      </c>
      <c r="F66" s="630">
        <v>50</v>
      </c>
    </row>
    <row r="67" spans="1:6" s="606" customFormat="1" ht="36">
      <c r="A67" s="630">
        <v>7</v>
      </c>
      <c r="B67" s="3540"/>
      <c r="C67" s="621" t="s">
        <v>1851</v>
      </c>
      <c r="D67" s="621" t="s">
        <v>1852</v>
      </c>
      <c r="E67" s="642">
        <v>0.2</v>
      </c>
      <c r="F67" s="630">
        <v>30</v>
      </c>
    </row>
    <row r="68" spans="1:6" s="606" customFormat="1" ht="36">
      <c r="A68" s="630">
        <v>8</v>
      </c>
      <c r="B68" s="3540"/>
      <c r="C68" s="621" t="s">
        <v>1853</v>
      </c>
      <c r="D68" s="621" t="s">
        <v>1854</v>
      </c>
      <c r="E68" s="642">
        <v>0.2</v>
      </c>
      <c r="F68" s="630">
        <v>30</v>
      </c>
    </row>
    <row r="69" spans="1:6" s="606" customFormat="1" ht="36">
      <c r="A69" s="630">
        <v>9</v>
      </c>
      <c r="B69" s="3540"/>
      <c r="C69" s="621" t="s">
        <v>1855</v>
      </c>
      <c r="D69" s="621" t="s">
        <v>1856</v>
      </c>
      <c r="E69" s="642">
        <v>0.2</v>
      </c>
      <c r="F69" s="630">
        <v>30</v>
      </c>
    </row>
    <row r="70" spans="1:6" s="606" customFormat="1" ht="48">
      <c r="A70" s="630">
        <v>10</v>
      </c>
      <c r="B70" s="3540"/>
      <c r="C70" s="621" t="s">
        <v>1857</v>
      </c>
      <c r="D70" s="621" t="s">
        <v>1858</v>
      </c>
      <c r="E70" s="642">
        <v>0.2</v>
      </c>
      <c r="F70" s="630">
        <v>30</v>
      </c>
    </row>
    <row r="71" spans="1:6" s="606" customFormat="1" ht="48">
      <c r="A71" s="630">
        <v>11</v>
      </c>
      <c r="B71" s="3540"/>
      <c r="C71" s="621" t="s">
        <v>1859</v>
      </c>
      <c r="D71" s="621" t="s">
        <v>1860</v>
      </c>
      <c r="E71" s="642">
        <v>0.2</v>
      </c>
      <c r="F71" s="630">
        <v>30</v>
      </c>
    </row>
    <row r="72" spans="1:6" s="606" customFormat="1" ht="36">
      <c r="A72" s="630">
        <v>12</v>
      </c>
      <c r="B72" s="3540"/>
      <c r="C72" s="621" t="s">
        <v>1861</v>
      </c>
      <c r="D72" s="621" t="s">
        <v>1862</v>
      </c>
      <c r="E72" s="642">
        <v>0.5</v>
      </c>
      <c r="F72" s="630">
        <v>80</v>
      </c>
    </row>
    <row r="73" spans="1:6" s="606" customFormat="1" ht="24">
      <c r="A73" s="630">
        <v>13</v>
      </c>
      <c r="B73" s="3540"/>
      <c r="C73" s="621" t="s">
        <v>1863</v>
      </c>
      <c r="D73" s="621" t="s">
        <v>1864</v>
      </c>
      <c r="E73" s="642">
        <v>0.4</v>
      </c>
      <c r="F73" s="630">
        <v>60</v>
      </c>
    </row>
    <row r="74" spans="1:6" s="606" customFormat="1" ht="24">
      <c r="A74" s="630">
        <v>14</v>
      </c>
      <c r="B74" s="3540"/>
      <c r="C74" s="621" t="s">
        <v>1865</v>
      </c>
      <c r="D74" s="621" t="s">
        <v>1866</v>
      </c>
      <c r="E74" s="642">
        <v>0.2</v>
      </c>
      <c r="F74" s="630">
        <v>30</v>
      </c>
    </row>
    <row r="75" spans="1:6" s="606" customFormat="1" ht="24">
      <c r="A75" s="630">
        <v>15</v>
      </c>
      <c r="B75" s="3540"/>
      <c r="C75" s="621" t="s">
        <v>1867</v>
      </c>
      <c r="D75" s="621" t="s">
        <v>1868</v>
      </c>
      <c r="E75" s="642">
        <v>0.2</v>
      </c>
      <c r="F75" s="630">
        <v>30</v>
      </c>
    </row>
    <row r="76" spans="1:6" s="606" customFormat="1" ht="24">
      <c r="A76" s="630">
        <v>16</v>
      </c>
      <c r="B76" s="3540" t="s">
        <v>1869</v>
      </c>
      <c r="C76" s="621" t="s">
        <v>1870</v>
      </c>
      <c r="D76" s="621" t="s">
        <v>1871</v>
      </c>
      <c r="E76" s="642">
        <v>0.5</v>
      </c>
      <c r="F76" s="630">
        <v>80</v>
      </c>
    </row>
    <row r="77" spans="1:6" s="606" customFormat="1" ht="24">
      <c r="A77" s="630">
        <v>17</v>
      </c>
      <c r="B77" s="3540"/>
      <c r="C77" s="621" t="s">
        <v>1872</v>
      </c>
      <c r="D77" s="621" t="s">
        <v>1873</v>
      </c>
      <c r="E77" s="642">
        <v>0.5</v>
      </c>
      <c r="F77" s="630">
        <v>80</v>
      </c>
    </row>
    <row r="78" spans="1:6" s="606" customFormat="1" ht="24">
      <c r="A78" s="630">
        <v>18</v>
      </c>
      <c r="B78" s="3540"/>
      <c r="C78" s="621" t="s">
        <v>1874</v>
      </c>
      <c r="D78" s="621" t="s">
        <v>1875</v>
      </c>
      <c r="E78" s="642">
        <v>0.2</v>
      </c>
      <c r="F78" s="630">
        <v>30</v>
      </c>
    </row>
    <row r="79" spans="1:6" s="606" customFormat="1" ht="24">
      <c r="A79" s="630">
        <v>19</v>
      </c>
      <c r="B79" s="3540"/>
      <c r="C79" s="621" t="s">
        <v>1876</v>
      </c>
      <c r="D79" s="621" t="s">
        <v>1877</v>
      </c>
      <c r="E79" s="642">
        <v>0.5</v>
      </c>
      <c r="F79" s="630">
        <v>80</v>
      </c>
    </row>
    <row r="80" spans="1:6" s="606" customFormat="1" ht="36">
      <c r="A80" s="630">
        <v>20</v>
      </c>
      <c r="B80" s="3540"/>
      <c r="C80" s="621" t="s">
        <v>1878</v>
      </c>
      <c r="D80" s="621" t="s">
        <v>1879</v>
      </c>
      <c r="E80" s="642">
        <v>0.2</v>
      </c>
      <c r="F80" s="630">
        <v>30</v>
      </c>
    </row>
    <row r="81" spans="1:6" s="606" customFormat="1" ht="36">
      <c r="A81" s="630">
        <v>21</v>
      </c>
      <c r="B81" s="3540"/>
      <c r="C81" s="621" t="s">
        <v>1880</v>
      </c>
      <c r="D81" s="621" t="s">
        <v>1881</v>
      </c>
      <c r="E81" s="642">
        <v>0.2</v>
      </c>
      <c r="F81" s="630">
        <v>30</v>
      </c>
    </row>
    <row r="82" spans="1:6" s="606" customFormat="1" ht="48">
      <c r="A82" s="630">
        <v>22</v>
      </c>
      <c r="B82" s="3540"/>
      <c r="C82" s="621" t="s">
        <v>1882</v>
      </c>
      <c r="D82" s="621" t="s">
        <v>1883</v>
      </c>
      <c r="E82" s="642">
        <v>0.2</v>
      </c>
      <c r="F82" s="630">
        <v>30</v>
      </c>
    </row>
    <row r="83" spans="1:6" s="606" customFormat="1" ht="48">
      <c r="A83" s="630">
        <v>23</v>
      </c>
      <c r="B83" s="3540"/>
      <c r="C83" s="621" t="s">
        <v>1884</v>
      </c>
      <c r="D83" s="621" t="s">
        <v>1885</v>
      </c>
      <c r="E83" s="642">
        <v>0.2</v>
      </c>
      <c r="F83" s="630">
        <v>30</v>
      </c>
    </row>
    <row r="84" spans="1:6" s="606" customFormat="1" ht="36">
      <c r="A84" s="630">
        <v>24</v>
      </c>
      <c r="B84" s="3540"/>
      <c r="C84" s="621" t="s">
        <v>1886</v>
      </c>
      <c r="D84" s="621" t="s">
        <v>1887</v>
      </c>
      <c r="E84" s="642">
        <v>0.2</v>
      </c>
      <c r="F84" s="630">
        <v>30</v>
      </c>
    </row>
    <row r="85" spans="1:6" s="606" customFormat="1" ht="36">
      <c r="A85" s="630">
        <v>25</v>
      </c>
      <c r="B85" s="3540"/>
      <c r="C85" s="621" t="s">
        <v>1888</v>
      </c>
      <c r="D85" s="621" t="s">
        <v>1889</v>
      </c>
      <c r="E85" s="642">
        <v>0.5</v>
      </c>
      <c r="F85" s="630">
        <v>80</v>
      </c>
    </row>
    <row r="86" spans="1:6" s="606" customFormat="1" ht="36">
      <c r="A86" s="630">
        <v>26</v>
      </c>
      <c r="B86" s="3540"/>
      <c r="C86" s="621" t="s">
        <v>1890</v>
      </c>
      <c r="D86" s="621" t="s">
        <v>1891</v>
      </c>
      <c r="E86" s="642">
        <v>0.2</v>
      </c>
      <c r="F86" s="630">
        <v>30</v>
      </c>
    </row>
    <row r="87" spans="1:6" s="606" customFormat="1" ht="36">
      <c r="A87" s="630">
        <v>27</v>
      </c>
      <c r="B87" s="3540"/>
      <c r="C87" s="621" t="s">
        <v>1892</v>
      </c>
      <c r="D87" s="621" t="s">
        <v>1893</v>
      </c>
      <c r="E87" s="642">
        <v>0.2</v>
      </c>
      <c r="F87" s="630">
        <v>30</v>
      </c>
    </row>
    <row r="88" spans="1:6" s="606" customFormat="1" ht="36">
      <c r="A88" s="630">
        <v>28</v>
      </c>
      <c r="B88" s="3540"/>
      <c r="C88" s="621" t="s">
        <v>1894</v>
      </c>
      <c r="D88" s="621" t="s">
        <v>1895</v>
      </c>
      <c r="E88" s="642">
        <v>0.2</v>
      </c>
      <c r="F88" s="630">
        <v>30</v>
      </c>
    </row>
    <row r="89" spans="1:6" s="606" customFormat="1" ht="24">
      <c r="A89" s="630">
        <v>29</v>
      </c>
      <c r="B89" s="3540"/>
      <c r="C89" s="621" t="s">
        <v>1896</v>
      </c>
      <c r="D89" s="621" t="s">
        <v>1897</v>
      </c>
      <c r="E89" s="642">
        <v>0.2</v>
      </c>
      <c r="F89" s="630">
        <v>30</v>
      </c>
    </row>
    <row r="90" spans="1:6" s="606" customFormat="1" ht="24">
      <c r="A90" s="630">
        <v>30</v>
      </c>
      <c r="B90" s="3540"/>
      <c r="C90" s="621" t="s">
        <v>1898</v>
      </c>
      <c r="D90" s="621" t="s">
        <v>1899</v>
      </c>
      <c r="E90" s="642">
        <v>0.2</v>
      </c>
      <c r="F90" s="630">
        <v>30</v>
      </c>
    </row>
    <row r="91" spans="1:6" s="606" customFormat="1" ht="36">
      <c r="A91" s="630">
        <v>31</v>
      </c>
      <c r="B91" s="3540"/>
      <c r="C91" s="621" t="s">
        <v>1900</v>
      </c>
      <c r="D91" s="621" t="s">
        <v>1901</v>
      </c>
      <c r="E91" s="642">
        <v>0.2</v>
      </c>
      <c r="F91" s="630">
        <v>30</v>
      </c>
    </row>
    <row r="92" spans="1:6" s="606" customFormat="1" ht="24">
      <c r="A92" s="630">
        <v>32</v>
      </c>
      <c r="B92" s="3540" t="s">
        <v>1902</v>
      </c>
      <c r="C92" s="630" t="s">
        <v>1903</v>
      </c>
      <c r="D92" s="621" t="s">
        <v>1904</v>
      </c>
      <c r="E92" s="642">
        <v>0.2</v>
      </c>
      <c r="F92" s="630">
        <v>30</v>
      </c>
    </row>
    <row r="93" spans="1:6" s="606" customFormat="1" ht="36">
      <c r="A93" s="630">
        <v>33</v>
      </c>
      <c r="B93" s="3540"/>
      <c r="C93" s="630" t="s">
        <v>1905</v>
      </c>
      <c r="D93" s="621" t="s">
        <v>1906</v>
      </c>
      <c r="E93" s="642">
        <v>0.2</v>
      </c>
      <c r="F93" s="630">
        <v>30</v>
      </c>
    </row>
    <row r="94" spans="1:6" s="606" customFormat="1" ht="48">
      <c r="A94" s="630">
        <v>34</v>
      </c>
      <c r="B94" s="3540"/>
      <c r="C94" s="630" t="s">
        <v>1907</v>
      </c>
      <c r="D94" s="621" t="s">
        <v>1908</v>
      </c>
      <c r="E94" s="642">
        <v>0.2</v>
      </c>
      <c r="F94" s="630">
        <v>30</v>
      </c>
    </row>
    <row r="95" spans="1:6" s="606" customFormat="1" ht="36">
      <c r="A95" s="630">
        <v>35</v>
      </c>
      <c r="B95" s="3540"/>
      <c r="C95" s="630" t="s">
        <v>1909</v>
      </c>
      <c r="D95" s="621" t="s">
        <v>1910</v>
      </c>
      <c r="E95" s="642">
        <v>0.2</v>
      </c>
      <c r="F95" s="630">
        <v>30</v>
      </c>
    </row>
    <row r="96" spans="1:6" s="606" customFormat="1" ht="48">
      <c r="A96" s="630">
        <v>36</v>
      </c>
      <c r="B96" s="3540"/>
      <c r="C96" s="621" t="s">
        <v>1911</v>
      </c>
      <c r="D96" s="621" t="s">
        <v>1912</v>
      </c>
      <c r="E96" s="642">
        <v>0.2</v>
      </c>
      <c r="F96" s="630">
        <v>30</v>
      </c>
    </row>
    <row r="97" spans="1:6" s="606" customFormat="1" ht="36">
      <c r="A97" s="630">
        <v>37</v>
      </c>
      <c r="B97" s="3540"/>
      <c r="C97" s="630" t="s">
        <v>1913</v>
      </c>
      <c r="D97" s="621" t="s">
        <v>1914</v>
      </c>
      <c r="E97" s="642">
        <v>0.2</v>
      </c>
      <c r="F97" s="630">
        <v>30</v>
      </c>
    </row>
    <row r="98" spans="1:6" s="606" customFormat="1" ht="36">
      <c r="A98" s="630">
        <v>38</v>
      </c>
      <c r="B98" s="3540"/>
      <c r="C98" s="630" t="s">
        <v>1915</v>
      </c>
      <c r="D98" s="621" t="s">
        <v>1916</v>
      </c>
      <c r="E98" s="642">
        <v>0.2</v>
      </c>
      <c r="F98" s="630">
        <v>30</v>
      </c>
    </row>
    <row r="99" spans="1:6" s="606" customFormat="1" ht="36">
      <c r="A99" s="630">
        <v>39</v>
      </c>
      <c r="B99" s="3540" t="s">
        <v>1917</v>
      </c>
      <c r="C99" s="630" t="s">
        <v>1918</v>
      </c>
      <c r="D99" s="621" t="s">
        <v>1919</v>
      </c>
      <c r="E99" s="642">
        <v>0.3</v>
      </c>
      <c r="F99" s="630">
        <v>50</v>
      </c>
    </row>
    <row r="100" spans="1:6" s="606" customFormat="1" ht="24">
      <c r="A100" s="630">
        <v>40</v>
      </c>
      <c r="B100" s="3540"/>
      <c r="C100" s="630" t="s">
        <v>1920</v>
      </c>
      <c r="D100" s="621" t="s">
        <v>1921</v>
      </c>
      <c r="E100" s="642">
        <v>0.2</v>
      </c>
      <c r="F100" s="630">
        <v>30</v>
      </c>
    </row>
    <row r="101" spans="1:6" s="606" customFormat="1" ht="36">
      <c r="A101" s="630">
        <v>41</v>
      </c>
      <c r="B101" s="3540"/>
      <c r="C101" s="630" t="s">
        <v>1922</v>
      </c>
      <c r="D101" s="621" t="s">
        <v>1919</v>
      </c>
      <c r="E101" s="642">
        <v>0.2</v>
      </c>
      <c r="F101" s="630">
        <v>30</v>
      </c>
    </row>
    <row r="102" spans="1:6" s="606" customFormat="1" ht="48">
      <c r="A102" s="630">
        <v>42</v>
      </c>
      <c r="B102" s="630" t="s">
        <v>1923</v>
      </c>
      <c r="C102" s="621" t="s">
        <v>1924</v>
      </c>
      <c r="D102" s="621" t="s">
        <v>1925</v>
      </c>
      <c r="E102" s="642">
        <v>0.2</v>
      </c>
      <c r="F102" s="630">
        <v>30</v>
      </c>
    </row>
    <row r="103" spans="1:6" s="606" customFormat="1" ht="24">
      <c r="A103" s="630">
        <v>43</v>
      </c>
      <c r="B103" s="630" t="s">
        <v>1926</v>
      </c>
      <c r="C103" s="630" t="s">
        <v>1927</v>
      </c>
      <c r="D103" s="621" t="s">
        <v>1928</v>
      </c>
      <c r="E103" s="642">
        <v>0.2</v>
      </c>
      <c r="F103" s="630">
        <v>30</v>
      </c>
    </row>
    <row r="104" spans="1:6" s="606" customFormat="1" ht="36">
      <c r="A104" s="630">
        <v>44</v>
      </c>
      <c r="B104" s="630" t="s">
        <v>1929</v>
      </c>
      <c r="C104" s="630" t="s">
        <v>1930</v>
      </c>
      <c r="D104" s="621" t="s">
        <v>1931</v>
      </c>
      <c r="E104" s="642">
        <v>0.2</v>
      </c>
      <c r="F104" s="630">
        <v>30</v>
      </c>
    </row>
    <row r="105" spans="1:6" s="606" customFormat="1" ht="36">
      <c r="A105" s="630">
        <v>45</v>
      </c>
      <c r="B105" s="3540" t="s">
        <v>1932</v>
      </c>
      <c r="C105" s="630" t="s">
        <v>1933</v>
      </c>
      <c r="D105" s="621" t="s">
        <v>1934</v>
      </c>
      <c r="E105" s="642">
        <v>0.2</v>
      </c>
      <c r="F105" s="630">
        <v>30</v>
      </c>
    </row>
    <row r="106" spans="1:6" s="606" customFormat="1" ht="36">
      <c r="A106" s="630">
        <v>46</v>
      </c>
      <c r="B106" s="3540"/>
      <c r="C106" s="630" t="s">
        <v>1935</v>
      </c>
      <c r="D106" s="621" t="s">
        <v>1936</v>
      </c>
      <c r="E106" s="642">
        <v>0.2</v>
      </c>
      <c r="F106" s="630">
        <v>30</v>
      </c>
    </row>
    <row r="107" spans="1:6" s="606" customFormat="1" ht="36">
      <c r="A107" s="630">
        <v>47</v>
      </c>
      <c r="B107" s="3540" t="s">
        <v>1937</v>
      </c>
      <c r="C107" s="630" t="s">
        <v>1938</v>
      </c>
      <c r="D107" s="621" t="s">
        <v>1939</v>
      </c>
      <c r="E107" s="642">
        <v>0.3</v>
      </c>
      <c r="F107" s="630">
        <v>50</v>
      </c>
    </row>
    <row r="108" spans="1:6" s="606" customFormat="1" ht="36">
      <c r="A108" s="630">
        <v>48</v>
      </c>
      <c r="B108" s="3540"/>
      <c r="C108" s="630" t="s">
        <v>1940</v>
      </c>
      <c r="D108" s="621" t="s">
        <v>1941</v>
      </c>
      <c r="E108" s="642">
        <v>0.2</v>
      </c>
      <c r="F108" s="630">
        <v>30</v>
      </c>
    </row>
    <row r="109" spans="1:6" s="606" customFormat="1" ht="36">
      <c r="A109" s="630">
        <v>49</v>
      </c>
      <c r="B109" s="630" t="s">
        <v>1942</v>
      </c>
      <c r="C109" s="630" t="s">
        <v>1943</v>
      </c>
      <c r="D109" s="621" t="s">
        <v>1944</v>
      </c>
      <c r="E109" s="642">
        <v>0.2</v>
      </c>
      <c r="F109" s="630">
        <v>30</v>
      </c>
    </row>
    <row r="110" spans="1:6" s="606" customFormat="1" ht="36">
      <c r="A110" s="630">
        <v>50</v>
      </c>
      <c r="B110" s="630" t="s">
        <v>1945</v>
      </c>
      <c r="C110" s="630" t="s">
        <v>1946</v>
      </c>
      <c r="D110" s="621" t="s">
        <v>1947</v>
      </c>
      <c r="E110" s="642">
        <v>0.2</v>
      </c>
      <c r="F110" s="630">
        <v>30</v>
      </c>
    </row>
    <row r="111" spans="1:6" s="606" customFormat="1" ht="36">
      <c r="A111" s="630">
        <v>51</v>
      </c>
      <c r="B111" s="3540" t="s">
        <v>1948</v>
      </c>
      <c r="C111" s="630" t="s">
        <v>1949</v>
      </c>
      <c r="D111" s="621" t="s">
        <v>1950</v>
      </c>
      <c r="E111" s="642">
        <v>0.2</v>
      </c>
      <c r="F111" s="630">
        <v>30</v>
      </c>
    </row>
    <row r="112" spans="1:6" s="606" customFormat="1" ht="24">
      <c r="A112" s="630">
        <v>52</v>
      </c>
      <c r="B112" s="3540"/>
      <c r="C112" s="630" t="s">
        <v>1951</v>
      </c>
      <c r="D112" s="621" t="s">
        <v>1952</v>
      </c>
      <c r="E112" s="642">
        <v>0.2</v>
      </c>
      <c r="F112" s="630">
        <v>30</v>
      </c>
    </row>
    <row r="113" spans="1:6" s="606" customFormat="1" ht="24">
      <c r="A113" s="630">
        <v>53</v>
      </c>
      <c r="B113" s="3540"/>
      <c r="C113" s="630" t="s">
        <v>1953</v>
      </c>
      <c r="D113" s="621" t="s">
        <v>1954</v>
      </c>
      <c r="E113" s="642">
        <v>0.2</v>
      </c>
      <c r="F113" s="630">
        <v>30</v>
      </c>
    </row>
    <row r="114" spans="1:6" ht="36">
      <c r="A114" s="630">
        <v>54</v>
      </c>
      <c r="B114" s="630" t="s">
        <v>1955</v>
      </c>
      <c r="C114" s="630" t="s">
        <v>1956</v>
      </c>
      <c r="D114" s="621" t="s">
        <v>1957</v>
      </c>
      <c r="E114" s="642">
        <v>0.2</v>
      </c>
      <c r="F114" s="630">
        <v>30</v>
      </c>
    </row>
    <row r="115" spans="1:6" ht="24">
      <c r="A115" s="630">
        <v>55</v>
      </c>
      <c r="B115" s="630" t="s">
        <v>1958</v>
      </c>
      <c r="C115" s="630" t="s">
        <v>1959</v>
      </c>
      <c r="D115" s="621" t="s">
        <v>1960</v>
      </c>
      <c r="E115" s="642">
        <v>0.2</v>
      </c>
      <c r="F115" s="630">
        <v>30</v>
      </c>
    </row>
    <row r="116" spans="1:6" ht="24">
      <c r="A116" s="630">
        <v>56</v>
      </c>
      <c r="B116" s="3540" t="s">
        <v>1961</v>
      </c>
      <c r="C116" s="630" t="s">
        <v>1962</v>
      </c>
      <c r="D116" s="621" t="s">
        <v>1963</v>
      </c>
      <c r="E116" s="642">
        <v>0.2</v>
      </c>
      <c r="F116" s="630">
        <v>30</v>
      </c>
    </row>
    <row r="117" spans="1:6" ht="36">
      <c r="A117" s="630">
        <v>57</v>
      </c>
      <c r="B117" s="3540"/>
      <c r="C117" s="630" t="s">
        <v>1964</v>
      </c>
      <c r="D117" s="621" t="s">
        <v>1965</v>
      </c>
      <c r="E117" s="642">
        <v>0.2</v>
      </c>
      <c r="F117" s="630">
        <v>30</v>
      </c>
    </row>
    <row r="118" spans="1:6" ht="36">
      <c r="A118" s="630">
        <v>58</v>
      </c>
      <c r="B118" s="630" t="s">
        <v>1966</v>
      </c>
      <c r="C118" s="630" t="s">
        <v>1967</v>
      </c>
      <c r="D118" s="621" t="s">
        <v>1968</v>
      </c>
      <c r="E118" s="642">
        <v>0.2</v>
      </c>
      <c r="F118" s="630">
        <v>30</v>
      </c>
    </row>
    <row r="119" spans="1:6" ht="13.5">
      <c r="A119" s="630"/>
      <c r="B119" s="630"/>
      <c r="C119" s="630" t="s">
        <v>1837</v>
      </c>
      <c r="D119" s="630"/>
      <c r="E119" s="642" t="s">
        <v>124</v>
      </c>
      <c r="F119" s="63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94"/>
    <col min="2" max="16384" width="9" style="595"/>
  </cols>
  <sheetData>
    <row r="1" spans="1:14" ht="14.25">
      <c r="A1" s="596" t="s">
        <v>1969</v>
      </c>
      <c r="B1" s="597"/>
      <c r="C1" s="597"/>
      <c r="D1" s="597"/>
      <c r="E1" s="597"/>
      <c r="F1" s="597"/>
      <c r="G1" s="597"/>
      <c r="H1" s="597"/>
      <c r="I1" s="597"/>
      <c r="J1" s="597"/>
      <c r="K1" s="597"/>
      <c r="L1" s="597"/>
      <c r="M1" s="597"/>
      <c r="N1" s="597"/>
    </row>
    <row r="2" spans="1:14">
      <c r="A2" s="598" t="s">
        <v>1970</v>
      </c>
      <c r="B2" s="599" t="s">
        <v>232</v>
      </c>
      <c r="C2" s="599" t="s">
        <v>243</v>
      </c>
      <c r="D2" s="599" t="s">
        <v>253</v>
      </c>
      <c r="E2" s="599" t="s">
        <v>261</v>
      </c>
      <c r="F2" s="599" t="s">
        <v>269</v>
      </c>
      <c r="G2" s="599" t="s">
        <v>275</v>
      </c>
      <c r="H2" s="600" t="s">
        <v>280</v>
      </c>
      <c r="I2" s="600" t="s">
        <v>285</v>
      </c>
      <c r="J2" s="603" t="s">
        <v>288</v>
      </c>
      <c r="K2" s="603" t="s">
        <v>291</v>
      </c>
      <c r="L2" s="603" t="s">
        <v>294</v>
      </c>
      <c r="M2" s="603" t="s">
        <v>297</v>
      </c>
    </row>
    <row r="3" spans="1:14">
      <c r="A3" s="598">
        <v>0.1</v>
      </c>
      <c r="B3" s="601">
        <v>15.052</v>
      </c>
      <c r="C3" s="601">
        <v>15.052</v>
      </c>
      <c r="D3" s="601">
        <v>14.263</v>
      </c>
      <c r="E3" s="601">
        <v>14.263</v>
      </c>
      <c r="F3" s="601">
        <v>14.263</v>
      </c>
      <c r="G3" s="601">
        <v>14.263</v>
      </c>
      <c r="H3" s="601">
        <v>14.263</v>
      </c>
      <c r="I3" s="601">
        <v>14.097</v>
      </c>
      <c r="J3" s="601">
        <v>14.097</v>
      </c>
      <c r="K3" s="601">
        <v>14.097</v>
      </c>
      <c r="L3" s="601">
        <v>14.097</v>
      </c>
      <c r="M3" s="601">
        <v>14.097</v>
      </c>
      <c r="N3" s="604"/>
    </row>
    <row r="4" spans="1:14">
      <c r="A4" s="598">
        <v>0.2</v>
      </c>
      <c r="B4" s="601">
        <v>7.5259999999999998</v>
      </c>
      <c r="C4" s="601">
        <v>7.5259999999999998</v>
      </c>
      <c r="D4" s="601">
        <v>7.1315</v>
      </c>
      <c r="E4" s="601">
        <v>7.1315</v>
      </c>
      <c r="F4" s="601">
        <v>7.1315</v>
      </c>
      <c r="G4" s="601">
        <v>7.1315</v>
      </c>
      <c r="H4" s="601">
        <v>7.1315</v>
      </c>
      <c r="I4" s="601">
        <v>7.0484999999999998</v>
      </c>
      <c r="J4" s="601">
        <v>7.0484999999999998</v>
      </c>
      <c r="K4" s="601">
        <v>7.0484999999999998</v>
      </c>
      <c r="L4" s="601">
        <v>7.0484999999999998</v>
      </c>
      <c r="M4" s="601">
        <v>7.0484999999999998</v>
      </c>
    </row>
    <row r="5" spans="1:14">
      <c r="A5" s="598">
        <v>0.3</v>
      </c>
      <c r="B5" s="601">
        <v>5.0172999999999996</v>
      </c>
      <c r="C5" s="601">
        <v>5.0172999999999996</v>
      </c>
      <c r="D5" s="601">
        <v>4.7542999999999997</v>
      </c>
      <c r="E5" s="601">
        <v>4.7542999999999997</v>
      </c>
      <c r="F5" s="601">
        <v>4.7542999999999997</v>
      </c>
      <c r="G5" s="601">
        <v>4.7542999999999997</v>
      </c>
      <c r="H5" s="601">
        <v>4.7542999999999997</v>
      </c>
      <c r="I5" s="601">
        <v>4.6989999999999998</v>
      </c>
      <c r="J5" s="601">
        <v>4.6989999999999998</v>
      </c>
      <c r="K5" s="601">
        <v>4.6989999999999998</v>
      </c>
      <c r="L5" s="601">
        <v>4.6989999999999998</v>
      </c>
      <c r="M5" s="601">
        <v>4.6989999999999998</v>
      </c>
    </row>
    <row r="6" spans="1:14">
      <c r="A6" s="598">
        <v>0.4</v>
      </c>
      <c r="B6" s="601">
        <v>3.7629999999999999</v>
      </c>
      <c r="C6" s="601">
        <v>3.7629999999999999</v>
      </c>
      <c r="D6" s="601">
        <v>3.5657999999999999</v>
      </c>
      <c r="E6" s="601">
        <v>3.5657999999999999</v>
      </c>
      <c r="F6" s="601">
        <v>3.5657999999999999</v>
      </c>
      <c r="G6" s="601">
        <v>3.5657999999999999</v>
      </c>
      <c r="H6" s="601">
        <v>3.5657999999999999</v>
      </c>
      <c r="I6" s="601">
        <v>3.5243000000000002</v>
      </c>
      <c r="J6" s="601">
        <v>3.5243000000000002</v>
      </c>
      <c r="K6" s="601">
        <v>3.5243000000000002</v>
      </c>
      <c r="L6" s="601">
        <v>3.5243000000000002</v>
      </c>
      <c r="M6" s="601">
        <v>3.5243000000000002</v>
      </c>
    </row>
    <row r="7" spans="1:14">
      <c r="A7" s="598">
        <v>0.5</v>
      </c>
      <c r="B7" s="601">
        <v>3.0104000000000002</v>
      </c>
      <c r="C7" s="601">
        <v>3.0104000000000002</v>
      </c>
      <c r="D7" s="601">
        <v>2.8525999999999998</v>
      </c>
      <c r="E7" s="601">
        <v>2.8525999999999998</v>
      </c>
      <c r="F7" s="601">
        <v>2.8525999999999998</v>
      </c>
      <c r="G7" s="601">
        <v>2.8525999999999998</v>
      </c>
      <c r="H7" s="601">
        <v>2.8525999999999998</v>
      </c>
      <c r="I7" s="601">
        <v>2.8193999999999999</v>
      </c>
      <c r="J7" s="601">
        <v>2.8193999999999999</v>
      </c>
      <c r="K7" s="601">
        <v>2.8193999999999999</v>
      </c>
      <c r="L7" s="601">
        <v>2.8193999999999999</v>
      </c>
      <c r="M7" s="601">
        <v>2.8193999999999999</v>
      </c>
    </row>
    <row r="8" spans="1:14">
      <c r="A8" s="598">
        <v>0.6</v>
      </c>
      <c r="B8" s="601">
        <v>2.5087000000000002</v>
      </c>
      <c r="C8" s="601">
        <v>2.5087000000000002</v>
      </c>
      <c r="D8" s="601">
        <v>2.3772000000000002</v>
      </c>
      <c r="E8" s="601">
        <v>2.3772000000000002</v>
      </c>
      <c r="F8" s="601">
        <v>2.3772000000000002</v>
      </c>
      <c r="G8" s="601">
        <v>2.3772000000000002</v>
      </c>
      <c r="H8" s="601">
        <v>2.3772000000000002</v>
      </c>
      <c r="I8" s="601">
        <v>2.3494999999999999</v>
      </c>
      <c r="J8" s="601">
        <v>2.3494999999999999</v>
      </c>
      <c r="K8" s="601">
        <v>2.3494999999999999</v>
      </c>
      <c r="L8" s="601">
        <v>2.3494999999999999</v>
      </c>
      <c r="M8" s="601">
        <v>2.3494999999999999</v>
      </c>
    </row>
    <row r="9" spans="1:14">
      <c r="A9" s="598">
        <v>0.7</v>
      </c>
      <c r="B9" s="601">
        <v>2.1503000000000001</v>
      </c>
      <c r="C9" s="601">
        <v>2.1503000000000001</v>
      </c>
      <c r="D9" s="601">
        <v>2.0375999999999999</v>
      </c>
      <c r="E9" s="601">
        <v>2.0375999999999999</v>
      </c>
      <c r="F9" s="601">
        <v>2.0375999999999999</v>
      </c>
      <c r="G9" s="601">
        <v>2.0375999999999999</v>
      </c>
      <c r="H9" s="601">
        <v>2.0375999999999999</v>
      </c>
      <c r="I9" s="601">
        <v>2.0139</v>
      </c>
      <c r="J9" s="601">
        <v>2.0139</v>
      </c>
      <c r="K9" s="601">
        <v>2.0139</v>
      </c>
      <c r="L9" s="601">
        <v>2.0139</v>
      </c>
      <c r="M9" s="601">
        <v>2.0139</v>
      </c>
    </row>
    <row r="10" spans="1:14">
      <c r="A10" s="598">
        <v>0.8</v>
      </c>
      <c r="B10" s="601">
        <v>1.8815</v>
      </c>
      <c r="C10" s="601">
        <v>1.8815</v>
      </c>
      <c r="D10" s="601">
        <v>1.7828999999999999</v>
      </c>
      <c r="E10" s="601">
        <v>1.7828999999999999</v>
      </c>
      <c r="F10" s="601">
        <v>1.7828999999999999</v>
      </c>
      <c r="G10" s="601">
        <v>1.7828999999999999</v>
      </c>
      <c r="H10" s="601">
        <v>1.7828999999999999</v>
      </c>
      <c r="I10" s="601">
        <v>1.7621</v>
      </c>
      <c r="J10" s="601">
        <v>1.7621</v>
      </c>
      <c r="K10" s="601">
        <v>1.7621</v>
      </c>
      <c r="L10" s="601">
        <v>1.7621</v>
      </c>
      <c r="M10" s="601">
        <v>1.7621</v>
      </c>
    </row>
    <row r="11" spans="1:14">
      <c r="A11" s="598">
        <v>0.9</v>
      </c>
      <c r="B11" s="601">
        <v>1.6724000000000001</v>
      </c>
      <c r="C11" s="601">
        <v>1.6724000000000001</v>
      </c>
      <c r="D11" s="601">
        <v>1.5848</v>
      </c>
      <c r="E11" s="601">
        <v>1.5848</v>
      </c>
      <c r="F11" s="601">
        <v>1.5848</v>
      </c>
      <c r="G11" s="601">
        <v>1.5848</v>
      </c>
      <c r="H11" s="601">
        <v>1.5848</v>
      </c>
      <c r="I11" s="601">
        <v>1.5663</v>
      </c>
      <c r="J11" s="601">
        <v>1.5663</v>
      </c>
      <c r="K11" s="601">
        <v>1.5663</v>
      </c>
      <c r="L11" s="601">
        <v>1.5663</v>
      </c>
      <c r="M11" s="601">
        <v>1.5663</v>
      </c>
    </row>
    <row r="12" spans="1:14">
      <c r="A12" s="598">
        <v>1</v>
      </c>
      <c r="B12" s="601">
        <v>1.5052000000000001</v>
      </c>
      <c r="C12" s="601">
        <v>1.5052000000000001</v>
      </c>
      <c r="D12" s="601">
        <v>1.4262999999999999</v>
      </c>
      <c r="E12" s="601">
        <v>1.4262999999999999</v>
      </c>
      <c r="F12" s="601">
        <v>1.4262999999999999</v>
      </c>
      <c r="G12" s="601">
        <v>1.4262999999999999</v>
      </c>
      <c r="H12" s="601">
        <v>1.4262999999999999</v>
      </c>
      <c r="I12" s="601">
        <v>1.4097</v>
      </c>
      <c r="J12" s="601">
        <v>1.4097</v>
      </c>
      <c r="K12" s="601">
        <v>1.4097</v>
      </c>
      <c r="L12" s="601">
        <v>1.4097</v>
      </c>
      <c r="M12" s="601">
        <v>1.4097</v>
      </c>
    </row>
    <row r="13" spans="1:14">
      <c r="A13" s="598">
        <v>1.1000000000000001</v>
      </c>
      <c r="B13" s="601">
        <v>1.4509000000000001</v>
      </c>
      <c r="C13" s="601">
        <v>1.4509000000000001</v>
      </c>
      <c r="D13" s="601">
        <v>1.3697999999999999</v>
      </c>
      <c r="E13" s="601">
        <v>1.3697999999999999</v>
      </c>
      <c r="F13" s="601">
        <v>1.3697999999999999</v>
      </c>
      <c r="G13" s="601">
        <v>1.3697999999999999</v>
      </c>
      <c r="H13" s="601">
        <v>1.3697999999999999</v>
      </c>
      <c r="I13" s="601">
        <v>1.343</v>
      </c>
      <c r="J13" s="601">
        <v>1.343</v>
      </c>
      <c r="K13" s="601">
        <v>1.343</v>
      </c>
      <c r="L13" s="601">
        <v>1.343</v>
      </c>
      <c r="M13" s="601">
        <v>1.343</v>
      </c>
    </row>
    <row r="14" spans="1:14">
      <c r="A14" s="598">
        <v>1.2</v>
      </c>
      <c r="B14" s="601">
        <v>1.4035</v>
      </c>
      <c r="C14" s="601">
        <v>1.4035</v>
      </c>
      <c r="D14" s="601">
        <v>1.3205</v>
      </c>
      <c r="E14" s="601">
        <v>1.3205</v>
      </c>
      <c r="F14" s="601">
        <v>1.3205</v>
      </c>
      <c r="G14" s="601">
        <v>1.3205</v>
      </c>
      <c r="H14" s="601">
        <v>1.3205</v>
      </c>
      <c r="I14" s="601">
        <v>1.2845</v>
      </c>
      <c r="J14" s="601">
        <v>1.2845</v>
      </c>
      <c r="K14" s="601">
        <v>1.2845</v>
      </c>
      <c r="L14" s="601">
        <v>1.2845</v>
      </c>
      <c r="M14" s="601">
        <v>1.2845</v>
      </c>
    </row>
    <row r="15" spans="1:14">
      <c r="A15" s="598">
        <v>1.3</v>
      </c>
      <c r="B15" s="601">
        <v>1.3622000000000001</v>
      </c>
      <c r="C15" s="601">
        <v>1.3622000000000001</v>
      </c>
      <c r="D15" s="601">
        <v>1.2775000000000001</v>
      </c>
      <c r="E15" s="601">
        <v>1.2775000000000001</v>
      </c>
      <c r="F15" s="601">
        <v>1.2775000000000001</v>
      </c>
      <c r="G15" s="601">
        <v>1.2775000000000001</v>
      </c>
      <c r="H15" s="601">
        <v>1.2775000000000001</v>
      </c>
      <c r="I15" s="601">
        <v>1.2332000000000001</v>
      </c>
      <c r="J15" s="601">
        <v>1.2332000000000001</v>
      </c>
      <c r="K15" s="601">
        <v>1.2332000000000001</v>
      </c>
      <c r="L15" s="601">
        <v>1.2332000000000001</v>
      </c>
      <c r="M15" s="601">
        <v>1.2332000000000001</v>
      </c>
    </row>
    <row r="16" spans="1:14">
      <c r="A16" s="598">
        <v>1.4</v>
      </c>
      <c r="B16" s="601">
        <v>1.3262</v>
      </c>
      <c r="C16" s="601">
        <v>1.3262</v>
      </c>
      <c r="D16" s="601">
        <v>1.2402</v>
      </c>
      <c r="E16" s="601">
        <v>1.2402</v>
      </c>
      <c r="F16" s="601">
        <v>1.2402</v>
      </c>
      <c r="G16" s="601">
        <v>1.2402</v>
      </c>
      <c r="H16" s="601">
        <v>1.2402</v>
      </c>
      <c r="I16" s="601">
        <v>1.1881999999999999</v>
      </c>
      <c r="J16" s="601">
        <v>1.1881999999999999</v>
      </c>
      <c r="K16" s="601">
        <v>1.1881999999999999</v>
      </c>
      <c r="L16" s="601">
        <v>1.1881999999999999</v>
      </c>
      <c r="M16" s="601">
        <v>1.1881999999999999</v>
      </c>
      <c r="N16" s="604"/>
    </row>
    <row r="17" spans="1:14">
      <c r="A17" s="598">
        <v>1.5</v>
      </c>
      <c r="B17" s="601">
        <v>1.2948</v>
      </c>
      <c r="C17" s="601">
        <v>1.2948</v>
      </c>
      <c r="D17" s="601">
        <v>1.2075</v>
      </c>
      <c r="E17" s="601">
        <v>1.2075</v>
      </c>
      <c r="F17" s="601">
        <v>1.2075</v>
      </c>
      <c r="G17" s="601">
        <v>1.2075</v>
      </c>
      <c r="H17" s="601">
        <v>1.2075</v>
      </c>
      <c r="I17" s="601">
        <v>1.1486000000000001</v>
      </c>
      <c r="J17" s="601">
        <v>1.1486000000000001</v>
      </c>
      <c r="K17" s="601">
        <v>1.1486000000000001</v>
      </c>
      <c r="L17" s="601">
        <v>1.1486000000000001</v>
      </c>
      <c r="M17" s="601">
        <v>1.1486000000000001</v>
      </c>
      <c r="N17" s="604"/>
    </row>
    <row r="18" spans="1:14">
      <c r="A18" s="598">
        <v>1.6</v>
      </c>
      <c r="B18" s="601">
        <v>1.2673000000000001</v>
      </c>
      <c r="C18" s="601">
        <v>1.2673000000000001</v>
      </c>
      <c r="D18" s="601">
        <v>1.1789000000000001</v>
      </c>
      <c r="E18" s="601">
        <v>1.1789000000000001</v>
      </c>
      <c r="F18" s="601">
        <v>1.1789000000000001</v>
      </c>
      <c r="G18" s="601">
        <v>1.1789000000000001</v>
      </c>
      <c r="H18" s="601">
        <v>1.1789000000000001</v>
      </c>
      <c r="I18" s="601">
        <v>1.1134999999999999</v>
      </c>
      <c r="J18" s="601">
        <v>1.1134999999999999</v>
      </c>
      <c r="K18" s="601">
        <v>1.1134999999999999</v>
      </c>
      <c r="L18" s="601">
        <v>1.1134999999999999</v>
      </c>
      <c r="M18" s="601">
        <v>1.1134999999999999</v>
      </c>
    </row>
    <row r="19" spans="1:14">
      <c r="A19" s="598">
        <v>1.7</v>
      </c>
      <c r="B19" s="601">
        <v>1.2428999999999999</v>
      </c>
      <c r="C19" s="601">
        <v>1.2428999999999999</v>
      </c>
      <c r="D19" s="601">
        <v>1.1534</v>
      </c>
      <c r="E19" s="601">
        <v>1.1534</v>
      </c>
      <c r="F19" s="601">
        <v>1.1534</v>
      </c>
      <c r="G19" s="601">
        <v>1.1534</v>
      </c>
      <c r="H19" s="601">
        <v>1.1534</v>
      </c>
      <c r="I19" s="601">
        <v>1.0820000000000001</v>
      </c>
      <c r="J19" s="601">
        <v>1.0820000000000001</v>
      </c>
      <c r="K19" s="601">
        <v>1.0820000000000001</v>
      </c>
      <c r="L19" s="601">
        <v>1.0820000000000001</v>
      </c>
      <c r="M19" s="601">
        <v>1.0820000000000001</v>
      </c>
    </row>
    <row r="20" spans="1:14">
      <c r="A20" s="598">
        <v>1.8</v>
      </c>
      <c r="B20" s="601">
        <v>1.2206999999999999</v>
      </c>
      <c r="C20" s="601">
        <v>1.2206999999999999</v>
      </c>
      <c r="D20" s="601">
        <v>1.1304000000000001</v>
      </c>
      <c r="E20" s="601">
        <v>1.1304000000000001</v>
      </c>
      <c r="F20" s="601">
        <v>1.1304000000000001</v>
      </c>
      <c r="G20" s="601">
        <v>1.1304000000000001</v>
      </c>
      <c r="H20" s="601">
        <v>1.1304000000000001</v>
      </c>
      <c r="I20" s="601">
        <v>1.0531999999999999</v>
      </c>
      <c r="J20" s="601">
        <v>1.0531999999999999</v>
      </c>
      <c r="K20" s="601">
        <v>1.0531999999999999</v>
      </c>
      <c r="L20" s="601">
        <v>1.0531999999999999</v>
      </c>
      <c r="M20" s="601">
        <v>1.0531999999999999</v>
      </c>
    </row>
    <row r="21" spans="1:14">
      <c r="A21" s="598">
        <v>1.9</v>
      </c>
      <c r="B21" s="601">
        <v>1.2</v>
      </c>
      <c r="C21" s="601">
        <v>1.2</v>
      </c>
      <c r="D21" s="601">
        <v>1.1089</v>
      </c>
      <c r="E21" s="601">
        <v>1.1089</v>
      </c>
      <c r="F21" s="601">
        <v>1.1089</v>
      </c>
      <c r="G21" s="601">
        <v>1.1089</v>
      </c>
      <c r="H21" s="601">
        <v>1.1089</v>
      </c>
      <c r="I21" s="601">
        <v>1.0261</v>
      </c>
      <c r="J21" s="601">
        <v>1.0261</v>
      </c>
      <c r="K21" s="601">
        <v>1.0261</v>
      </c>
      <c r="L21" s="601">
        <v>1.0261</v>
      </c>
      <c r="M21" s="601">
        <v>1.0261</v>
      </c>
    </row>
    <row r="22" spans="1:14">
      <c r="A22" s="598">
        <v>2</v>
      </c>
      <c r="B22" s="601">
        <v>1.1800999999999999</v>
      </c>
      <c r="C22" s="601">
        <v>1.1800999999999999</v>
      </c>
      <c r="D22" s="601">
        <v>1.0883</v>
      </c>
      <c r="E22" s="601">
        <v>1.0883</v>
      </c>
      <c r="F22" s="601">
        <v>1.0883</v>
      </c>
      <c r="G22" s="601">
        <v>1.0883</v>
      </c>
      <c r="H22" s="601">
        <v>1.0883</v>
      </c>
      <c r="I22" s="601">
        <v>1</v>
      </c>
      <c r="J22" s="601">
        <v>1</v>
      </c>
      <c r="K22" s="601">
        <v>1</v>
      </c>
      <c r="L22" s="601">
        <v>1</v>
      </c>
      <c r="M22" s="601">
        <v>1</v>
      </c>
    </row>
    <row r="23" spans="1:14">
      <c r="A23" s="602">
        <v>2.1</v>
      </c>
      <c r="B23" s="601">
        <v>1.1616</v>
      </c>
      <c r="C23" s="601">
        <v>1.1616</v>
      </c>
      <c r="D23" s="601">
        <v>1.0685</v>
      </c>
      <c r="E23" s="601">
        <v>1.0685</v>
      </c>
      <c r="F23" s="601">
        <v>1.0685</v>
      </c>
      <c r="G23" s="601">
        <v>1.0685</v>
      </c>
      <c r="H23" s="601">
        <v>1.0685</v>
      </c>
      <c r="I23" s="601">
        <v>0.97550000000000003</v>
      </c>
      <c r="J23" s="601">
        <v>0.97550000000000003</v>
      </c>
      <c r="K23" s="601">
        <v>0.97550000000000003</v>
      </c>
      <c r="L23" s="601">
        <v>0.97550000000000003</v>
      </c>
      <c r="M23" s="601">
        <v>0.97550000000000003</v>
      </c>
    </row>
    <row r="24" spans="1:14">
      <c r="A24" s="602">
        <v>2.2000000000000002</v>
      </c>
      <c r="B24" s="601">
        <v>1.1440999999999999</v>
      </c>
      <c r="C24" s="601">
        <v>1.1440999999999999</v>
      </c>
      <c r="D24" s="601">
        <v>1.0497000000000001</v>
      </c>
      <c r="E24" s="601">
        <v>1.0497000000000001</v>
      </c>
      <c r="F24" s="601">
        <v>1.0497000000000001</v>
      </c>
      <c r="G24" s="601">
        <v>1.0497000000000001</v>
      </c>
      <c r="H24" s="601">
        <v>1.0497000000000001</v>
      </c>
      <c r="I24" s="601">
        <v>0.95230000000000004</v>
      </c>
      <c r="J24" s="601">
        <v>0.95230000000000004</v>
      </c>
      <c r="K24" s="601">
        <v>0.95230000000000004</v>
      </c>
      <c r="L24" s="601">
        <v>0.95230000000000004</v>
      </c>
      <c r="M24" s="601">
        <v>0.95230000000000004</v>
      </c>
    </row>
    <row r="25" spans="1:14">
      <c r="A25" s="602">
        <v>2.2999999999999998</v>
      </c>
      <c r="B25" s="601">
        <v>1.1275999999999999</v>
      </c>
      <c r="C25" s="601">
        <v>1.1275999999999999</v>
      </c>
      <c r="D25" s="601">
        <v>1.032</v>
      </c>
      <c r="E25" s="601">
        <v>1.032</v>
      </c>
      <c r="F25" s="601">
        <v>1.032</v>
      </c>
      <c r="G25" s="601">
        <v>1.032</v>
      </c>
      <c r="H25" s="601">
        <v>1.032</v>
      </c>
      <c r="I25" s="601">
        <v>0.9304</v>
      </c>
      <c r="J25" s="601">
        <v>0.9304</v>
      </c>
      <c r="K25" s="601">
        <v>0.9304</v>
      </c>
      <c r="L25" s="601">
        <v>0.9304</v>
      </c>
      <c r="M25" s="601">
        <v>0.9304</v>
      </c>
    </row>
    <row r="26" spans="1:14">
      <c r="A26" s="602">
        <v>2.4</v>
      </c>
      <c r="B26" s="601">
        <v>1.1121000000000001</v>
      </c>
      <c r="C26" s="601">
        <v>1.1121000000000001</v>
      </c>
      <c r="D26" s="601">
        <v>1.0155000000000001</v>
      </c>
      <c r="E26" s="601">
        <v>1.0155000000000001</v>
      </c>
      <c r="F26" s="601">
        <v>1.0155000000000001</v>
      </c>
      <c r="G26" s="601">
        <v>1.0155000000000001</v>
      </c>
      <c r="H26" s="601">
        <v>1.0155000000000001</v>
      </c>
      <c r="I26" s="601">
        <v>0.91</v>
      </c>
      <c r="J26" s="601">
        <v>0.91</v>
      </c>
      <c r="K26" s="601">
        <v>0.91</v>
      </c>
      <c r="L26" s="601">
        <v>0.91</v>
      </c>
      <c r="M26" s="601">
        <v>0.91</v>
      </c>
    </row>
    <row r="27" spans="1:14">
      <c r="A27" s="602">
        <v>2.5</v>
      </c>
      <c r="B27" s="601">
        <v>1.0975999999999999</v>
      </c>
      <c r="C27" s="601">
        <v>1.0975999999999999</v>
      </c>
      <c r="D27" s="601">
        <v>1</v>
      </c>
      <c r="E27" s="601">
        <v>1</v>
      </c>
      <c r="F27" s="601">
        <v>1</v>
      </c>
      <c r="G27" s="601">
        <v>1</v>
      </c>
      <c r="H27" s="601">
        <v>1</v>
      </c>
      <c r="I27" s="601">
        <v>0.89080000000000004</v>
      </c>
      <c r="J27" s="601">
        <v>0.89080000000000004</v>
      </c>
      <c r="K27" s="601">
        <v>0.89080000000000004</v>
      </c>
      <c r="L27" s="601">
        <v>0.89080000000000004</v>
      </c>
      <c r="M27" s="601">
        <v>0.89080000000000004</v>
      </c>
    </row>
    <row r="28" spans="1:14">
      <c r="A28" s="602">
        <v>2.6</v>
      </c>
      <c r="B28" s="601">
        <v>1.0841000000000001</v>
      </c>
      <c r="C28" s="601">
        <v>1.0841000000000001</v>
      </c>
      <c r="D28" s="601">
        <v>0.98619999999999997</v>
      </c>
      <c r="E28" s="601">
        <v>0.98619999999999997</v>
      </c>
      <c r="F28" s="601">
        <v>0.98619999999999997</v>
      </c>
      <c r="G28" s="601">
        <v>0.98619999999999997</v>
      </c>
      <c r="H28" s="601">
        <v>0.98619999999999997</v>
      </c>
      <c r="I28" s="601">
        <v>0.873</v>
      </c>
      <c r="J28" s="601">
        <v>0.873</v>
      </c>
      <c r="K28" s="601">
        <v>0.873</v>
      </c>
      <c r="L28" s="601">
        <v>0.873</v>
      </c>
      <c r="M28" s="601">
        <v>0.873</v>
      </c>
    </row>
    <row r="29" spans="1:14">
      <c r="A29" s="602">
        <v>2.7</v>
      </c>
      <c r="B29" s="601">
        <v>1.0716000000000001</v>
      </c>
      <c r="C29" s="601">
        <v>1.0716000000000001</v>
      </c>
      <c r="D29" s="601">
        <v>0.97330000000000005</v>
      </c>
      <c r="E29" s="601">
        <v>0.97330000000000005</v>
      </c>
      <c r="F29" s="601">
        <v>0.97330000000000005</v>
      </c>
      <c r="G29" s="601">
        <v>0.97330000000000005</v>
      </c>
      <c r="H29" s="601">
        <v>0.97330000000000005</v>
      </c>
      <c r="I29" s="601">
        <v>0.85670000000000002</v>
      </c>
      <c r="J29" s="601">
        <v>0.85670000000000002</v>
      </c>
      <c r="K29" s="601">
        <v>0.85670000000000002</v>
      </c>
      <c r="L29" s="601">
        <v>0.85670000000000002</v>
      </c>
      <c r="M29" s="601">
        <v>0.85670000000000002</v>
      </c>
    </row>
    <row r="30" spans="1:14">
      <c r="A30" s="602">
        <v>2.8</v>
      </c>
      <c r="B30" s="601">
        <v>1.0602</v>
      </c>
      <c r="C30" s="601">
        <v>1.0602</v>
      </c>
      <c r="D30" s="601">
        <v>0.96160000000000001</v>
      </c>
      <c r="E30" s="601">
        <v>0.96160000000000001</v>
      </c>
      <c r="F30" s="601">
        <v>0.96160000000000001</v>
      </c>
      <c r="G30" s="601">
        <v>0.96160000000000001</v>
      </c>
      <c r="H30" s="601">
        <v>0.96160000000000001</v>
      </c>
      <c r="I30" s="601">
        <v>0.8417</v>
      </c>
      <c r="J30" s="601">
        <v>0.8417</v>
      </c>
      <c r="K30" s="601">
        <v>0.8417</v>
      </c>
      <c r="L30" s="601">
        <v>0.8417</v>
      </c>
      <c r="M30" s="601">
        <v>0.8417</v>
      </c>
    </row>
    <row r="31" spans="1:14">
      <c r="A31" s="602">
        <v>2.9</v>
      </c>
      <c r="B31" s="601">
        <v>1.0497000000000001</v>
      </c>
      <c r="C31" s="601">
        <v>1.0497000000000001</v>
      </c>
      <c r="D31" s="601">
        <v>0.95089999999999997</v>
      </c>
      <c r="E31" s="601">
        <v>0.95089999999999997</v>
      </c>
      <c r="F31" s="601">
        <v>0.95089999999999997</v>
      </c>
      <c r="G31" s="601">
        <v>0.95089999999999997</v>
      </c>
      <c r="H31" s="601">
        <v>0.95089999999999997</v>
      </c>
      <c r="I31" s="601">
        <v>0.82809999999999995</v>
      </c>
      <c r="J31" s="601">
        <v>0.82809999999999995</v>
      </c>
      <c r="K31" s="601">
        <v>0.82809999999999995</v>
      </c>
      <c r="L31" s="601">
        <v>0.82809999999999995</v>
      </c>
      <c r="M31" s="601">
        <v>0.82809999999999995</v>
      </c>
    </row>
    <row r="32" spans="1:14">
      <c r="A32" s="602">
        <v>3</v>
      </c>
      <c r="B32" s="601">
        <v>1.0401</v>
      </c>
      <c r="C32" s="601">
        <v>1.0401</v>
      </c>
      <c r="D32" s="601">
        <v>0.94089999999999996</v>
      </c>
      <c r="E32" s="601">
        <v>0.94089999999999996</v>
      </c>
      <c r="F32" s="601">
        <v>0.94089999999999996</v>
      </c>
      <c r="G32" s="601">
        <v>0.94089999999999996</v>
      </c>
      <c r="H32" s="601">
        <v>0.94089999999999996</v>
      </c>
      <c r="I32" s="601">
        <v>0.81579999999999997</v>
      </c>
      <c r="J32" s="601">
        <v>0.81579999999999997</v>
      </c>
      <c r="K32" s="601">
        <v>0.81579999999999997</v>
      </c>
      <c r="L32" s="601">
        <v>0.81579999999999997</v>
      </c>
      <c r="M32" s="601">
        <v>0.81579999999999997</v>
      </c>
    </row>
    <row r="33" spans="1:13">
      <c r="A33" s="602">
        <v>3.1</v>
      </c>
      <c r="B33" s="601">
        <v>1.0314000000000001</v>
      </c>
      <c r="C33" s="601">
        <v>1.0314000000000001</v>
      </c>
      <c r="D33" s="601">
        <v>0.93169999999999997</v>
      </c>
      <c r="E33" s="601">
        <v>0.93169999999999997</v>
      </c>
      <c r="F33" s="601">
        <v>0.93169999999999997</v>
      </c>
      <c r="G33" s="601">
        <v>0.93169999999999997</v>
      </c>
      <c r="H33" s="601">
        <v>0.93169999999999997</v>
      </c>
      <c r="I33" s="601">
        <v>0.80410000000000004</v>
      </c>
      <c r="J33" s="601">
        <v>0.80410000000000004</v>
      </c>
      <c r="K33" s="601">
        <v>0.80410000000000004</v>
      </c>
      <c r="L33" s="601">
        <v>0.80410000000000004</v>
      </c>
      <c r="M33" s="601">
        <v>0.80410000000000004</v>
      </c>
    </row>
    <row r="34" spans="1:13">
      <c r="A34" s="602">
        <v>3.2</v>
      </c>
      <c r="B34" s="601">
        <v>1.0229999999999999</v>
      </c>
      <c r="C34" s="601">
        <v>1.0229999999999999</v>
      </c>
      <c r="D34" s="601">
        <v>0.92279999999999995</v>
      </c>
      <c r="E34" s="601">
        <v>0.92279999999999995</v>
      </c>
      <c r="F34" s="601">
        <v>0.92279999999999995</v>
      </c>
      <c r="G34" s="601">
        <v>0.92279999999999995</v>
      </c>
      <c r="H34" s="601">
        <v>0.92279999999999995</v>
      </c>
      <c r="I34" s="601">
        <v>0.79300000000000004</v>
      </c>
      <c r="J34" s="601">
        <v>0.79300000000000004</v>
      </c>
      <c r="K34" s="601">
        <v>0.79300000000000004</v>
      </c>
      <c r="L34" s="601">
        <v>0.79300000000000004</v>
      </c>
      <c r="M34" s="601">
        <v>0.79300000000000004</v>
      </c>
    </row>
    <row r="35" spans="1:13">
      <c r="A35" s="602">
        <v>3.3</v>
      </c>
      <c r="B35" s="601">
        <v>1.0149999999999999</v>
      </c>
      <c r="C35" s="601">
        <v>1.0149999999999999</v>
      </c>
      <c r="D35" s="601">
        <v>0.91439999999999999</v>
      </c>
      <c r="E35" s="601">
        <v>0.91439999999999999</v>
      </c>
      <c r="F35" s="601">
        <v>0.91439999999999999</v>
      </c>
      <c r="G35" s="601">
        <v>0.91439999999999999</v>
      </c>
      <c r="H35" s="601">
        <v>0.91439999999999999</v>
      </c>
      <c r="I35" s="601">
        <v>0.78220000000000001</v>
      </c>
      <c r="J35" s="601">
        <v>0.78220000000000001</v>
      </c>
      <c r="K35" s="601">
        <v>0.78220000000000001</v>
      </c>
      <c r="L35" s="601">
        <v>0.78220000000000001</v>
      </c>
      <c r="M35" s="601">
        <v>0.78220000000000001</v>
      </c>
    </row>
    <row r="36" spans="1:13">
      <c r="A36" s="602">
        <v>3.4</v>
      </c>
      <c r="B36" s="601">
        <v>1.0073000000000001</v>
      </c>
      <c r="C36" s="601">
        <v>1.0073000000000001</v>
      </c>
      <c r="D36" s="601">
        <v>0.90629999999999999</v>
      </c>
      <c r="E36" s="601">
        <v>0.90629999999999999</v>
      </c>
      <c r="F36" s="601">
        <v>0.90629999999999999</v>
      </c>
      <c r="G36" s="601">
        <v>0.90629999999999999</v>
      </c>
      <c r="H36" s="601">
        <v>0.90629999999999999</v>
      </c>
      <c r="I36" s="601">
        <v>0.77210000000000001</v>
      </c>
      <c r="J36" s="601">
        <v>0.77210000000000001</v>
      </c>
      <c r="K36" s="601">
        <v>0.77210000000000001</v>
      </c>
      <c r="L36" s="601">
        <v>0.77210000000000001</v>
      </c>
      <c r="M36" s="601">
        <v>0.77210000000000001</v>
      </c>
    </row>
    <row r="37" spans="1:13">
      <c r="A37" s="602">
        <v>3.5</v>
      </c>
      <c r="B37" s="601">
        <v>1</v>
      </c>
      <c r="C37" s="601">
        <v>1</v>
      </c>
      <c r="D37" s="601">
        <v>0.89870000000000005</v>
      </c>
      <c r="E37" s="601">
        <v>0.89870000000000005</v>
      </c>
      <c r="F37" s="601">
        <v>0.89870000000000005</v>
      </c>
      <c r="G37" s="601">
        <v>0.89870000000000005</v>
      </c>
      <c r="H37" s="601">
        <v>0.89870000000000005</v>
      </c>
      <c r="I37" s="601">
        <v>0.76239999999999997</v>
      </c>
      <c r="J37" s="601">
        <v>0.76239999999999997</v>
      </c>
      <c r="K37" s="601">
        <v>0.76239999999999997</v>
      </c>
      <c r="L37" s="601">
        <v>0.76239999999999997</v>
      </c>
      <c r="M37" s="601">
        <v>0.76239999999999997</v>
      </c>
    </row>
    <row r="38" spans="1:13">
      <c r="A38" s="602">
        <v>3.6</v>
      </c>
      <c r="B38" s="601">
        <v>0.99329999999999996</v>
      </c>
      <c r="C38" s="601">
        <v>0.99329999999999996</v>
      </c>
      <c r="D38" s="601">
        <v>0.89139999999999997</v>
      </c>
      <c r="E38" s="601">
        <v>0.89139999999999997</v>
      </c>
      <c r="F38" s="601">
        <v>0.89139999999999997</v>
      </c>
      <c r="G38" s="601">
        <v>0.89139999999999997</v>
      </c>
      <c r="H38" s="601">
        <v>0.89139999999999997</v>
      </c>
      <c r="I38" s="601">
        <v>0.75319999999999998</v>
      </c>
      <c r="J38" s="601">
        <v>0.75319999999999998</v>
      </c>
      <c r="K38" s="601">
        <v>0.75319999999999998</v>
      </c>
      <c r="L38" s="601">
        <v>0.75319999999999998</v>
      </c>
      <c r="M38" s="601">
        <v>0.75319999999999998</v>
      </c>
    </row>
    <row r="39" spans="1:13">
      <c r="A39" s="602">
        <v>3.7</v>
      </c>
      <c r="B39" s="601">
        <v>0.9869</v>
      </c>
      <c r="C39" s="601">
        <v>0.9869</v>
      </c>
      <c r="D39" s="601">
        <v>0.88449999999999995</v>
      </c>
      <c r="E39" s="601">
        <v>0.88449999999999995</v>
      </c>
      <c r="F39" s="601">
        <v>0.88449999999999995</v>
      </c>
      <c r="G39" s="601">
        <v>0.88449999999999995</v>
      </c>
      <c r="H39" s="601">
        <v>0.88449999999999995</v>
      </c>
      <c r="I39" s="601">
        <v>0.74460000000000004</v>
      </c>
      <c r="J39" s="601">
        <v>0.74460000000000004</v>
      </c>
      <c r="K39" s="601">
        <v>0.74460000000000004</v>
      </c>
      <c r="L39" s="601">
        <v>0.74460000000000004</v>
      </c>
      <c r="M39" s="601">
        <v>0.74460000000000004</v>
      </c>
    </row>
    <row r="40" spans="1:13">
      <c r="A40" s="602">
        <v>3.8</v>
      </c>
      <c r="B40" s="601">
        <v>0.98080000000000001</v>
      </c>
      <c r="C40" s="601">
        <v>0.98080000000000001</v>
      </c>
      <c r="D40" s="601">
        <v>0.87809999999999999</v>
      </c>
      <c r="E40" s="601">
        <v>0.87809999999999999</v>
      </c>
      <c r="F40" s="601">
        <v>0.87809999999999999</v>
      </c>
      <c r="G40" s="601">
        <v>0.87809999999999999</v>
      </c>
      <c r="H40" s="601">
        <v>0.87809999999999999</v>
      </c>
      <c r="I40" s="601">
        <v>0.73640000000000005</v>
      </c>
      <c r="J40" s="601">
        <v>0.73640000000000005</v>
      </c>
      <c r="K40" s="601">
        <v>0.73640000000000005</v>
      </c>
      <c r="L40" s="601">
        <v>0.73640000000000005</v>
      </c>
      <c r="M40" s="601">
        <v>0.73640000000000005</v>
      </c>
    </row>
    <row r="41" spans="1:13">
      <c r="A41" s="602">
        <v>3.9</v>
      </c>
      <c r="B41" s="601">
        <v>0.97509999999999997</v>
      </c>
      <c r="C41" s="601">
        <v>0.97509999999999997</v>
      </c>
      <c r="D41" s="601">
        <v>0.87209999999999999</v>
      </c>
      <c r="E41" s="601">
        <v>0.87209999999999999</v>
      </c>
      <c r="F41" s="601">
        <v>0.87209999999999999</v>
      </c>
      <c r="G41" s="601">
        <v>0.87209999999999999</v>
      </c>
      <c r="H41" s="601">
        <v>0.87209999999999999</v>
      </c>
      <c r="I41" s="601">
        <v>0.7288</v>
      </c>
      <c r="J41" s="601">
        <v>0.7288</v>
      </c>
      <c r="K41" s="601">
        <v>0.7288</v>
      </c>
      <c r="L41" s="601">
        <v>0.7288</v>
      </c>
      <c r="M41" s="601">
        <v>0.7288</v>
      </c>
    </row>
    <row r="42" spans="1:13">
      <c r="A42" s="602">
        <v>4</v>
      </c>
      <c r="B42" s="601">
        <v>0.96989999999999998</v>
      </c>
      <c r="C42" s="601">
        <v>0.96989999999999998</v>
      </c>
      <c r="D42" s="601">
        <v>0.86650000000000005</v>
      </c>
      <c r="E42" s="601">
        <v>0.86650000000000005</v>
      </c>
      <c r="F42" s="601">
        <v>0.86650000000000005</v>
      </c>
      <c r="G42" s="601">
        <v>0.86650000000000005</v>
      </c>
      <c r="H42" s="601">
        <v>0.86650000000000005</v>
      </c>
      <c r="I42" s="601">
        <v>0.7218</v>
      </c>
      <c r="J42" s="601">
        <v>0.7218</v>
      </c>
      <c r="K42" s="601">
        <v>0.7218</v>
      </c>
      <c r="L42" s="601">
        <v>0.7218</v>
      </c>
      <c r="M42" s="601">
        <v>0.7218</v>
      </c>
    </row>
    <row r="43" spans="1:13">
      <c r="A43" s="602">
        <v>4.0999999999999996</v>
      </c>
      <c r="B43" s="601">
        <v>0.96479999999999999</v>
      </c>
      <c r="C43" s="601">
        <v>0.96479999999999999</v>
      </c>
      <c r="D43" s="601">
        <v>0.86109999999999998</v>
      </c>
      <c r="E43" s="601">
        <v>0.86109999999999998</v>
      </c>
      <c r="F43" s="601">
        <v>0.86109999999999998</v>
      </c>
      <c r="G43" s="601">
        <v>0.86109999999999998</v>
      </c>
      <c r="H43" s="601">
        <v>0.86109999999999998</v>
      </c>
      <c r="I43" s="601">
        <v>0.71499999999999997</v>
      </c>
      <c r="J43" s="601">
        <v>0.71499999999999997</v>
      </c>
      <c r="K43" s="601">
        <v>0.71499999999999997</v>
      </c>
      <c r="L43" s="601">
        <v>0.71499999999999997</v>
      </c>
      <c r="M43" s="601">
        <v>0.71499999999999997</v>
      </c>
    </row>
    <row r="44" spans="1:13">
      <c r="A44" s="602">
        <v>4.2</v>
      </c>
      <c r="B44" s="601">
        <v>0.96</v>
      </c>
      <c r="C44" s="601">
        <v>0.96</v>
      </c>
      <c r="D44" s="601">
        <v>0.85599999999999998</v>
      </c>
      <c r="E44" s="601">
        <v>0.85599999999999998</v>
      </c>
      <c r="F44" s="601">
        <v>0.85599999999999998</v>
      </c>
      <c r="G44" s="601">
        <v>0.85599999999999998</v>
      </c>
      <c r="H44" s="601">
        <v>0.85599999999999998</v>
      </c>
      <c r="I44" s="601">
        <v>0.70840000000000003</v>
      </c>
      <c r="J44" s="601">
        <v>0.70840000000000003</v>
      </c>
      <c r="K44" s="601">
        <v>0.70840000000000003</v>
      </c>
      <c r="L44" s="601">
        <v>0.70840000000000003</v>
      </c>
      <c r="M44" s="601">
        <v>0.70840000000000003</v>
      </c>
    </row>
    <row r="45" spans="1:13">
      <c r="A45" s="602">
        <v>4.3</v>
      </c>
      <c r="B45" s="601">
        <v>0.95530000000000004</v>
      </c>
      <c r="C45" s="601">
        <v>0.95530000000000004</v>
      </c>
      <c r="D45" s="601">
        <v>0.85099999999999998</v>
      </c>
      <c r="E45" s="601">
        <v>0.85099999999999998</v>
      </c>
      <c r="F45" s="601">
        <v>0.85099999999999998</v>
      </c>
      <c r="G45" s="601">
        <v>0.85099999999999998</v>
      </c>
      <c r="H45" s="601">
        <v>0.85099999999999998</v>
      </c>
      <c r="I45" s="601">
        <v>0.70199999999999996</v>
      </c>
      <c r="J45" s="601">
        <v>0.70199999999999996</v>
      </c>
      <c r="K45" s="601">
        <v>0.70199999999999996</v>
      </c>
      <c r="L45" s="601">
        <v>0.70199999999999996</v>
      </c>
      <c r="M45" s="601">
        <v>0.70199999999999996</v>
      </c>
    </row>
    <row r="46" spans="1:13">
      <c r="A46" s="602">
        <v>4.4000000000000004</v>
      </c>
      <c r="B46" s="601">
        <v>0.95079999999999998</v>
      </c>
      <c r="C46" s="601">
        <v>0.95079999999999998</v>
      </c>
      <c r="D46" s="601">
        <v>0.84619999999999995</v>
      </c>
      <c r="E46" s="601">
        <v>0.84619999999999995</v>
      </c>
      <c r="F46" s="601">
        <v>0.84619999999999995</v>
      </c>
      <c r="G46" s="601">
        <v>0.84619999999999995</v>
      </c>
      <c r="H46" s="601">
        <v>0.84619999999999995</v>
      </c>
      <c r="I46" s="601">
        <v>0.69579999999999997</v>
      </c>
      <c r="J46" s="601">
        <v>0.69579999999999997</v>
      </c>
      <c r="K46" s="601">
        <v>0.69579999999999997</v>
      </c>
      <c r="L46" s="601">
        <v>0.69579999999999997</v>
      </c>
      <c r="M46" s="601">
        <v>0.69579999999999997</v>
      </c>
    </row>
    <row r="47" spans="1:13">
      <c r="A47" s="602">
        <v>4.5</v>
      </c>
      <c r="B47" s="601">
        <v>0.94640000000000002</v>
      </c>
      <c r="C47" s="601">
        <v>0.94640000000000002</v>
      </c>
      <c r="D47" s="601">
        <v>0.84150000000000003</v>
      </c>
      <c r="E47" s="601">
        <v>0.84150000000000003</v>
      </c>
      <c r="F47" s="601">
        <v>0.84150000000000003</v>
      </c>
      <c r="G47" s="601">
        <v>0.84150000000000003</v>
      </c>
      <c r="H47" s="601">
        <v>0.84150000000000003</v>
      </c>
      <c r="I47" s="601">
        <v>0.68989999999999996</v>
      </c>
      <c r="J47" s="601">
        <v>0.68989999999999996</v>
      </c>
      <c r="K47" s="601">
        <v>0.68989999999999996</v>
      </c>
      <c r="L47" s="601">
        <v>0.68989999999999996</v>
      </c>
      <c r="M47" s="601">
        <v>0.68989999999999996</v>
      </c>
    </row>
    <row r="48" spans="1:13">
      <c r="A48" s="602">
        <v>4.5999999999999996</v>
      </c>
      <c r="B48" s="601">
        <v>0.94230000000000003</v>
      </c>
      <c r="C48" s="601">
        <v>0.94230000000000003</v>
      </c>
      <c r="D48" s="601">
        <v>0.83709999999999996</v>
      </c>
      <c r="E48" s="601">
        <v>0.83709999999999996</v>
      </c>
      <c r="F48" s="601">
        <v>0.83709999999999996</v>
      </c>
      <c r="G48" s="601">
        <v>0.83709999999999996</v>
      </c>
      <c r="H48" s="601">
        <v>0.83709999999999996</v>
      </c>
      <c r="I48" s="601">
        <v>0.68430000000000002</v>
      </c>
      <c r="J48" s="601">
        <v>0.68430000000000002</v>
      </c>
      <c r="K48" s="601">
        <v>0.68430000000000002</v>
      </c>
      <c r="L48" s="601">
        <v>0.68430000000000002</v>
      </c>
      <c r="M48" s="601">
        <v>0.68430000000000002</v>
      </c>
    </row>
    <row r="49" spans="1:13">
      <c r="A49" s="602">
        <v>4.7</v>
      </c>
      <c r="B49" s="601">
        <v>0.93830000000000002</v>
      </c>
      <c r="C49" s="601">
        <v>0.93830000000000002</v>
      </c>
      <c r="D49" s="601">
        <v>0.83279999999999998</v>
      </c>
      <c r="E49" s="601">
        <v>0.83279999999999998</v>
      </c>
      <c r="F49" s="601">
        <v>0.83279999999999998</v>
      </c>
      <c r="G49" s="601">
        <v>0.83279999999999998</v>
      </c>
      <c r="H49" s="601">
        <v>0.83279999999999998</v>
      </c>
      <c r="I49" s="601">
        <v>0.67879999999999996</v>
      </c>
      <c r="J49" s="601">
        <v>0.67879999999999996</v>
      </c>
      <c r="K49" s="601">
        <v>0.67879999999999996</v>
      </c>
      <c r="L49" s="601">
        <v>0.67879999999999996</v>
      </c>
      <c r="M49" s="601">
        <v>0.67879999999999996</v>
      </c>
    </row>
    <row r="50" spans="1:13">
      <c r="A50" s="602">
        <v>4.8</v>
      </c>
      <c r="B50" s="601">
        <v>0.9345</v>
      </c>
      <c r="C50" s="601">
        <v>0.9345</v>
      </c>
      <c r="D50" s="601">
        <v>0.82869999999999999</v>
      </c>
      <c r="E50" s="601">
        <v>0.82869999999999999</v>
      </c>
      <c r="F50" s="601">
        <v>0.82869999999999999</v>
      </c>
      <c r="G50" s="601">
        <v>0.82869999999999999</v>
      </c>
      <c r="H50" s="601">
        <v>0.82869999999999999</v>
      </c>
      <c r="I50" s="601">
        <v>0.67359999999999998</v>
      </c>
      <c r="J50" s="601">
        <v>0.67359999999999998</v>
      </c>
      <c r="K50" s="601">
        <v>0.67359999999999998</v>
      </c>
      <c r="L50" s="601">
        <v>0.67359999999999998</v>
      </c>
      <c r="M50" s="601">
        <v>0.67359999999999998</v>
      </c>
    </row>
    <row r="51" spans="1:13">
      <c r="A51" s="602">
        <v>4.9000000000000004</v>
      </c>
      <c r="B51" s="601">
        <v>0.93079999999999996</v>
      </c>
      <c r="C51" s="601">
        <v>0.93079999999999996</v>
      </c>
      <c r="D51" s="601">
        <v>0.82479999999999998</v>
      </c>
      <c r="E51" s="601">
        <v>0.82479999999999998</v>
      </c>
      <c r="F51" s="601">
        <v>0.82479999999999998</v>
      </c>
      <c r="G51" s="601">
        <v>0.82479999999999998</v>
      </c>
      <c r="H51" s="601">
        <v>0.82479999999999998</v>
      </c>
      <c r="I51" s="601">
        <v>0.66849999999999998</v>
      </c>
      <c r="J51" s="601">
        <v>0.66849999999999998</v>
      </c>
      <c r="K51" s="601">
        <v>0.66849999999999998</v>
      </c>
      <c r="L51" s="601">
        <v>0.66849999999999998</v>
      </c>
      <c r="M51" s="601">
        <v>0.66849999999999998</v>
      </c>
    </row>
    <row r="52" spans="1:13">
      <c r="A52" s="602">
        <v>5</v>
      </c>
      <c r="B52" s="601">
        <v>0.9274</v>
      </c>
      <c r="C52" s="601">
        <v>0.9274</v>
      </c>
      <c r="D52" s="601">
        <v>0.82110000000000005</v>
      </c>
      <c r="E52" s="601">
        <v>0.82110000000000005</v>
      </c>
      <c r="F52" s="601">
        <v>0.82110000000000005</v>
      </c>
      <c r="G52" s="601">
        <v>0.82110000000000005</v>
      </c>
      <c r="H52" s="601">
        <v>0.82110000000000005</v>
      </c>
      <c r="I52" s="601">
        <v>0.66369999999999996</v>
      </c>
      <c r="J52" s="601">
        <v>0.66369999999999996</v>
      </c>
      <c r="K52" s="601">
        <v>0.66369999999999996</v>
      </c>
      <c r="L52" s="601">
        <v>0.66369999999999996</v>
      </c>
      <c r="M52" s="601">
        <v>0.66369999999999996</v>
      </c>
    </row>
    <row r="53" spans="1:13">
      <c r="A53" s="598">
        <v>5.0999999999999996</v>
      </c>
      <c r="B53" s="601">
        <v>0.92410000000000003</v>
      </c>
      <c r="C53" s="601">
        <v>0.92410000000000003</v>
      </c>
      <c r="D53" s="601">
        <v>0.8175</v>
      </c>
      <c r="E53" s="601">
        <v>0.8175</v>
      </c>
      <c r="F53" s="601">
        <v>0.8175</v>
      </c>
      <c r="G53" s="601">
        <v>0.8175</v>
      </c>
      <c r="H53" s="601">
        <v>0.8175</v>
      </c>
      <c r="I53" s="601">
        <v>0.65900000000000003</v>
      </c>
      <c r="J53" s="601">
        <v>0.65900000000000003</v>
      </c>
      <c r="K53" s="601">
        <v>0.65900000000000003</v>
      </c>
      <c r="L53" s="601">
        <v>0.65900000000000003</v>
      </c>
      <c r="M53" s="601">
        <v>0.65900000000000003</v>
      </c>
    </row>
    <row r="54" spans="1:13">
      <c r="A54" s="598">
        <v>5.2</v>
      </c>
      <c r="B54" s="601">
        <v>0.92090000000000005</v>
      </c>
      <c r="C54" s="601">
        <v>0.92090000000000005</v>
      </c>
      <c r="D54" s="601">
        <v>0.81399999999999995</v>
      </c>
      <c r="E54" s="601">
        <v>0.81399999999999995</v>
      </c>
      <c r="F54" s="601">
        <v>0.81399999999999995</v>
      </c>
      <c r="G54" s="601">
        <v>0.81399999999999995</v>
      </c>
      <c r="H54" s="601">
        <v>0.81399999999999995</v>
      </c>
      <c r="I54" s="601">
        <v>0.65449999999999997</v>
      </c>
      <c r="J54" s="601">
        <v>0.65449999999999997</v>
      </c>
      <c r="K54" s="601">
        <v>0.65449999999999997</v>
      </c>
      <c r="L54" s="601">
        <v>0.65449999999999997</v>
      </c>
      <c r="M54" s="601">
        <v>0.65449999999999997</v>
      </c>
    </row>
    <row r="55" spans="1:13">
      <c r="A55" s="598">
        <v>5.3</v>
      </c>
      <c r="B55" s="601">
        <v>0.91790000000000005</v>
      </c>
      <c r="C55" s="601">
        <v>0.91790000000000005</v>
      </c>
      <c r="D55" s="601">
        <v>0.81059999999999999</v>
      </c>
      <c r="E55" s="601">
        <v>0.81059999999999999</v>
      </c>
      <c r="F55" s="601">
        <v>0.81059999999999999</v>
      </c>
      <c r="G55" s="601">
        <v>0.81059999999999999</v>
      </c>
      <c r="H55" s="601">
        <v>0.81059999999999999</v>
      </c>
      <c r="I55" s="601">
        <v>0.6502</v>
      </c>
      <c r="J55" s="601">
        <v>0.6502</v>
      </c>
      <c r="K55" s="601">
        <v>0.6502</v>
      </c>
      <c r="L55" s="601">
        <v>0.6502</v>
      </c>
      <c r="M55" s="601">
        <v>0.6502</v>
      </c>
    </row>
    <row r="56" spans="1:13">
      <c r="A56" s="598">
        <v>5.4</v>
      </c>
      <c r="B56" s="601">
        <v>0.91490000000000005</v>
      </c>
      <c r="C56" s="601">
        <v>0.91490000000000005</v>
      </c>
      <c r="D56" s="601">
        <v>0.80740000000000001</v>
      </c>
      <c r="E56" s="601">
        <v>0.80740000000000001</v>
      </c>
      <c r="F56" s="601">
        <v>0.80740000000000001</v>
      </c>
      <c r="G56" s="601">
        <v>0.80740000000000001</v>
      </c>
      <c r="H56" s="601">
        <v>0.80740000000000001</v>
      </c>
      <c r="I56" s="601">
        <v>0.64590000000000003</v>
      </c>
      <c r="J56" s="601">
        <v>0.64590000000000003</v>
      </c>
      <c r="K56" s="601">
        <v>0.64590000000000003</v>
      </c>
      <c r="L56" s="601">
        <v>0.64590000000000003</v>
      </c>
      <c r="M56" s="601">
        <v>0.64590000000000003</v>
      </c>
    </row>
    <row r="57" spans="1:13">
      <c r="A57" s="598">
        <v>5.5</v>
      </c>
      <c r="B57" s="601">
        <v>0.91200000000000003</v>
      </c>
      <c r="C57" s="601">
        <v>0.91200000000000003</v>
      </c>
      <c r="D57" s="601">
        <v>0.80420000000000003</v>
      </c>
      <c r="E57" s="601">
        <v>0.80420000000000003</v>
      </c>
      <c r="F57" s="601">
        <v>0.80420000000000003</v>
      </c>
      <c r="G57" s="601">
        <v>0.80420000000000003</v>
      </c>
      <c r="H57" s="601">
        <v>0.80420000000000003</v>
      </c>
      <c r="I57" s="601">
        <v>0.64180000000000004</v>
      </c>
      <c r="J57" s="601">
        <v>0.64180000000000004</v>
      </c>
      <c r="K57" s="601">
        <v>0.64180000000000004</v>
      </c>
      <c r="L57" s="601">
        <v>0.64180000000000004</v>
      </c>
      <c r="M57" s="601">
        <v>0.64180000000000004</v>
      </c>
    </row>
    <row r="58" spans="1:13">
      <c r="A58" s="598">
        <v>5.6</v>
      </c>
      <c r="B58" s="601">
        <v>0.90910000000000002</v>
      </c>
      <c r="C58" s="601">
        <v>0.90910000000000002</v>
      </c>
      <c r="D58" s="601">
        <v>0.80120000000000002</v>
      </c>
      <c r="E58" s="601">
        <v>0.80120000000000002</v>
      </c>
      <c r="F58" s="601">
        <v>0.80120000000000002</v>
      </c>
      <c r="G58" s="601">
        <v>0.80120000000000002</v>
      </c>
      <c r="H58" s="601">
        <v>0.80120000000000002</v>
      </c>
      <c r="I58" s="601">
        <v>0.63790000000000002</v>
      </c>
      <c r="J58" s="601">
        <v>0.63790000000000002</v>
      </c>
      <c r="K58" s="601">
        <v>0.63790000000000002</v>
      </c>
      <c r="L58" s="601">
        <v>0.63790000000000002</v>
      </c>
      <c r="M58" s="601">
        <v>0.63790000000000002</v>
      </c>
    </row>
    <row r="59" spans="1:13">
      <c r="A59" s="602">
        <v>5.7</v>
      </c>
      <c r="B59" s="601">
        <v>0.90639999999999998</v>
      </c>
      <c r="C59" s="601">
        <v>0.90639999999999998</v>
      </c>
      <c r="D59" s="601">
        <v>0.79820000000000002</v>
      </c>
      <c r="E59" s="601">
        <v>0.79820000000000002</v>
      </c>
      <c r="F59" s="601">
        <v>0.79820000000000002</v>
      </c>
      <c r="G59" s="601">
        <v>0.79820000000000002</v>
      </c>
      <c r="H59" s="601">
        <v>0.79820000000000002</v>
      </c>
      <c r="I59" s="601">
        <v>0.6341</v>
      </c>
      <c r="J59" s="601">
        <v>0.6341</v>
      </c>
      <c r="K59" s="601">
        <v>0.6341</v>
      </c>
      <c r="L59" s="601">
        <v>0.6341</v>
      </c>
      <c r="M59" s="601">
        <v>0.6341</v>
      </c>
    </row>
    <row r="60" spans="1:13">
      <c r="A60" s="598">
        <v>5.8</v>
      </c>
      <c r="B60" s="601">
        <v>0.90380000000000005</v>
      </c>
      <c r="C60" s="601">
        <v>0.90380000000000005</v>
      </c>
      <c r="D60" s="601">
        <v>0.7954</v>
      </c>
      <c r="E60" s="601">
        <v>0.7954</v>
      </c>
      <c r="F60" s="601">
        <v>0.7954</v>
      </c>
      <c r="G60" s="601">
        <v>0.7954</v>
      </c>
      <c r="H60" s="601">
        <v>0.7954</v>
      </c>
      <c r="I60" s="601">
        <v>0.63039999999999996</v>
      </c>
      <c r="J60" s="601">
        <v>0.63039999999999996</v>
      </c>
      <c r="K60" s="601">
        <v>0.63039999999999996</v>
      </c>
      <c r="L60" s="601">
        <v>0.63039999999999996</v>
      </c>
      <c r="M60" s="601">
        <v>0.63039999999999996</v>
      </c>
    </row>
    <row r="61" spans="1:13">
      <c r="A61" s="598">
        <v>5.9</v>
      </c>
      <c r="B61" s="601">
        <v>0.90129999999999999</v>
      </c>
      <c r="C61" s="601">
        <v>0.90129999999999999</v>
      </c>
      <c r="D61" s="601">
        <v>0.79269999999999996</v>
      </c>
      <c r="E61" s="601">
        <v>0.79269999999999996</v>
      </c>
      <c r="F61" s="601">
        <v>0.79269999999999996</v>
      </c>
      <c r="G61" s="601">
        <v>0.79269999999999996</v>
      </c>
      <c r="H61" s="601">
        <v>0.79269999999999996</v>
      </c>
      <c r="I61" s="601">
        <v>0.62690000000000001</v>
      </c>
      <c r="J61" s="601">
        <v>0.62690000000000001</v>
      </c>
      <c r="K61" s="601">
        <v>0.62690000000000001</v>
      </c>
      <c r="L61" s="601">
        <v>0.62690000000000001</v>
      </c>
      <c r="M61" s="601">
        <v>0.62690000000000001</v>
      </c>
    </row>
    <row r="62" spans="1:13">
      <c r="A62" s="598">
        <v>6</v>
      </c>
      <c r="B62" s="601">
        <v>0.89890000000000003</v>
      </c>
      <c r="C62" s="601">
        <v>0.89890000000000003</v>
      </c>
      <c r="D62" s="601">
        <v>0.79020000000000001</v>
      </c>
      <c r="E62" s="601">
        <v>0.79020000000000001</v>
      </c>
      <c r="F62" s="601">
        <v>0.79020000000000001</v>
      </c>
      <c r="G62" s="601">
        <v>0.79020000000000001</v>
      </c>
      <c r="H62" s="601">
        <v>0.79020000000000001</v>
      </c>
      <c r="I62" s="601">
        <v>0.62350000000000005</v>
      </c>
      <c r="J62" s="601">
        <v>0.62350000000000005</v>
      </c>
      <c r="K62" s="601">
        <v>0.62350000000000005</v>
      </c>
      <c r="L62" s="601">
        <v>0.62350000000000005</v>
      </c>
      <c r="M62" s="601">
        <v>0.62350000000000005</v>
      </c>
    </row>
    <row r="63" spans="1:13">
      <c r="A63" s="598">
        <v>6.1</v>
      </c>
      <c r="B63" s="601">
        <v>0.89649999999999996</v>
      </c>
      <c r="C63" s="601">
        <v>0.89649999999999996</v>
      </c>
      <c r="D63" s="601">
        <v>0.78769999999999996</v>
      </c>
      <c r="E63" s="601">
        <v>0.78769999999999996</v>
      </c>
      <c r="F63" s="601">
        <v>0.78769999999999996</v>
      </c>
      <c r="G63" s="601">
        <v>0.78769999999999996</v>
      </c>
      <c r="H63" s="601">
        <v>0.78769999999999996</v>
      </c>
      <c r="I63" s="601">
        <v>0.62029999999999996</v>
      </c>
      <c r="J63" s="601">
        <v>0.62029999999999996</v>
      </c>
      <c r="K63" s="601">
        <v>0.62029999999999996</v>
      </c>
      <c r="L63" s="601">
        <v>0.62029999999999996</v>
      </c>
      <c r="M63" s="601">
        <v>0.62029999999999996</v>
      </c>
    </row>
    <row r="64" spans="1:13">
      <c r="A64" s="598">
        <v>6.2</v>
      </c>
      <c r="B64" s="601">
        <v>0.89429999999999998</v>
      </c>
      <c r="C64" s="601">
        <v>0.89429999999999998</v>
      </c>
      <c r="D64" s="601">
        <v>0.78520000000000001</v>
      </c>
      <c r="E64" s="601">
        <v>0.78520000000000001</v>
      </c>
      <c r="F64" s="601">
        <v>0.78520000000000001</v>
      </c>
      <c r="G64" s="601">
        <v>0.78520000000000001</v>
      </c>
      <c r="H64" s="601">
        <v>0.78520000000000001</v>
      </c>
      <c r="I64" s="601">
        <v>0.61719999999999997</v>
      </c>
      <c r="J64" s="601">
        <v>0.61719999999999997</v>
      </c>
      <c r="K64" s="601">
        <v>0.61719999999999997</v>
      </c>
      <c r="L64" s="601">
        <v>0.61719999999999997</v>
      </c>
      <c r="M64" s="601">
        <v>0.61719999999999997</v>
      </c>
    </row>
    <row r="65" spans="1:13">
      <c r="A65" s="598">
        <v>6.3</v>
      </c>
      <c r="B65" s="601">
        <v>0.89200000000000002</v>
      </c>
      <c r="C65" s="601">
        <v>0.89200000000000002</v>
      </c>
      <c r="D65" s="601">
        <v>0.78280000000000005</v>
      </c>
      <c r="E65" s="601">
        <v>0.78280000000000005</v>
      </c>
      <c r="F65" s="601">
        <v>0.78280000000000005</v>
      </c>
      <c r="G65" s="601">
        <v>0.78280000000000005</v>
      </c>
      <c r="H65" s="601">
        <v>0.78280000000000005</v>
      </c>
      <c r="I65" s="601">
        <v>0.61409999999999998</v>
      </c>
      <c r="J65" s="601">
        <v>0.61409999999999998</v>
      </c>
      <c r="K65" s="601">
        <v>0.61409999999999998</v>
      </c>
      <c r="L65" s="601">
        <v>0.61409999999999998</v>
      </c>
      <c r="M65" s="601">
        <v>0.61409999999999998</v>
      </c>
    </row>
    <row r="66" spans="1:13">
      <c r="A66" s="598">
        <v>6.4</v>
      </c>
      <c r="B66" s="601">
        <v>0.88990000000000002</v>
      </c>
      <c r="C66" s="601">
        <v>0.88990000000000002</v>
      </c>
      <c r="D66" s="601">
        <v>0.78039999999999998</v>
      </c>
      <c r="E66" s="601">
        <v>0.78039999999999998</v>
      </c>
      <c r="F66" s="601">
        <v>0.78039999999999998</v>
      </c>
      <c r="G66" s="601">
        <v>0.78039999999999998</v>
      </c>
      <c r="H66" s="601">
        <v>0.78039999999999998</v>
      </c>
      <c r="I66" s="601">
        <v>0.61099999999999999</v>
      </c>
      <c r="J66" s="601">
        <v>0.61099999999999999</v>
      </c>
      <c r="K66" s="601">
        <v>0.61099999999999999</v>
      </c>
      <c r="L66" s="601">
        <v>0.61099999999999999</v>
      </c>
      <c r="M66" s="601">
        <v>0.61099999999999999</v>
      </c>
    </row>
    <row r="67" spans="1:13">
      <c r="A67" s="598">
        <v>6.5</v>
      </c>
      <c r="B67" s="601">
        <v>0.88780000000000003</v>
      </c>
      <c r="C67" s="601">
        <v>0.88780000000000003</v>
      </c>
      <c r="D67" s="601">
        <v>0.77810000000000001</v>
      </c>
      <c r="E67" s="601">
        <v>0.77810000000000001</v>
      </c>
      <c r="F67" s="601">
        <v>0.77810000000000001</v>
      </c>
      <c r="G67" s="601">
        <v>0.77810000000000001</v>
      </c>
      <c r="H67" s="601">
        <v>0.77810000000000001</v>
      </c>
      <c r="I67" s="601">
        <v>0.60799999999999998</v>
      </c>
      <c r="J67" s="601">
        <v>0.60799999999999998</v>
      </c>
      <c r="K67" s="601">
        <v>0.60799999999999998</v>
      </c>
      <c r="L67" s="601">
        <v>0.60799999999999998</v>
      </c>
      <c r="M67" s="601">
        <v>0.60799999999999998</v>
      </c>
    </row>
    <row r="68" spans="1:13">
      <c r="A68" s="598">
        <v>6.6</v>
      </c>
      <c r="B68" s="601">
        <v>0.88580000000000003</v>
      </c>
      <c r="C68" s="601">
        <v>0.88580000000000003</v>
      </c>
      <c r="D68" s="601">
        <v>0.77580000000000005</v>
      </c>
      <c r="E68" s="601">
        <v>0.77580000000000005</v>
      </c>
      <c r="F68" s="601">
        <v>0.77580000000000005</v>
      </c>
      <c r="G68" s="601">
        <v>0.77580000000000005</v>
      </c>
      <c r="H68" s="601">
        <v>0.77580000000000005</v>
      </c>
      <c r="I68" s="601">
        <v>0.60499999999999998</v>
      </c>
      <c r="J68" s="601">
        <v>0.60499999999999998</v>
      </c>
      <c r="K68" s="601">
        <v>0.60499999999999998</v>
      </c>
      <c r="L68" s="601">
        <v>0.60499999999999998</v>
      </c>
      <c r="M68" s="601">
        <v>0.60499999999999998</v>
      </c>
    </row>
    <row r="69" spans="1:13">
      <c r="A69" s="598">
        <v>6.7</v>
      </c>
      <c r="B69" s="601">
        <v>0.88380000000000003</v>
      </c>
      <c r="C69" s="601">
        <v>0.88380000000000003</v>
      </c>
      <c r="D69" s="601">
        <v>0.77359999999999995</v>
      </c>
      <c r="E69" s="601">
        <v>0.77359999999999995</v>
      </c>
      <c r="F69" s="601">
        <v>0.77359999999999995</v>
      </c>
      <c r="G69" s="601">
        <v>0.77359999999999995</v>
      </c>
      <c r="H69" s="601">
        <v>0.77359999999999995</v>
      </c>
      <c r="I69" s="601">
        <v>0.60209999999999997</v>
      </c>
      <c r="J69" s="601">
        <v>0.60209999999999997</v>
      </c>
      <c r="K69" s="601">
        <v>0.60209999999999997</v>
      </c>
      <c r="L69" s="601">
        <v>0.60209999999999997</v>
      </c>
      <c r="M69" s="601">
        <v>0.60209999999999997</v>
      </c>
    </row>
    <row r="70" spans="1:13">
      <c r="A70" s="598">
        <v>6.8</v>
      </c>
      <c r="B70" s="601">
        <v>0.88190000000000002</v>
      </c>
      <c r="C70" s="601">
        <v>0.88190000000000002</v>
      </c>
      <c r="D70" s="601">
        <v>0.77159999999999995</v>
      </c>
      <c r="E70" s="601">
        <v>0.77159999999999995</v>
      </c>
      <c r="F70" s="601">
        <v>0.77159999999999995</v>
      </c>
      <c r="G70" s="601">
        <v>0.77159999999999995</v>
      </c>
      <c r="H70" s="601">
        <v>0.77159999999999995</v>
      </c>
      <c r="I70" s="601">
        <v>0.59930000000000005</v>
      </c>
      <c r="J70" s="601">
        <v>0.59930000000000005</v>
      </c>
      <c r="K70" s="601">
        <v>0.59930000000000005</v>
      </c>
      <c r="L70" s="601">
        <v>0.59930000000000005</v>
      </c>
      <c r="M70" s="601">
        <v>0.59930000000000005</v>
      </c>
    </row>
    <row r="71" spans="1:13">
      <c r="A71" s="598">
        <v>6.9</v>
      </c>
      <c r="B71" s="601">
        <v>0.88</v>
      </c>
      <c r="C71" s="601">
        <v>0.88</v>
      </c>
      <c r="D71" s="601">
        <v>0.76949999999999996</v>
      </c>
      <c r="E71" s="601">
        <v>0.76949999999999996</v>
      </c>
      <c r="F71" s="601">
        <v>0.76949999999999996</v>
      </c>
      <c r="G71" s="601">
        <v>0.76949999999999996</v>
      </c>
      <c r="H71" s="601">
        <v>0.76949999999999996</v>
      </c>
      <c r="I71" s="601">
        <v>0.59640000000000004</v>
      </c>
      <c r="J71" s="601">
        <v>0.59640000000000004</v>
      </c>
      <c r="K71" s="601">
        <v>0.59640000000000004</v>
      </c>
      <c r="L71" s="601">
        <v>0.59640000000000004</v>
      </c>
      <c r="M71" s="601">
        <v>0.59640000000000004</v>
      </c>
    </row>
    <row r="72" spans="1:13">
      <c r="A72" s="598">
        <v>7</v>
      </c>
      <c r="B72" s="601">
        <v>0.87819999999999998</v>
      </c>
      <c r="C72" s="601">
        <v>0.87819999999999998</v>
      </c>
      <c r="D72" s="601">
        <v>0.76749999999999996</v>
      </c>
      <c r="E72" s="601">
        <v>0.76749999999999996</v>
      </c>
      <c r="F72" s="601">
        <v>0.76749999999999996</v>
      </c>
      <c r="G72" s="601">
        <v>0.76749999999999996</v>
      </c>
      <c r="H72" s="601">
        <v>0.76749999999999996</v>
      </c>
      <c r="I72" s="601">
        <v>0.59360000000000002</v>
      </c>
      <c r="J72" s="601">
        <v>0.59360000000000002</v>
      </c>
      <c r="K72" s="601">
        <v>0.59360000000000002</v>
      </c>
      <c r="L72" s="601">
        <v>0.59360000000000002</v>
      </c>
      <c r="M72" s="601">
        <v>0.59360000000000002</v>
      </c>
    </row>
    <row r="73" spans="1:13">
      <c r="A73" s="598">
        <v>7.1</v>
      </c>
      <c r="B73" s="601">
        <v>0.87660000000000005</v>
      </c>
      <c r="C73" s="601">
        <v>0.87660000000000005</v>
      </c>
      <c r="D73" s="601">
        <v>0.76570000000000005</v>
      </c>
      <c r="E73" s="601">
        <v>0.76570000000000005</v>
      </c>
      <c r="F73" s="601">
        <v>0.76570000000000005</v>
      </c>
      <c r="G73" s="601">
        <v>0.76570000000000005</v>
      </c>
      <c r="H73" s="601">
        <v>0.76570000000000005</v>
      </c>
      <c r="I73" s="601">
        <v>0.59109999999999996</v>
      </c>
      <c r="J73" s="601">
        <v>0.59109999999999996</v>
      </c>
      <c r="K73" s="601">
        <v>0.59109999999999996</v>
      </c>
      <c r="L73" s="601">
        <v>0.59109999999999996</v>
      </c>
      <c r="M73" s="601">
        <v>0.59109999999999996</v>
      </c>
    </row>
    <row r="74" spans="1:13">
      <c r="A74" s="598">
        <v>7.2</v>
      </c>
      <c r="B74" s="601">
        <v>0.87490000000000001</v>
      </c>
      <c r="C74" s="601">
        <v>0.87490000000000001</v>
      </c>
      <c r="D74" s="601">
        <v>0.76380000000000003</v>
      </c>
      <c r="E74" s="601">
        <v>0.76380000000000003</v>
      </c>
      <c r="F74" s="601">
        <v>0.76380000000000003</v>
      </c>
      <c r="G74" s="601">
        <v>0.76380000000000003</v>
      </c>
      <c r="H74" s="601">
        <v>0.76380000000000003</v>
      </c>
      <c r="I74" s="601">
        <v>0.58860000000000001</v>
      </c>
      <c r="J74" s="601">
        <v>0.58860000000000001</v>
      </c>
      <c r="K74" s="601">
        <v>0.58860000000000001</v>
      </c>
      <c r="L74" s="601">
        <v>0.58860000000000001</v>
      </c>
      <c r="M74" s="601">
        <v>0.58860000000000001</v>
      </c>
    </row>
    <row r="75" spans="1:13">
      <c r="A75" s="598">
        <v>7.3</v>
      </c>
      <c r="B75" s="601">
        <v>0.87329999999999997</v>
      </c>
      <c r="C75" s="601">
        <v>0.87329999999999997</v>
      </c>
      <c r="D75" s="601">
        <v>0.76200000000000001</v>
      </c>
      <c r="E75" s="601">
        <v>0.76200000000000001</v>
      </c>
      <c r="F75" s="601">
        <v>0.76200000000000001</v>
      </c>
      <c r="G75" s="601">
        <v>0.76200000000000001</v>
      </c>
      <c r="H75" s="601">
        <v>0.76200000000000001</v>
      </c>
      <c r="I75" s="601">
        <v>0.58620000000000005</v>
      </c>
      <c r="J75" s="601">
        <v>0.58620000000000005</v>
      </c>
      <c r="K75" s="601">
        <v>0.58620000000000005</v>
      </c>
      <c r="L75" s="601">
        <v>0.58620000000000005</v>
      </c>
      <c r="M75" s="601">
        <v>0.58620000000000005</v>
      </c>
    </row>
    <row r="76" spans="1:13">
      <c r="A76" s="598">
        <v>7.4</v>
      </c>
      <c r="B76" s="601">
        <v>0.87160000000000004</v>
      </c>
      <c r="C76" s="601">
        <v>0.87160000000000004</v>
      </c>
      <c r="D76" s="601">
        <v>0.76029999999999998</v>
      </c>
      <c r="E76" s="601">
        <v>0.76029999999999998</v>
      </c>
      <c r="F76" s="601">
        <v>0.76029999999999998</v>
      </c>
      <c r="G76" s="601">
        <v>0.76029999999999998</v>
      </c>
      <c r="H76" s="601">
        <v>0.76029999999999998</v>
      </c>
      <c r="I76" s="601">
        <v>0.58379999999999999</v>
      </c>
      <c r="J76" s="601">
        <v>0.58379999999999999</v>
      </c>
      <c r="K76" s="601">
        <v>0.58379999999999999</v>
      </c>
      <c r="L76" s="601">
        <v>0.58379999999999999</v>
      </c>
      <c r="M76" s="601">
        <v>0.58379999999999999</v>
      </c>
    </row>
    <row r="77" spans="1:13">
      <c r="A77" s="598">
        <v>7.5</v>
      </c>
      <c r="B77" s="601">
        <v>0.87</v>
      </c>
      <c r="C77" s="601">
        <v>0.87</v>
      </c>
      <c r="D77" s="601">
        <v>0.75849999999999995</v>
      </c>
      <c r="E77" s="601">
        <v>0.75849999999999995</v>
      </c>
      <c r="F77" s="601">
        <v>0.75849999999999995</v>
      </c>
      <c r="G77" s="601">
        <v>0.75849999999999995</v>
      </c>
      <c r="H77" s="601">
        <v>0.75849999999999995</v>
      </c>
      <c r="I77" s="601">
        <v>0.58140000000000003</v>
      </c>
      <c r="J77" s="601">
        <v>0.58140000000000003</v>
      </c>
      <c r="K77" s="601">
        <v>0.58140000000000003</v>
      </c>
      <c r="L77" s="601">
        <v>0.58140000000000003</v>
      </c>
      <c r="M77" s="601">
        <v>0.58140000000000003</v>
      </c>
    </row>
    <row r="78" spans="1:13">
      <c r="A78" s="598">
        <v>7.6</v>
      </c>
      <c r="B78" s="601">
        <v>0.86839999999999995</v>
      </c>
      <c r="C78" s="601">
        <v>0.86839999999999995</v>
      </c>
      <c r="D78" s="601">
        <v>0.75680000000000003</v>
      </c>
      <c r="E78" s="601">
        <v>0.75680000000000003</v>
      </c>
      <c r="F78" s="601">
        <v>0.75680000000000003</v>
      </c>
      <c r="G78" s="601">
        <v>0.75680000000000003</v>
      </c>
      <c r="H78" s="601">
        <v>0.75680000000000003</v>
      </c>
      <c r="I78" s="601">
        <v>0.57899999999999996</v>
      </c>
      <c r="J78" s="601">
        <v>0.57899999999999996</v>
      </c>
      <c r="K78" s="601">
        <v>0.57899999999999996</v>
      </c>
      <c r="L78" s="601">
        <v>0.57899999999999996</v>
      </c>
      <c r="M78" s="601">
        <v>0.57899999999999996</v>
      </c>
    </row>
    <row r="79" spans="1:13">
      <c r="A79" s="598">
        <v>7.7</v>
      </c>
      <c r="B79" s="601">
        <v>0.8669</v>
      </c>
      <c r="C79" s="601">
        <v>0.8669</v>
      </c>
      <c r="D79" s="601">
        <v>0.755</v>
      </c>
      <c r="E79" s="601">
        <v>0.755</v>
      </c>
      <c r="F79" s="601">
        <v>0.755</v>
      </c>
      <c r="G79" s="601">
        <v>0.755</v>
      </c>
      <c r="H79" s="601">
        <v>0.755</v>
      </c>
      <c r="I79" s="601">
        <v>0.57669999999999999</v>
      </c>
      <c r="J79" s="601">
        <v>0.57669999999999999</v>
      </c>
      <c r="K79" s="601">
        <v>0.57669999999999999</v>
      </c>
      <c r="L79" s="601">
        <v>0.57669999999999999</v>
      </c>
      <c r="M79" s="601">
        <v>0.57669999999999999</v>
      </c>
    </row>
    <row r="80" spans="1:13">
      <c r="A80" s="598">
        <v>7.8</v>
      </c>
      <c r="B80" s="601">
        <v>0.86539999999999995</v>
      </c>
      <c r="C80" s="601">
        <v>0.86539999999999995</v>
      </c>
      <c r="D80" s="601">
        <v>0.75329999999999997</v>
      </c>
      <c r="E80" s="601">
        <v>0.75329999999999997</v>
      </c>
      <c r="F80" s="601">
        <v>0.75329999999999997</v>
      </c>
      <c r="G80" s="601">
        <v>0.75329999999999997</v>
      </c>
      <c r="H80" s="601">
        <v>0.75329999999999997</v>
      </c>
      <c r="I80" s="601">
        <v>0.57450000000000001</v>
      </c>
      <c r="J80" s="601">
        <v>0.57450000000000001</v>
      </c>
      <c r="K80" s="601">
        <v>0.57450000000000001</v>
      </c>
      <c r="L80" s="601">
        <v>0.57450000000000001</v>
      </c>
      <c r="M80" s="601">
        <v>0.57450000000000001</v>
      </c>
    </row>
    <row r="81" spans="1:13">
      <c r="A81" s="598">
        <v>7.9</v>
      </c>
      <c r="B81" s="601">
        <v>0.86380000000000001</v>
      </c>
      <c r="C81" s="601">
        <v>0.86380000000000001</v>
      </c>
      <c r="D81" s="601">
        <v>0.75170000000000003</v>
      </c>
      <c r="E81" s="601">
        <v>0.75170000000000003</v>
      </c>
      <c r="F81" s="601">
        <v>0.75170000000000003</v>
      </c>
      <c r="G81" s="601">
        <v>0.75170000000000003</v>
      </c>
      <c r="H81" s="601">
        <v>0.75170000000000003</v>
      </c>
      <c r="I81" s="601">
        <v>0.57220000000000004</v>
      </c>
      <c r="J81" s="601">
        <v>0.57220000000000004</v>
      </c>
      <c r="K81" s="601">
        <v>0.57220000000000004</v>
      </c>
      <c r="L81" s="601">
        <v>0.57220000000000004</v>
      </c>
      <c r="M81" s="601">
        <v>0.57220000000000004</v>
      </c>
    </row>
    <row r="82" spans="1:13">
      <c r="A82" s="598">
        <v>8</v>
      </c>
      <c r="B82" s="601">
        <v>0.86240000000000006</v>
      </c>
      <c r="C82" s="601">
        <v>0.86240000000000006</v>
      </c>
      <c r="D82" s="601">
        <v>0.75</v>
      </c>
      <c r="E82" s="601">
        <v>0.75</v>
      </c>
      <c r="F82" s="601">
        <v>0.75</v>
      </c>
      <c r="G82" s="601">
        <v>0.75</v>
      </c>
      <c r="H82" s="601">
        <v>0.75</v>
      </c>
      <c r="I82" s="601">
        <v>0.56989999999999996</v>
      </c>
      <c r="J82" s="601">
        <v>0.56989999999999996</v>
      </c>
      <c r="K82" s="601">
        <v>0.56989999999999996</v>
      </c>
      <c r="L82" s="601">
        <v>0.56989999999999996</v>
      </c>
      <c r="M82" s="601">
        <v>0.56989999999999996</v>
      </c>
    </row>
    <row r="83" spans="1:13">
      <c r="A83" s="598">
        <v>8.1</v>
      </c>
      <c r="B83" s="601">
        <v>0.86099999999999999</v>
      </c>
      <c r="C83" s="601">
        <v>0.86099999999999999</v>
      </c>
      <c r="D83" s="601">
        <v>0.74850000000000005</v>
      </c>
      <c r="E83" s="601">
        <v>0.74850000000000005</v>
      </c>
      <c r="F83" s="601">
        <v>0.74850000000000005</v>
      </c>
      <c r="G83" s="601">
        <v>0.74850000000000005</v>
      </c>
      <c r="H83" s="601">
        <v>0.74850000000000005</v>
      </c>
      <c r="I83" s="601">
        <v>0.56779999999999997</v>
      </c>
      <c r="J83" s="601">
        <v>0.56779999999999997</v>
      </c>
      <c r="K83" s="601">
        <v>0.56779999999999997</v>
      </c>
      <c r="L83" s="601">
        <v>0.56779999999999997</v>
      </c>
      <c r="M83" s="601">
        <v>0.56779999999999997</v>
      </c>
    </row>
    <row r="84" spans="1:13">
      <c r="A84" s="598">
        <v>8.1999999999999993</v>
      </c>
      <c r="B84" s="601">
        <v>0.85970000000000002</v>
      </c>
      <c r="C84" s="601">
        <v>0.85970000000000002</v>
      </c>
      <c r="D84" s="601">
        <v>0.747</v>
      </c>
      <c r="E84" s="601">
        <v>0.747</v>
      </c>
      <c r="F84" s="601">
        <v>0.747</v>
      </c>
      <c r="G84" s="601">
        <v>0.747</v>
      </c>
      <c r="H84" s="601">
        <v>0.747</v>
      </c>
      <c r="I84" s="601">
        <v>0.56589999999999996</v>
      </c>
      <c r="J84" s="601">
        <v>0.56589999999999996</v>
      </c>
      <c r="K84" s="601">
        <v>0.56589999999999996</v>
      </c>
      <c r="L84" s="601">
        <v>0.56589999999999996</v>
      </c>
      <c r="M84" s="601">
        <v>0.56589999999999996</v>
      </c>
    </row>
    <row r="85" spans="1:13">
      <c r="A85" s="598">
        <v>8.3000000000000007</v>
      </c>
      <c r="B85" s="601">
        <v>0.85840000000000005</v>
      </c>
      <c r="C85" s="601">
        <v>0.85840000000000005</v>
      </c>
      <c r="D85" s="601">
        <v>0.74560000000000004</v>
      </c>
      <c r="E85" s="601">
        <v>0.74560000000000004</v>
      </c>
      <c r="F85" s="601">
        <v>0.74560000000000004</v>
      </c>
      <c r="G85" s="601">
        <v>0.74560000000000004</v>
      </c>
      <c r="H85" s="601">
        <v>0.74560000000000004</v>
      </c>
      <c r="I85" s="601">
        <v>0.56389999999999996</v>
      </c>
      <c r="J85" s="601">
        <v>0.56389999999999996</v>
      </c>
      <c r="K85" s="601">
        <v>0.56389999999999996</v>
      </c>
      <c r="L85" s="601">
        <v>0.56389999999999996</v>
      </c>
      <c r="M85" s="601">
        <v>0.56389999999999996</v>
      </c>
    </row>
    <row r="86" spans="1:13">
      <c r="A86" s="598">
        <v>8.4</v>
      </c>
      <c r="B86" s="601">
        <v>0.85709999999999997</v>
      </c>
      <c r="C86" s="601">
        <v>0.85709999999999997</v>
      </c>
      <c r="D86" s="601">
        <v>0.74419999999999997</v>
      </c>
      <c r="E86" s="601">
        <v>0.74419999999999997</v>
      </c>
      <c r="F86" s="601">
        <v>0.74419999999999997</v>
      </c>
      <c r="G86" s="601">
        <v>0.74419999999999997</v>
      </c>
      <c r="H86" s="601">
        <v>0.74419999999999997</v>
      </c>
      <c r="I86" s="601">
        <v>0.56189999999999996</v>
      </c>
      <c r="J86" s="601">
        <v>0.56189999999999996</v>
      </c>
      <c r="K86" s="601">
        <v>0.56189999999999996</v>
      </c>
      <c r="L86" s="601">
        <v>0.56189999999999996</v>
      </c>
      <c r="M86" s="601">
        <v>0.56189999999999996</v>
      </c>
    </row>
    <row r="87" spans="1:13">
      <c r="A87" s="598">
        <v>8.5</v>
      </c>
      <c r="B87" s="601">
        <v>0.85580000000000001</v>
      </c>
      <c r="C87" s="601">
        <v>0.85580000000000001</v>
      </c>
      <c r="D87" s="601">
        <v>0.74270000000000003</v>
      </c>
      <c r="E87" s="601">
        <v>0.74270000000000003</v>
      </c>
      <c r="F87" s="601">
        <v>0.74270000000000003</v>
      </c>
      <c r="G87" s="601">
        <v>0.74270000000000003</v>
      </c>
      <c r="H87" s="601">
        <v>0.74270000000000003</v>
      </c>
      <c r="I87" s="601">
        <v>0.55989999999999995</v>
      </c>
      <c r="J87" s="601">
        <v>0.55989999999999995</v>
      </c>
      <c r="K87" s="601">
        <v>0.55989999999999995</v>
      </c>
      <c r="L87" s="601">
        <v>0.55989999999999995</v>
      </c>
      <c r="M87" s="601">
        <v>0.55989999999999995</v>
      </c>
    </row>
    <row r="88" spans="1:13">
      <c r="A88" s="598">
        <v>8.6</v>
      </c>
      <c r="B88" s="601">
        <v>0.85450000000000004</v>
      </c>
      <c r="C88" s="601">
        <v>0.85450000000000004</v>
      </c>
      <c r="D88" s="601">
        <v>0.74129999999999996</v>
      </c>
      <c r="E88" s="601">
        <v>0.74129999999999996</v>
      </c>
      <c r="F88" s="601">
        <v>0.74129999999999996</v>
      </c>
      <c r="G88" s="601">
        <v>0.74129999999999996</v>
      </c>
      <c r="H88" s="601">
        <v>0.74129999999999996</v>
      </c>
      <c r="I88" s="601">
        <v>0.55800000000000005</v>
      </c>
      <c r="J88" s="601">
        <v>0.55800000000000005</v>
      </c>
      <c r="K88" s="601">
        <v>0.55800000000000005</v>
      </c>
      <c r="L88" s="601">
        <v>0.55800000000000005</v>
      </c>
      <c r="M88" s="601">
        <v>0.55800000000000005</v>
      </c>
    </row>
    <row r="89" spans="1:13">
      <c r="A89" s="598">
        <v>8.6999999999999993</v>
      </c>
      <c r="B89" s="601">
        <v>0.85329999999999995</v>
      </c>
      <c r="C89" s="601">
        <v>0.85329999999999995</v>
      </c>
      <c r="D89" s="601">
        <v>0.7399</v>
      </c>
      <c r="E89" s="601">
        <v>0.7399</v>
      </c>
      <c r="F89" s="601">
        <v>0.7399</v>
      </c>
      <c r="G89" s="601">
        <v>0.7399</v>
      </c>
      <c r="H89" s="601">
        <v>0.7399</v>
      </c>
      <c r="I89" s="601">
        <v>0.55600000000000005</v>
      </c>
      <c r="J89" s="601">
        <v>0.55600000000000005</v>
      </c>
      <c r="K89" s="601">
        <v>0.55600000000000005</v>
      </c>
      <c r="L89" s="601">
        <v>0.55600000000000005</v>
      </c>
      <c r="M89" s="601">
        <v>0.55600000000000005</v>
      </c>
    </row>
    <row r="90" spans="1:13">
      <c r="A90" s="598">
        <v>8.8000000000000007</v>
      </c>
      <c r="B90" s="601">
        <v>0.85209999999999997</v>
      </c>
      <c r="C90" s="601">
        <v>0.85209999999999997</v>
      </c>
      <c r="D90" s="601">
        <v>0.73850000000000005</v>
      </c>
      <c r="E90" s="601">
        <v>0.73850000000000005</v>
      </c>
      <c r="F90" s="601">
        <v>0.73850000000000005</v>
      </c>
      <c r="G90" s="601">
        <v>0.73850000000000005</v>
      </c>
      <c r="H90" s="601">
        <v>0.73850000000000005</v>
      </c>
      <c r="I90" s="601">
        <v>0.55420000000000003</v>
      </c>
      <c r="J90" s="601">
        <v>0.55420000000000003</v>
      </c>
      <c r="K90" s="601">
        <v>0.55420000000000003</v>
      </c>
      <c r="L90" s="601">
        <v>0.55420000000000003</v>
      </c>
      <c r="M90" s="601">
        <v>0.55420000000000003</v>
      </c>
    </row>
    <row r="91" spans="1:13">
      <c r="A91" s="598">
        <v>8.9</v>
      </c>
      <c r="B91" s="601">
        <v>0.85099999999999998</v>
      </c>
      <c r="C91" s="601">
        <v>0.85099999999999998</v>
      </c>
      <c r="D91" s="601">
        <v>0.73719999999999997</v>
      </c>
      <c r="E91" s="601">
        <v>0.73719999999999997</v>
      </c>
      <c r="F91" s="601">
        <v>0.73719999999999997</v>
      </c>
      <c r="G91" s="601">
        <v>0.73719999999999997</v>
      </c>
      <c r="H91" s="601">
        <v>0.73719999999999997</v>
      </c>
      <c r="I91" s="601">
        <v>0.55230000000000001</v>
      </c>
      <c r="J91" s="601">
        <v>0.55230000000000001</v>
      </c>
      <c r="K91" s="601">
        <v>0.55230000000000001</v>
      </c>
      <c r="L91" s="601">
        <v>0.55230000000000001</v>
      </c>
      <c r="M91" s="601">
        <v>0.55230000000000001</v>
      </c>
    </row>
    <row r="92" spans="1:13">
      <c r="A92" s="602">
        <v>9</v>
      </c>
      <c r="B92" s="601">
        <v>0.8498</v>
      </c>
      <c r="C92" s="601">
        <v>0.8498</v>
      </c>
      <c r="D92" s="601">
        <v>0.7359</v>
      </c>
      <c r="E92" s="601">
        <v>0.7359</v>
      </c>
      <c r="F92" s="601">
        <v>0.7359</v>
      </c>
      <c r="G92" s="601">
        <v>0.7359</v>
      </c>
      <c r="H92" s="601">
        <v>0.7359</v>
      </c>
      <c r="I92" s="601">
        <v>0.55049999999999999</v>
      </c>
      <c r="J92" s="601">
        <v>0.55049999999999999</v>
      </c>
      <c r="K92" s="601">
        <v>0.55049999999999999</v>
      </c>
      <c r="L92" s="601">
        <v>0.55049999999999999</v>
      </c>
      <c r="M92" s="601">
        <v>0.55049999999999999</v>
      </c>
    </row>
    <row r="93" spans="1:13">
      <c r="A93" s="602">
        <v>9.1</v>
      </c>
      <c r="B93" s="601">
        <v>0.84870000000000001</v>
      </c>
      <c r="C93" s="601">
        <v>0.84870000000000001</v>
      </c>
      <c r="D93" s="601">
        <v>0.73470000000000002</v>
      </c>
      <c r="E93" s="601">
        <v>0.73470000000000002</v>
      </c>
      <c r="F93" s="601">
        <v>0.73470000000000002</v>
      </c>
      <c r="G93" s="601">
        <v>0.73470000000000002</v>
      </c>
      <c r="H93" s="601">
        <v>0.73470000000000002</v>
      </c>
      <c r="I93" s="601">
        <v>0.54879999999999995</v>
      </c>
      <c r="J93" s="601">
        <v>0.54879999999999995</v>
      </c>
      <c r="K93" s="601">
        <v>0.54879999999999995</v>
      </c>
      <c r="L93" s="601">
        <v>0.54879999999999995</v>
      </c>
      <c r="M93" s="601">
        <v>0.54879999999999995</v>
      </c>
    </row>
    <row r="94" spans="1:13">
      <c r="A94" s="602">
        <v>9.1999999999999993</v>
      </c>
      <c r="B94" s="601">
        <v>0.84770000000000001</v>
      </c>
      <c r="C94" s="601">
        <v>0.84770000000000001</v>
      </c>
      <c r="D94" s="601">
        <v>0.73350000000000004</v>
      </c>
      <c r="E94" s="601">
        <v>0.73350000000000004</v>
      </c>
      <c r="F94" s="601">
        <v>0.73350000000000004</v>
      </c>
      <c r="G94" s="601">
        <v>0.73350000000000004</v>
      </c>
      <c r="H94" s="601">
        <v>0.73350000000000004</v>
      </c>
      <c r="I94" s="601">
        <v>0.54710000000000003</v>
      </c>
      <c r="J94" s="601">
        <v>0.54710000000000003</v>
      </c>
      <c r="K94" s="601">
        <v>0.54710000000000003</v>
      </c>
      <c r="L94" s="601">
        <v>0.54710000000000003</v>
      </c>
      <c r="M94" s="601">
        <v>0.54710000000000003</v>
      </c>
    </row>
    <row r="95" spans="1:13">
      <c r="A95" s="602">
        <v>9.3000000000000007</v>
      </c>
      <c r="B95" s="601">
        <v>0.84660000000000002</v>
      </c>
      <c r="C95" s="601">
        <v>0.84660000000000002</v>
      </c>
      <c r="D95" s="601">
        <v>0.73229999999999995</v>
      </c>
      <c r="E95" s="601">
        <v>0.73229999999999995</v>
      </c>
      <c r="F95" s="601">
        <v>0.73229999999999995</v>
      </c>
      <c r="G95" s="601">
        <v>0.73229999999999995</v>
      </c>
      <c r="H95" s="601">
        <v>0.73229999999999995</v>
      </c>
      <c r="I95" s="601">
        <v>0.5454</v>
      </c>
      <c r="J95" s="601">
        <v>0.5454</v>
      </c>
      <c r="K95" s="601">
        <v>0.5454</v>
      </c>
      <c r="L95" s="601">
        <v>0.5454</v>
      </c>
      <c r="M95" s="601">
        <v>0.5454</v>
      </c>
    </row>
    <row r="96" spans="1:13">
      <c r="A96" s="602">
        <v>9.4</v>
      </c>
      <c r="B96" s="601">
        <v>0.84550000000000003</v>
      </c>
      <c r="C96" s="601">
        <v>0.84550000000000003</v>
      </c>
      <c r="D96" s="601">
        <v>0.73109999999999997</v>
      </c>
      <c r="E96" s="601">
        <v>0.73109999999999997</v>
      </c>
      <c r="F96" s="601">
        <v>0.73109999999999997</v>
      </c>
      <c r="G96" s="601">
        <v>0.73109999999999997</v>
      </c>
      <c r="H96" s="601">
        <v>0.73109999999999997</v>
      </c>
      <c r="I96" s="601">
        <v>0.54369999999999996</v>
      </c>
      <c r="J96" s="601">
        <v>0.54369999999999996</v>
      </c>
      <c r="K96" s="601">
        <v>0.54369999999999996</v>
      </c>
      <c r="L96" s="601">
        <v>0.54369999999999996</v>
      </c>
      <c r="M96" s="601">
        <v>0.54369999999999996</v>
      </c>
    </row>
    <row r="97" spans="1:14">
      <c r="A97" s="602">
        <v>9.5</v>
      </c>
      <c r="B97" s="601">
        <v>0.84450000000000003</v>
      </c>
      <c r="C97" s="601">
        <v>0.84450000000000003</v>
      </c>
      <c r="D97" s="601">
        <v>0.72989999999999999</v>
      </c>
      <c r="E97" s="601">
        <v>0.72989999999999999</v>
      </c>
      <c r="F97" s="601">
        <v>0.72989999999999999</v>
      </c>
      <c r="G97" s="601">
        <v>0.72989999999999999</v>
      </c>
      <c r="H97" s="601">
        <v>0.72989999999999999</v>
      </c>
      <c r="I97" s="601">
        <v>0.54200000000000004</v>
      </c>
      <c r="J97" s="601">
        <v>0.54200000000000004</v>
      </c>
      <c r="K97" s="601">
        <v>0.54200000000000004</v>
      </c>
      <c r="L97" s="601">
        <v>0.54200000000000004</v>
      </c>
      <c r="M97" s="601">
        <v>0.54200000000000004</v>
      </c>
    </row>
    <row r="98" spans="1:14">
      <c r="A98" s="602">
        <v>9.6</v>
      </c>
      <c r="B98" s="601">
        <v>0.84340000000000004</v>
      </c>
      <c r="C98" s="601">
        <v>0.84340000000000004</v>
      </c>
      <c r="D98" s="601">
        <v>0.72870000000000001</v>
      </c>
      <c r="E98" s="601">
        <v>0.72870000000000001</v>
      </c>
      <c r="F98" s="601">
        <v>0.72870000000000001</v>
      </c>
      <c r="G98" s="601">
        <v>0.72870000000000001</v>
      </c>
      <c r="H98" s="601">
        <v>0.72870000000000001</v>
      </c>
      <c r="I98" s="601">
        <v>0.5403</v>
      </c>
      <c r="J98" s="601">
        <v>0.5403</v>
      </c>
      <c r="K98" s="601">
        <v>0.5403</v>
      </c>
      <c r="L98" s="601">
        <v>0.5403</v>
      </c>
      <c r="M98" s="601">
        <v>0.5403</v>
      </c>
    </row>
    <row r="99" spans="1:14">
      <c r="A99" s="602">
        <v>9.6999999999999993</v>
      </c>
      <c r="B99" s="601">
        <v>0.84230000000000005</v>
      </c>
      <c r="C99" s="601">
        <v>0.84230000000000005</v>
      </c>
      <c r="D99" s="601">
        <v>0.72750000000000004</v>
      </c>
      <c r="E99" s="601">
        <v>0.72750000000000004</v>
      </c>
      <c r="F99" s="601">
        <v>0.72750000000000004</v>
      </c>
      <c r="G99" s="601">
        <v>0.72750000000000004</v>
      </c>
      <c r="H99" s="601">
        <v>0.72750000000000004</v>
      </c>
      <c r="I99" s="601">
        <v>0.53859999999999997</v>
      </c>
      <c r="J99" s="601">
        <v>0.53859999999999997</v>
      </c>
      <c r="K99" s="601">
        <v>0.53859999999999997</v>
      </c>
      <c r="L99" s="601">
        <v>0.53859999999999997</v>
      </c>
      <c r="M99" s="601">
        <v>0.53859999999999997</v>
      </c>
    </row>
    <row r="100" spans="1:14">
      <c r="A100" s="602">
        <v>9.8000000000000007</v>
      </c>
      <c r="B100" s="601">
        <v>0.84140000000000004</v>
      </c>
      <c r="C100" s="601">
        <v>0.84140000000000004</v>
      </c>
      <c r="D100" s="601">
        <v>0.72629999999999995</v>
      </c>
      <c r="E100" s="601">
        <v>0.72629999999999995</v>
      </c>
      <c r="F100" s="601">
        <v>0.72629999999999995</v>
      </c>
      <c r="G100" s="601">
        <v>0.72629999999999995</v>
      </c>
      <c r="H100" s="601">
        <v>0.72629999999999995</v>
      </c>
      <c r="I100" s="601">
        <v>0.53710000000000002</v>
      </c>
      <c r="J100" s="601">
        <v>0.53710000000000002</v>
      </c>
      <c r="K100" s="601">
        <v>0.53710000000000002</v>
      </c>
      <c r="L100" s="601">
        <v>0.53710000000000002</v>
      </c>
      <c r="M100" s="601">
        <v>0.53710000000000002</v>
      </c>
    </row>
    <row r="101" spans="1:14">
      <c r="A101" s="602">
        <v>9.9</v>
      </c>
      <c r="B101" s="601">
        <v>0.84050000000000002</v>
      </c>
      <c r="C101" s="601">
        <v>0.84050000000000002</v>
      </c>
      <c r="D101" s="601">
        <v>0.72519999999999996</v>
      </c>
      <c r="E101" s="601">
        <v>0.72519999999999996</v>
      </c>
      <c r="F101" s="601">
        <v>0.72519999999999996</v>
      </c>
      <c r="G101" s="601">
        <v>0.72519999999999996</v>
      </c>
      <c r="H101" s="601">
        <v>0.72519999999999996</v>
      </c>
      <c r="I101" s="601">
        <v>0.53549999999999998</v>
      </c>
      <c r="J101" s="601">
        <v>0.53549999999999998</v>
      </c>
      <c r="K101" s="601">
        <v>0.53549999999999998</v>
      </c>
      <c r="L101" s="601">
        <v>0.53549999999999998</v>
      </c>
      <c r="M101" s="601">
        <v>0.53549999999999998</v>
      </c>
    </row>
    <row r="102" spans="1:14">
      <c r="A102" s="602">
        <v>10</v>
      </c>
      <c r="B102" s="601">
        <v>0.83950000000000002</v>
      </c>
      <c r="C102" s="601">
        <v>0.83950000000000002</v>
      </c>
      <c r="D102" s="601">
        <v>0.72409999999999997</v>
      </c>
      <c r="E102" s="601">
        <v>0.72409999999999997</v>
      </c>
      <c r="F102" s="601">
        <v>0.72409999999999997</v>
      </c>
      <c r="G102" s="601">
        <v>0.72409999999999997</v>
      </c>
      <c r="H102" s="601">
        <v>0.72409999999999997</v>
      </c>
      <c r="I102" s="601">
        <v>0.53400000000000003</v>
      </c>
      <c r="J102" s="601">
        <v>0.53400000000000003</v>
      </c>
      <c r="K102" s="601">
        <v>0.53400000000000003</v>
      </c>
      <c r="L102" s="601">
        <v>0.53400000000000003</v>
      </c>
      <c r="M102" s="601">
        <v>0.53400000000000003</v>
      </c>
    </row>
    <row r="103" spans="1:14" ht="14.25">
      <c r="A103" s="596" t="s">
        <v>1971</v>
      </c>
      <c r="B103" s="597"/>
      <c r="C103" s="597"/>
      <c r="D103" s="597"/>
      <c r="E103" s="597"/>
      <c r="F103" s="597"/>
      <c r="G103" s="597"/>
      <c r="H103" s="597"/>
      <c r="I103" s="597"/>
      <c r="J103" s="597"/>
      <c r="K103" s="597"/>
      <c r="L103" s="597"/>
      <c r="M103" s="597"/>
      <c r="N103" s="597"/>
    </row>
    <row r="104" spans="1:14" ht="14.25">
      <c r="A104" s="598" t="s">
        <v>1970</v>
      </c>
      <c r="B104" s="599" t="s">
        <v>232</v>
      </c>
      <c r="C104" s="599" t="s">
        <v>243</v>
      </c>
      <c r="D104" s="599" t="s">
        <v>253</v>
      </c>
      <c r="E104" s="599" t="s">
        <v>261</v>
      </c>
      <c r="F104" s="599" t="s">
        <v>269</v>
      </c>
      <c r="G104" s="599" t="s">
        <v>275</v>
      </c>
      <c r="H104" s="600" t="s">
        <v>280</v>
      </c>
      <c r="I104" s="600" t="s">
        <v>285</v>
      </c>
      <c r="J104" s="603" t="s">
        <v>288</v>
      </c>
      <c r="K104" s="603" t="s">
        <v>291</v>
      </c>
      <c r="L104" s="603" t="s">
        <v>294</v>
      </c>
      <c r="M104" s="603" t="s">
        <v>297</v>
      </c>
      <c r="N104" s="597">
        <f>SUMPRODUCT((A105:A204=ROUNDDOWN(基准地价修正!G3,1))*(B104:M104=基准地价修正!G2)*(B105:M204))</f>
        <v>0</v>
      </c>
    </row>
    <row r="105" spans="1:14">
      <c r="A105" s="598">
        <v>0.1</v>
      </c>
      <c r="B105" s="601">
        <v>13.733000000000001</v>
      </c>
      <c r="C105" s="601">
        <v>13.733000000000001</v>
      </c>
      <c r="D105" s="601">
        <v>12.787000000000001</v>
      </c>
      <c r="E105" s="601">
        <v>12.787000000000001</v>
      </c>
      <c r="F105" s="601">
        <v>12.787000000000001</v>
      </c>
      <c r="G105" s="601">
        <v>12.787000000000001</v>
      </c>
      <c r="H105" s="601">
        <v>12.787000000000001</v>
      </c>
      <c r="I105" s="601">
        <v>12.384</v>
      </c>
      <c r="J105" s="601">
        <v>12.384</v>
      </c>
      <c r="K105" s="601">
        <v>12.384</v>
      </c>
      <c r="L105" s="601">
        <v>12.384</v>
      </c>
      <c r="M105" s="601">
        <v>12.384</v>
      </c>
    </row>
    <row r="106" spans="1:14">
      <c r="A106" s="598">
        <v>0.2</v>
      </c>
      <c r="B106" s="601">
        <v>6.8665000000000003</v>
      </c>
      <c r="C106" s="601">
        <v>6.8665000000000003</v>
      </c>
      <c r="D106" s="601">
        <v>6.3935000000000004</v>
      </c>
      <c r="E106" s="601">
        <v>6.3935000000000004</v>
      </c>
      <c r="F106" s="601">
        <v>6.3935000000000004</v>
      </c>
      <c r="G106" s="601">
        <v>6.3935000000000004</v>
      </c>
      <c r="H106" s="601">
        <v>6.3935000000000004</v>
      </c>
      <c r="I106" s="601">
        <v>6.1920000000000002</v>
      </c>
      <c r="J106" s="601">
        <v>6.1920000000000002</v>
      </c>
      <c r="K106" s="601">
        <v>6.1920000000000002</v>
      </c>
      <c r="L106" s="601">
        <v>6.1920000000000002</v>
      </c>
      <c r="M106" s="601">
        <v>6.1920000000000002</v>
      </c>
    </row>
    <row r="107" spans="1:14">
      <c r="A107" s="598">
        <v>0.3</v>
      </c>
      <c r="B107" s="601">
        <v>4.5777000000000001</v>
      </c>
      <c r="C107" s="601">
        <v>4.5777000000000001</v>
      </c>
      <c r="D107" s="601">
        <v>4.2622999999999998</v>
      </c>
      <c r="E107" s="601">
        <v>4.2622999999999998</v>
      </c>
      <c r="F107" s="601">
        <v>4.2622999999999998</v>
      </c>
      <c r="G107" s="601">
        <v>4.2622999999999998</v>
      </c>
      <c r="H107" s="601">
        <v>4.2622999999999998</v>
      </c>
      <c r="I107" s="601">
        <v>4.1280000000000001</v>
      </c>
      <c r="J107" s="601">
        <v>4.1280000000000001</v>
      </c>
      <c r="K107" s="601">
        <v>4.1280000000000001</v>
      </c>
      <c r="L107" s="601">
        <v>4.1280000000000001</v>
      </c>
      <c r="M107" s="601">
        <v>4.1280000000000001</v>
      </c>
    </row>
    <row r="108" spans="1:14">
      <c r="A108" s="598">
        <v>0.4</v>
      </c>
      <c r="B108" s="601">
        <v>3.4333</v>
      </c>
      <c r="C108" s="601">
        <v>3.4333</v>
      </c>
      <c r="D108" s="601">
        <v>3.1968000000000001</v>
      </c>
      <c r="E108" s="601">
        <v>3.1968000000000001</v>
      </c>
      <c r="F108" s="601">
        <v>3.1968000000000001</v>
      </c>
      <c r="G108" s="601">
        <v>3.1968000000000001</v>
      </c>
      <c r="H108" s="601">
        <v>3.1968000000000001</v>
      </c>
      <c r="I108" s="601">
        <v>3.0960000000000001</v>
      </c>
      <c r="J108" s="601">
        <v>3.0960000000000001</v>
      </c>
      <c r="K108" s="601">
        <v>3.0960000000000001</v>
      </c>
      <c r="L108" s="601">
        <v>3.0960000000000001</v>
      </c>
      <c r="M108" s="601">
        <v>3.0960000000000001</v>
      </c>
    </row>
    <row r="109" spans="1:14">
      <c r="A109" s="598">
        <v>0.5</v>
      </c>
      <c r="B109" s="601">
        <v>2.7465999999999999</v>
      </c>
      <c r="C109" s="601">
        <v>2.7465999999999999</v>
      </c>
      <c r="D109" s="601">
        <v>2.5573999999999999</v>
      </c>
      <c r="E109" s="601">
        <v>2.5573999999999999</v>
      </c>
      <c r="F109" s="601">
        <v>2.5573999999999999</v>
      </c>
      <c r="G109" s="601">
        <v>2.5573999999999999</v>
      </c>
      <c r="H109" s="601">
        <v>2.5573999999999999</v>
      </c>
      <c r="I109" s="601">
        <v>2.4767999999999999</v>
      </c>
      <c r="J109" s="601">
        <v>2.4767999999999999</v>
      </c>
      <c r="K109" s="601">
        <v>2.4767999999999999</v>
      </c>
      <c r="L109" s="601">
        <v>2.4767999999999999</v>
      </c>
      <c r="M109" s="601">
        <v>2.4767999999999999</v>
      </c>
    </row>
    <row r="110" spans="1:14">
      <c r="A110" s="598">
        <v>0.6</v>
      </c>
      <c r="B110" s="601">
        <v>2.2888000000000002</v>
      </c>
      <c r="C110" s="601">
        <v>2.2888000000000002</v>
      </c>
      <c r="D110" s="601">
        <v>2.1312000000000002</v>
      </c>
      <c r="E110" s="601">
        <v>2.1312000000000002</v>
      </c>
      <c r="F110" s="601">
        <v>2.1312000000000002</v>
      </c>
      <c r="G110" s="601">
        <v>2.1312000000000002</v>
      </c>
      <c r="H110" s="601">
        <v>2.1312000000000002</v>
      </c>
      <c r="I110" s="601">
        <v>2.0640000000000001</v>
      </c>
      <c r="J110" s="601">
        <v>2.0640000000000001</v>
      </c>
      <c r="K110" s="601">
        <v>2.0640000000000001</v>
      </c>
      <c r="L110" s="601">
        <v>2.0640000000000001</v>
      </c>
      <c r="M110" s="601">
        <v>2.0640000000000001</v>
      </c>
    </row>
    <row r="111" spans="1:14">
      <c r="A111" s="598">
        <v>0.7</v>
      </c>
      <c r="B111" s="601">
        <v>1.9619</v>
      </c>
      <c r="C111" s="601">
        <v>1.9619</v>
      </c>
      <c r="D111" s="601">
        <v>1.8267</v>
      </c>
      <c r="E111" s="601">
        <v>1.8267</v>
      </c>
      <c r="F111" s="601">
        <v>1.8267</v>
      </c>
      <c r="G111" s="601">
        <v>1.8267</v>
      </c>
      <c r="H111" s="601">
        <v>1.8267</v>
      </c>
      <c r="I111" s="601">
        <v>1.7690999999999999</v>
      </c>
      <c r="J111" s="601">
        <v>1.7690999999999999</v>
      </c>
      <c r="K111" s="601">
        <v>1.7690999999999999</v>
      </c>
      <c r="L111" s="601">
        <v>1.7690999999999999</v>
      </c>
      <c r="M111" s="601">
        <v>1.7690999999999999</v>
      </c>
    </row>
    <row r="112" spans="1:14">
      <c r="A112" s="598">
        <v>0.8</v>
      </c>
      <c r="B112" s="601">
        <v>1.7165999999999999</v>
      </c>
      <c r="C112" s="601">
        <v>1.7165999999999999</v>
      </c>
      <c r="D112" s="601">
        <v>1.5984</v>
      </c>
      <c r="E112" s="601">
        <v>1.5984</v>
      </c>
      <c r="F112" s="601">
        <v>1.5984</v>
      </c>
      <c r="G112" s="601">
        <v>1.5984</v>
      </c>
      <c r="H112" s="601">
        <v>1.5984</v>
      </c>
      <c r="I112" s="601">
        <v>1.548</v>
      </c>
      <c r="J112" s="601">
        <v>1.548</v>
      </c>
      <c r="K112" s="601">
        <v>1.548</v>
      </c>
      <c r="L112" s="601">
        <v>1.548</v>
      </c>
      <c r="M112" s="601">
        <v>1.548</v>
      </c>
    </row>
    <row r="113" spans="1:13">
      <c r="A113" s="598">
        <v>0.9</v>
      </c>
      <c r="B113" s="601">
        <v>1.5259</v>
      </c>
      <c r="C113" s="601">
        <v>1.5259</v>
      </c>
      <c r="D113" s="601">
        <v>1.4208000000000001</v>
      </c>
      <c r="E113" s="601">
        <v>1.4208000000000001</v>
      </c>
      <c r="F113" s="601">
        <v>1.4208000000000001</v>
      </c>
      <c r="G113" s="601">
        <v>1.4208000000000001</v>
      </c>
      <c r="H113" s="601">
        <v>1.4208000000000001</v>
      </c>
      <c r="I113" s="601">
        <v>1.3759999999999999</v>
      </c>
      <c r="J113" s="601">
        <v>1.3759999999999999</v>
      </c>
      <c r="K113" s="601">
        <v>1.3759999999999999</v>
      </c>
      <c r="L113" s="601">
        <v>1.3759999999999999</v>
      </c>
      <c r="M113" s="601">
        <v>1.3759999999999999</v>
      </c>
    </row>
    <row r="114" spans="1:13">
      <c r="A114" s="598">
        <v>1</v>
      </c>
      <c r="B114" s="601">
        <v>1.3733</v>
      </c>
      <c r="C114" s="601">
        <v>1.3733</v>
      </c>
      <c r="D114" s="601">
        <v>1.2786999999999999</v>
      </c>
      <c r="E114" s="601">
        <v>1.2786999999999999</v>
      </c>
      <c r="F114" s="601">
        <v>1.2786999999999999</v>
      </c>
      <c r="G114" s="601">
        <v>1.2786999999999999</v>
      </c>
      <c r="H114" s="601">
        <v>1.2786999999999999</v>
      </c>
      <c r="I114" s="601">
        <v>1.2383999999999999</v>
      </c>
      <c r="J114" s="601">
        <v>1.2383999999999999</v>
      </c>
      <c r="K114" s="601">
        <v>1.2383999999999999</v>
      </c>
      <c r="L114" s="601">
        <v>1.2383999999999999</v>
      </c>
      <c r="M114" s="601">
        <v>1.2383999999999999</v>
      </c>
    </row>
    <row r="115" spans="1:13">
      <c r="A115" s="598">
        <v>1.1000000000000001</v>
      </c>
      <c r="B115" s="601">
        <v>1.3489</v>
      </c>
      <c r="C115" s="601">
        <v>1.3489</v>
      </c>
      <c r="D115" s="601">
        <v>1.2542</v>
      </c>
      <c r="E115" s="601">
        <v>1.2542</v>
      </c>
      <c r="F115" s="601">
        <v>1.2542</v>
      </c>
      <c r="G115" s="601">
        <v>1.2542</v>
      </c>
      <c r="H115" s="601">
        <v>1.2542</v>
      </c>
      <c r="I115" s="601">
        <v>1.2050000000000001</v>
      </c>
      <c r="J115" s="601">
        <v>1.2050000000000001</v>
      </c>
      <c r="K115" s="601">
        <v>1.2050000000000001</v>
      </c>
      <c r="L115" s="601">
        <v>1.2050000000000001</v>
      </c>
      <c r="M115" s="601">
        <v>1.2050000000000001</v>
      </c>
    </row>
    <row r="116" spans="1:13">
      <c r="A116" s="598">
        <v>1.2</v>
      </c>
      <c r="B116" s="601">
        <v>1.3255999999999999</v>
      </c>
      <c r="C116" s="601">
        <v>1.3255999999999999</v>
      </c>
      <c r="D116" s="601">
        <v>1.2305999999999999</v>
      </c>
      <c r="E116" s="601">
        <v>1.2305999999999999</v>
      </c>
      <c r="F116" s="601">
        <v>1.2305999999999999</v>
      </c>
      <c r="G116" s="601">
        <v>1.2305999999999999</v>
      </c>
      <c r="H116" s="601">
        <v>1.2305999999999999</v>
      </c>
      <c r="I116" s="601">
        <v>1.1741999999999999</v>
      </c>
      <c r="J116" s="601">
        <v>1.1741999999999999</v>
      </c>
      <c r="K116" s="601">
        <v>1.1741999999999999</v>
      </c>
      <c r="L116" s="601">
        <v>1.1741999999999999</v>
      </c>
      <c r="M116" s="601">
        <v>1.1741999999999999</v>
      </c>
    </row>
    <row r="117" spans="1:13">
      <c r="A117" s="598">
        <v>1.3</v>
      </c>
      <c r="B117" s="601">
        <v>1.3032999999999999</v>
      </c>
      <c r="C117" s="601">
        <v>1.3032999999999999</v>
      </c>
      <c r="D117" s="601">
        <v>1.2079</v>
      </c>
      <c r="E117" s="601">
        <v>1.2079</v>
      </c>
      <c r="F117" s="601">
        <v>1.2079</v>
      </c>
      <c r="G117" s="601">
        <v>1.2079</v>
      </c>
      <c r="H117" s="601">
        <v>1.2079</v>
      </c>
      <c r="I117" s="601">
        <v>1.1459999999999999</v>
      </c>
      <c r="J117" s="601">
        <v>1.1459999999999999</v>
      </c>
      <c r="K117" s="601">
        <v>1.1459999999999999</v>
      </c>
      <c r="L117" s="601">
        <v>1.1459999999999999</v>
      </c>
      <c r="M117" s="601">
        <v>1.1459999999999999</v>
      </c>
    </row>
    <row r="118" spans="1:13">
      <c r="A118" s="598">
        <v>1.4</v>
      </c>
      <c r="B118" s="601">
        <v>1.282</v>
      </c>
      <c r="C118" s="601">
        <v>1.282</v>
      </c>
      <c r="D118" s="601">
        <v>1.1861999999999999</v>
      </c>
      <c r="E118" s="601">
        <v>1.1861999999999999</v>
      </c>
      <c r="F118" s="601">
        <v>1.1861999999999999</v>
      </c>
      <c r="G118" s="601">
        <v>1.1861999999999999</v>
      </c>
      <c r="H118" s="601">
        <v>1.1861999999999999</v>
      </c>
      <c r="I118" s="601">
        <v>1.1200000000000001</v>
      </c>
      <c r="J118" s="601">
        <v>1.1200000000000001</v>
      </c>
      <c r="K118" s="601">
        <v>1.1200000000000001</v>
      </c>
      <c r="L118" s="601">
        <v>1.1200000000000001</v>
      </c>
      <c r="M118" s="601">
        <v>1.1200000000000001</v>
      </c>
    </row>
    <row r="119" spans="1:13">
      <c r="A119" s="598">
        <v>1.5</v>
      </c>
      <c r="B119" s="601">
        <v>1.2617</v>
      </c>
      <c r="C119" s="601">
        <v>1.2617</v>
      </c>
      <c r="D119" s="601">
        <v>1.1653</v>
      </c>
      <c r="E119" s="601">
        <v>1.1653</v>
      </c>
      <c r="F119" s="601">
        <v>1.1653</v>
      </c>
      <c r="G119" s="601">
        <v>1.1653</v>
      </c>
      <c r="H119" s="601">
        <v>1.1653</v>
      </c>
      <c r="I119" s="601">
        <v>1.0961000000000001</v>
      </c>
      <c r="J119" s="601">
        <v>1.0961000000000001</v>
      </c>
      <c r="K119" s="601">
        <v>1.0961000000000001</v>
      </c>
      <c r="L119" s="601">
        <v>1.0961000000000001</v>
      </c>
      <c r="M119" s="601">
        <v>1.0961000000000001</v>
      </c>
    </row>
    <row r="120" spans="1:13">
      <c r="A120" s="598">
        <v>1.6</v>
      </c>
      <c r="B120" s="601">
        <v>1.2423</v>
      </c>
      <c r="C120" s="601">
        <v>1.2423</v>
      </c>
      <c r="D120" s="601">
        <v>1.1453</v>
      </c>
      <c r="E120" s="601">
        <v>1.1453</v>
      </c>
      <c r="F120" s="601">
        <v>1.1453</v>
      </c>
      <c r="G120" s="601">
        <v>1.1453</v>
      </c>
      <c r="H120" s="601">
        <v>1.1453</v>
      </c>
      <c r="I120" s="601">
        <v>1.0740000000000001</v>
      </c>
      <c r="J120" s="601">
        <v>1.0740000000000001</v>
      </c>
      <c r="K120" s="601">
        <v>1.0740000000000001</v>
      </c>
      <c r="L120" s="601">
        <v>1.0740000000000001</v>
      </c>
      <c r="M120" s="601">
        <v>1.0740000000000001</v>
      </c>
    </row>
    <row r="121" spans="1:13">
      <c r="A121" s="598">
        <v>1.7</v>
      </c>
      <c r="B121" s="601">
        <v>1.2237</v>
      </c>
      <c r="C121" s="601">
        <v>1.2237</v>
      </c>
      <c r="D121" s="601">
        <v>1.1261000000000001</v>
      </c>
      <c r="E121" s="601">
        <v>1.1261000000000001</v>
      </c>
      <c r="F121" s="601">
        <v>1.1261000000000001</v>
      </c>
      <c r="G121" s="601">
        <v>1.1261000000000001</v>
      </c>
      <c r="H121" s="601">
        <v>1.1261000000000001</v>
      </c>
      <c r="I121" s="601">
        <v>1.0535000000000001</v>
      </c>
      <c r="J121" s="601">
        <v>1.0535000000000001</v>
      </c>
      <c r="K121" s="601">
        <v>1.0535000000000001</v>
      </c>
      <c r="L121" s="601">
        <v>1.0535000000000001</v>
      </c>
      <c r="M121" s="601">
        <v>1.0535000000000001</v>
      </c>
    </row>
    <row r="122" spans="1:13">
      <c r="A122" s="598">
        <v>1.8</v>
      </c>
      <c r="B122" s="601">
        <v>1.206</v>
      </c>
      <c r="C122" s="601">
        <v>1.206</v>
      </c>
      <c r="D122" s="601">
        <v>1.1076999999999999</v>
      </c>
      <c r="E122" s="601">
        <v>1.1076999999999999</v>
      </c>
      <c r="F122" s="601">
        <v>1.1076999999999999</v>
      </c>
      <c r="G122" s="601">
        <v>1.1076999999999999</v>
      </c>
      <c r="H122" s="601">
        <v>1.1076999999999999</v>
      </c>
      <c r="I122" s="601">
        <v>1.0345</v>
      </c>
      <c r="J122" s="601">
        <v>1.0345</v>
      </c>
      <c r="K122" s="601">
        <v>1.0345</v>
      </c>
      <c r="L122" s="601">
        <v>1.0345</v>
      </c>
      <c r="M122" s="601">
        <v>1.0345</v>
      </c>
    </row>
    <row r="123" spans="1:13">
      <c r="A123" s="598">
        <v>1.9</v>
      </c>
      <c r="B123" s="601">
        <v>1.1891</v>
      </c>
      <c r="C123" s="601">
        <v>1.1891</v>
      </c>
      <c r="D123" s="601">
        <v>1.0901000000000001</v>
      </c>
      <c r="E123" s="601">
        <v>1.0901000000000001</v>
      </c>
      <c r="F123" s="601">
        <v>1.0901000000000001</v>
      </c>
      <c r="G123" s="601">
        <v>1.0901000000000001</v>
      </c>
      <c r="H123" s="601">
        <v>1.0901000000000001</v>
      </c>
      <c r="I123" s="601">
        <v>1.0166999999999999</v>
      </c>
      <c r="J123" s="601">
        <v>1.0166999999999999</v>
      </c>
      <c r="K123" s="601">
        <v>1.0166999999999999</v>
      </c>
      <c r="L123" s="601">
        <v>1.0166999999999999</v>
      </c>
      <c r="M123" s="601">
        <v>1.0166999999999999</v>
      </c>
    </row>
    <row r="124" spans="1:13">
      <c r="A124" s="598">
        <v>2</v>
      </c>
      <c r="B124" s="601">
        <v>1.1729000000000001</v>
      </c>
      <c r="C124" s="601">
        <v>1.1729000000000001</v>
      </c>
      <c r="D124" s="601">
        <v>1.0732999999999999</v>
      </c>
      <c r="E124" s="601">
        <v>1.0732999999999999</v>
      </c>
      <c r="F124" s="601">
        <v>1.0732999999999999</v>
      </c>
      <c r="G124" s="601">
        <v>1.0732999999999999</v>
      </c>
      <c r="H124" s="601">
        <v>1.0732999999999999</v>
      </c>
      <c r="I124" s="601">
        <v>1</v>
      </c>
      <c r="J124" s="601">
        <v>1</v>
      </c>
      <c r="K124" s="601">
        <v>1</v>
      </c>
      <c r="L124" s="601">
        <v>1</v>
      </c>
      <c r="M124" s="601">
        <v>1</v>
      </c>
    </row>
    <row r="125" spans="1:13">
      <c r="A125" s="602">
        <v>2.1</v>
      </c>
      <c r="B125" s="601">
        <v>1.1574</v>
      </c>
      <c r="C125" s="601">
        <v>1.1574</v>
      </c>
      <c r="D125" s="601">
        <v>1.0571999999999999</v>
      </c>
      <c r="E125" s="601">
        <v>1.0571999999999999</v>
      </c>
      <c r="F125" s="601">
        <v>1.0571999999999999</v>
      </c>
      <c r="G125" s="601">
        <v>1.0571999999999999</v>
      </c>
      <c r="H125" s="601">
        <v>1.0571999999999999</v>
      </c>
      <c r="I125" s="601">
        <v>0.98409999999999997</v>
      </c>
      <c r="J125" s="601">
        <v>0.98409999999999997</v>
      </c>
      <c r="K125" s="601">
        <v>0.98409999999999997</v>
      </c>
      <c r="L125" s="601">
        <v>0.98409999999999997</v>
      </c>
      <c r="M125" s="601">
        <v>0.98409999999999997</v>
      </c>
    </row>
    <row r="126" spans="1:13">
      <c r="A126" s="602">
        <v>2.2000000000000002</v>
      </c>
      <c r="B126" s="601">
        <v>1.1426000000000001</v>
      </c>
      <c r="C126" s="601">
        <v>1.1426000000000001</v>
      </c>
      <c r="D126" s="601">
        <v>1.0419</v>
      </c>
      <c r="E126" s="601">
        <v>1.0419</v>
      </c>
      <c r="F126" s="601">
        <v>1.0419</v>
      </c>
      <c r="G126" s="601">
        <v>1.0419</v>
      </c>
      <c r="H126" s="601">
        <v>1.0419</v>
      </c>
      <c r="I126" s="601">
        <v>0.96889999999999998</v>
      </c>
      <c r="J126" s="601">
        <v>0.96889999999999998</v>
      </c>
      <c r="K126" s="601">
        <v>0.96889999999999998</v>
      </c>
      <c r="L126" s="601">
        <v>0.96889999999999998</v>
      </c>
      <c r="M126" s="601">
        <v>0.96889999999999998</v>
      </c>
    </row>
    <row r="127" spans="1:13">
      <c r="A127" s="602">
        <v>2.2999999999999998</v>
      </c>
      <c r="B127" s="601">
        <v>1.1285000000000001</v>
      </c>
      <c r="C127" s="601">
        <v>1.1285000000000001</v>
      </c>
      <c r="D127" s="601">
        <v>1.0271999999999999</v>
      </c>
      <c r="E127" s="601">
        <v>1.0271999999999999</v>
      </c>
      <c r="F127" s="601">
        <v>1.0271999999999999</v>
      </c>
      <c r="G127" s="601">
        <v>1.0271999999999999</v>
      </c>
      <c r="H127" s="601">
        <v>1.0271999999999999</v>
      </c>
      <c r="I127" s="601">
        <v>0.95440000000000003</v>
      </c>
      <c r="J127" s="601">
        <v>0.95440000000000003</v>
      </c>
      <c r="K127" s="601">
        <v>0.95440000000000003</v>
      </c>
      <c r="L127" s="601">
        <v>0.95440000000000003</v>
      </c>
      <c r="M127" s="601">
        <v>0.95440000000000003</v>
      </c>
    </row>
    <row r="128" spans="1:13">
      <c r="A128" s="602">
        <v>2.4</v>
      </c>
      <c r="B128" s="601">
        <v>1.1149</v>
      </c>
      <c r="C128" s="601">
        <v>1.1149</v>
      </c>
      <c r="D128" s="601">
        <v>1.0133000000000001</v>
      </c>
      <c r="E128" s="601">
        <v>1.0133000000000001</v>
      </c>
      <c r="F128" s="601">
        <v>1.0133000000000001</v>
      </c>
      <c r="G128" s="601">
        <v>1.0133000000000001</v>
      </c>
      <c r="H128" s="601">
        <v>1.0133000000000001</v>
      </c>
      <c r="I128" s="601">
        <v>0.9405</v>
      </c>
      <c r="J128" s="601">
        <v>0.9405</v>
      </c>
      <c r="K128" s="601">
        <v>0.9405</v>
      </c>
      <c r="L128" s="601">
        <v>0.9405</v>
      </c>
      <c r="M128" s="601">
        <v>0.9405</v>
      </c>
    </row>
    <row r="129" spans="1:13">
      <c r="A129" s="602">
        <v>2.5</v>
      </c>
      <c r="B129" s="601">
        <v>1.1020000000000001</v>
      </c>
      <c r="C129" s="601">
        <v>1.1020000000000001</v>
      </c>
      <c r="D129" s="601">
        <v>1</v>
      </c>
      <c r="E129" s="601">
        <v>1</v>
      </c>
      <c r="F129" s="601">
        <v>1</v>
      </c>
      <c r="G129" s="601">
        <v>1</v>
      </c>
      <c r="H129" s="601">
        <v>1</v>
      </c>
      <c r="I129" s="601">
        <v>0.92730000000000001</v>
      </c>
      <c r="J129" s="601">
        <v>0.92730000000000001</v>
      </c>
      <c r="K129" s="601">
        <v>0.92730000000000001</v>
      </c>
      <c r="L129" s="601">
        <v>0.92730000000000001</v>
      </c>
      <c r="M129" s="601">
        <v>0.92730000000000001</v>
      </c>
    </row>
    <row r="130" spans="1:13">
      <c r="A130" s="602">
        <v>2.6</v>
      </c>
      <c r="B130" s="601">
        <v>1.0895999999999999</v>
      </c>
      <c r="C130" s="601">
        <v>1.0895999999999999</v>
      </c>
      <c r="D130" s="601">
        <v>0.98740000000000006</v>
      </c>
      <c r="E130" s="601">
        <v>0.98740000000000006</v>
      </c>
      <c r="F130" s="601">
        <v>0.98740000000000006</v>
      </c>
      <c r="G130" s="601">
        <v>0.98740000000000006</v>
      </c>
      <c r="H130" s="601">
        <v>0.98740000000000006</v>
      </c>
      <c r="I130" s="601">
        <v>0.91469999999999996</v>
      </c>
      <c r="J130" s="601">
        <v>0.91469999999999996</v>
      </c>
      <c r="K130" s="601">
        <v>0.91469999999999996</v>
      </c>
      <c r="L130" s="601">
        <v>0.91469999999999996</v>
      </c>
      <c r="M130" s="601">
        <v>0.91469999999999996</v>
      </c>
    </row>
    <row r="131" spans="1:13">
      <c r="A131" s="602">
        <v>2.7</v>
      </c>
      <c r="B131" s="601">
        <v>1.0778000000000001</v>
      </c>
      <c r="C131" s="601">
        <v>1.0778000000000001</v>
      </c>
      <c r="D131" s="601">
        <v>0.97540000000000004</v>
      </c>
      <c r="E131" s="601">
        <v>0.97540000000000004</v>
      </c>
      <c r="F131" s="601">
        <v>0.97540000000000004</v>
      </c>
      <c r="G131" s="601">
        <v>0.97540000000000004</v>
      </c>
      <c r="H131" s="601">
        <v>0.97540000000000004</v>
      </c>
      <c r="I131" s="601">
        <v>0.90269999999999995</v>
      </c>
      <c r="J131" s="601">
        <v>0.90269999999999995</v>
      </c>
      <c r="K131" s="601">
        <v>0.90269999999999995</v>
      </c>
      <c r="L131" s="601">
        <v>0.90269999999999995</v>
      </c>
      <c r="M131" s="601">
        <v>0.90269999999999995</v>
      </c>
    </row>
    <row r="132" spans="1:13">
      <c r="A132" s="602">
        <v>2.8</v>
      </c>
      <c r="B132" s="601">
        <v>1.0665</v>
      </c>
      <c r="C132" s="601">
        <v>1.0665</v>
      </c>
      <c r="D132" s="601">
        <v>0.96399999999999997</v>
      </c>
      <c r="E132" s="601">
        <v>0.96399999999999997</v>
      </c>
      <c r="F132" s="601">
        <v>0.96399999999999997</v>
      </c>
      <c r="G132" s="601">
        <v>0.96399999999999997</v>
      </c>
      <c r="H132" s="601">
        <v>0.96399999999999997</v>
      </c>
      <c r="I132" s="601">
        <v>0.89119999999999999</v>
      </c>
      <c r="J132" s="601">
        <v>0.89119999999999999</v>
      </c>
      <c r="K132" s="601">
        <v>0.89119999999999999</v>
      </c>
      <c r="L132" s="601">
        <v>0.89119999999999999</v>
      </c>
      <c r="M132" s="601">
        <v>0.89119999999999999</v>
      </c>
    </row>
    <row r="133" spans="1:13">
      <c r="A133" s="602">
        <v>2.9</v>
      </c>
      <c r="B133" s="601">
        <v>1.0556000000000001</v>
      </c>
      <c r="C133" s="601">
        <v>1.0556000000000001</v>
      </c>
      <c r="D133" s="601">
        <v>0.95330000000000004</v>
      </c>
      <c r="E133" s="601">
        <v>0.95330000000000004</v>
      </c>
      <c r="F133" s="601">
        <v>0.95330000000000004</v>
      </c>
      <c r="G133" s="601">
        <v>0.95330000000000004</v>
      </c>
      <c r="H133" s="601">
        <v>0.95330000000000004</v>
      </c>
      <c r="I133" s="601">
        <v>0.88019999999999998</v>
      </c>
      <c r="J133" s="601">
        <v>0.88019999999999998</v>
      </c>
      <c r="K133" s="601">
        <v>0.88019999999999998</v>
      </c>
      <c r="L133" s="601">
        <v>0.88019999999999998</v>
      </c>
      <c r="M133" s="601">
        <v>0.88019999999999998</v>
      </c>
    </row>
    <row r="134" spans="1:13">
      <c r="A134" s="602">
        <v>3</v>
      </c>
      <c r="B134" s="601">
        <v>1.0452999999999999</v>
      </c>
      <c r="C134" s="601">
        <v>1.0452999999999999</v>
      </c>
      <c r="D134" s="601">
        <v>0.94299999999999995</v>
      </c>
      <c r="E134" s="601">
        <v>0.94299999999999995</v>
      </c>
      <c r="F134" s="601">
        <v>0.94299999999999995</v>
      </c>
      <c r="G134" s="601">
        <v>0.94299999999999995</v>
      </c>
      <c r="H134" s="601">
        <v>0.94299999999999995</v>
      </c>
      <c r="I134" s="601">
        <v>0.86970000000000003</v>
      </c>
      <c r="J134" s="601">
        <v>0.86970000000000003</v>
      </c>
      <c r="K134" s="601">
        <v>0.86970000000000003</v>
      </c>
      <c r="L134" s="601">
        <v>0.86970000000000003</v>
      </c>
      <c r="M134" s="601">
        <v>0.86970000000000003</v>
      </c>
    </row>
    <row r="135" spans="1:13">
      <c r="A135" s="602">
        <v>3.1</v>
      </c>
      <c r="B135" s="601">
        <v>1.0354000000000001</v>
      </c>
      <c r="C135" s="601">
        <v>1.0354000000000001</v>
      </c>
      <c r="D135" s="601">
        <v>0.93330000000000002</v>
      </c>
      <c r="E135" s="601">
        <v>0.93330000000000002</v>
      </c>
      <c r="F135" s="601">
        <v>0.93330000000000002</v>
      </c>
      <c r="G135" s="601">
        <v>0.93330000000000002</v>
      </c>
      <c r="H135" s="601">
        <v>0.93330000000000002</v>
      </c>
      <c r="I135" s="601">
        <v>0.85970000000000002</v>
      </c>
      <c r="J135" s="601">
        <v>0.85970000000000002</v>
      </c>
      <c r="K135" s="601">
        <v>0.85970000000000002</v>
      </c>
      <c r="L135" s="601">
        <v>0.85970000000000002</v>
      </c>
      <c r="M135" s="601">
        <v>0.85970000000000002</v>
      </c>
    </row>
    <row r="136" spans="1:13">
      <c r="A136" s="602">
        <v>3.2</v>
      </c>
      <c r="B136" s="601">
        <v>1.0259</v>
      </c>
      <c r="C136" s="601">
        <v>1.0259</v>
      </c>
      <c r="D136" s="601">
        <v>0.92410000000000003</v>
      </c>
      <c r="E136" s="601">
        <v>0.92410000000000003</v>
      </c>
      <c r="F136" s="601">
        <v>0.92410000000000003</v>
      </c>
      <c r="G136" s="601">
        <v>0.92410000000000003</v>
      </c>
      <c r="H136" s="601">
        <v>0.92410000000000003</v>
      </c>
      <c r="I136" s="601">
        <v>0.85019999999999996</v>
      </c>
      <c r="J136" s="601">
        <v>0.85019999999999996</v>
      </c>
      <c r="K136" s="601">
        <v>0.85019999999999996</v>
      </c>
      <c r="L136" s="601">
        <v>0.85019999999999996</v>
      </c>
      <c r="M136" s="601">
        <v>0.85019999999999996</v>
      </c>
    </row>
    <row r="137" spans="1:13">
      <c r="A137" s="602">
        <v>3.3</v>
      </c>
      <c r="B137" s="601">
        <v>1.0168999999999999</v>
      </c>
      <c r="C137" s="601">
        <v>1.0168999999999999</v>
      </c>
      <c r="D137" s="601">
        <v>0.91539999999999999</v>
      </c>
      <c r="E137" s="601">
        <v>0.91539999999999999</v>
      </c>
      <c r="F137" s="601">
        <v>0.91539999999999999</v>
      </c>
      <c r="G137" s="601">
        <v>0.91539999999999999</v>
      </c>
      <c r="H137" s="601">
        <v>0.91539999999999999</v>
      </c>
      <c r="I137" s="601">
        <v>0.84109999999999996</v>
      </c>
      <c r="J137" s="601">
        <v>0.84109999999999996</v>
      </c>
      <c r="K137" s="601">
        <v>0.84109999999999996</v>
      </c>
      <c r="L137" s="601">
        <v>0.84109999999999996</v>
      </c>
      <c r="M137" s="601">
        <v>0.84109999999999996</v>
      </c>
    </row>
    <row r="138" spans="1:13">
      <c r="A138" s="602">
        <v>3.4</v>
      </c>
      <c r="B138" s="601">
        <v>1.0082</v>
      </c>
      <c r="C138" s="601">
        <v>1.0082</v>
      </c>
      <c r="D138" s="601">
        <v>0.90710000000000002</v>
      </c>
      <c r="E138" s="601">
        <v>0.90710000000000002</v>
      </c>
      <c r="F138" s="601">
        <v>0.90710000000000002</v>
      </c>
      <c r="G138" s="601">
        <v>0.90710000000000002</v>
      </c>
      <c r="H138" s="601">
        <v>0.90710000000000002</v>
      </c>
      <c r="I138" s="601">
        <v>0.83240000000000003</v>
      </c>
      <c r="J138" s="601">
        <v>0.83240000000000003</v>
      </c>
      <c r="K138" s="601">
        <v>0.83240000000000003</v>
      </c>
      <c r="L138" s="601">
        <v>0.83240000000000003</v>
      </c>
      <c r="M138" s="601">
        <v>0.83240000000000003</v>
      </c>
    </row>
    <row r="139" spans="1:13">
      <c r="A139" s="602">
        <v>3.5</v>
      </c>
      <c r="B139" s="601">
        <v>1</v>
      </c>
      <c r="C139" s="601">
        <v>1</v>
      </c>
      <c r="D139" s="601">
        <v>0.89929999999999999</v>
      </c>
      <c r="E139" s="601">
        <v>0.89929999999999999</v>
      </c>
      <c r="F139" s="601">
        <v>0.89929999999999999</v>
      </c>
      <c r="G139" s="601">
        <v>0.89929999999999999</v>
      </c>
      <c r="H139" s="601">
        <v>0.89929999999999999</v>
      </c>
      <c r="I139" s="601">
        <v>0.82410000000000005</v>
      </c>
      <c r="J139" s="601">
        <v>0.82410000000000005</v>
      </c>
      <c r="K139" s="601">
        <v>0.82410000000000005</v>
      </c>
      <c r="L139" s="601">
        <v>0.82410000000000005</v>
      </c>
      <c r="M139" s="601">
        <v>0.82410000000000005</v>
      </c>
    </row>
    <row r="140" spans="1:13">
      <c r="A140" s="602">
        <v>3.6</v>
      </c>
      <c r="B140" s="601">
        <v>0.99219999999999997</v>
      </c>
      <c r="C140" s="601">
        <v>0.99219999999999997</v>
      </c>
      <c r="D140" s="601">
        <v>0.89190000000000003</v>
      </c>
      <c r="E140" s="601">
        <v>0.89190000000000003</v>
      </c>
      <c r="F140" s="601">
        <v>0.89190000000000003</v>
      </c>
      <c r="G140" s="601">
        <v>0.89190000000000003</v>
      </c>
      <c r="H140" s="601">
        <v>0.89190000000000003</v>
      </c>
      <c r="I140" s="601">
        <v>0.81620000000000004</v>
      </c>
      <c r="J140" s="601">
        <v>0.81620000000000004</v>
      </c>
      <c r="K140" s="601">
        <v>0.81620000000000004</v>
      </c>
      <c r="L140" s="601">
        <v>0.81620000000000004</v>
      </c>
      <c r="M140" s="601">
        <v>0.81620000000000004</v>
      </c>
    </row>
    <row r="141" spans="1:13">
      <c r="A141" s="602">
        <v>3.7</v>
      </c>
      <c r="B141" s="601">
        <v>0.98480000000000001</v>
      </c>
      <c r="C141" s="601">
        <v>0.98480000000000001</v>
      </c>
      <c r="D141" s="601">
        <v>0.88480000000000003</v>
      </c>
      <c r="E141" s="601">
        <v>0.88480000000000003</v>
      </c>
      <c r="F141" s="601">
        <v>0.88480000000000003</v>
      </c>
      <c r="G141" s="601">
        <v>0.88480000000000003</v>
      </c>
      <c r="H141" s="601">
        <v>0.88480000000000003</v>
      </c>
      <c r="I141" s="601">
        <v>0.80869999999999997</v>
      </c>
      <c r="J141" s="601">
        <v>0.80869999999999997</v>
      </c>
      <c r="K141" s="601">
        <v>0.80869999999999997</v>
      </c>
      <c r="L141" s="601">
        <v>0.80869999999999997</v>
      </c>
      <c r="M141" s="601">
        <v>0.80869999999999997</v>
      </c>
    </row>
    <row r="142" spans="1:13">
      <c r="A142" s="602">
        <v>3.8</v>
      </c>
      <c r="B142" s="601">
        <v>0.9778</v>
      </c>
      <c r="C142" s="601">
        <v>0.9778</v>
      </c>
      <c r="D142" s="601">
        <v>0.87809999999999999</v>
      </c>
      <c r="E142" s="601">
        <v>0.87809999999999999</v>
      </c>
      <c r="F142" s="601">
        <v>0.87809999999999999</v>
      </c>
      <c r="G142" s="601">
        <v>0.87809999999999999</v>
      </c>
      <c r="H142" s="601">
        <v>0.87809999999999999</v>
      </c>
      <c r="I142" s="601">
        <v>0.80159999999999998</v>
      </c>
      <c r="J142" s="601">
        <v>0.80159999999999998</v>
      </c>
      <c r="K142" s="601">
        <v>0.80159999999999998</v>
      </c>
      <c r="L142" s="601">
        <v>0.80159999999999998</v>
      </c>
      <c r="M142" s="601">
        <v>0.80159999999999998</v>
      </c>
    </row>
    <row r="143" spans="1:13">
      <c r="A143" s="602">
        <v>3.9</v>
      </c>
      <c r="B143" s="601">
        <v>0.97119999999999995</v>
      </c>
      <c r="C143" s="601">
        <v>0.97119999999999995</v>
      </c>
      <c r="D143" s="601">
        <v>0.87180000000000002</v>
      </c>
      <c r="E143" s="601">
        <v>0.87180000000000002</v>
      </c>
      <c r="F143" s="601">
        <v>0.87180000000000002</v>
      </c>
      <c r="G143" s="601">
        <v>0.87180000000000002</v>
      </c>
      <c r="H143" s="601">
        <v>0.87180000000000002</v>
      </c>
      <c r="I143" s="601">
        <v>0.79479999999999995</v>
      </c>
      <c r="J143" s="601">
        <v>0.79479999999999995</v>
      </c>
      <c r="K143" s="601">
        <v>0.79479999999999995</v>
      </c>
      <c r="L143" s="601">
        <v>0.79479999999999995</v>
      </c>
      <c r="M143" s="601">
        <v>0.79479999999999995</v>
      </c>
    </row>
    <row r="144" spans="1:13">
      <c r="A144" s="602">
        <v>4</v>
      </c>
      <c r="B144" s="601">
        <v>0.96499999999999997</v>
      </c>
      <c r="C144" s="601">
        <v>0.96499999999999997</v>
      </c>
      <c r="D144" s="601">
        <v>0.86580000000000001</v>
      </c>
      <c r="E144" s="601">
        <v>0.86580000000000001</v>
      </c>
      <c r="F144" s="601">
        <v>0.86580000000000001</v>
      </c>
      <c r="G144" s="601">
        <v>0.86580000000000001</v>
      </c>
      <c r="H144" s="601">
        <v>0.86580000000000001</v>
      </c>
      <c r="I144" s="601">
        <v>0.7883</v>
      </c>
      <c r="J144" s="601">
        <v>0.7883</v>
      </c>
      <c r="K144" s="601">
        <v>0.7883</v>
      </c>
      <c r="L144" s="601">
        <v>0.7883</v>
      </c>
      <c r="M144" s="601">
        <v>0.7883</v>
      </c>
    </row>
    <row r="145" spans="1:13">
      <c r="A145" s="602">
        <v>4.0999999999999996</v>
      </c>
      <c r="B145" s="601">
        <v>0.95909999999999995</v>
      </c>
      <c r="C145" s="601">
        <v>0.95909999999999995</v>
      </c>
      <c r="D145" s="601">
        <v>0.86009999999999998</v>
      </c>
      <c r="E145" s="601">
        <v>0.86009999999999998</v>
      </c>
      <c r="F145" s="601">
        <v>0.86009999999999998</v>
      </c>
      <c r="G145" s="601">
        <v>0.86009999999999998</v>
      </c>
      <c r="H145" s="601">
        <v>0.86009999999999998</v>
      </c>
      <c r="I145" s="601">
        <v>0.78200000000000003</v>
      </c>
      <c r="J145" s="601">
        <v>0.78200000000000003</v>
      </c>
      <c r="K145" s="601">
        <v>0.78200000000000003</v>
      </c>
      <c r="L145" s="601">
        <v>0.78200000000000003</v>
      </c>
      <c r="M145" s="601">
        <v>0.78200000000000003</v>
      </c>
    </row>
    <row r="146" spans="1:13">
      <c r="A146" s="602">
        <v>4.2</v>
      </c>
      <c r="B146" s="601">
        <v>0.95350000000000001</v>
      </c>
      <c r="C146" s="601">
        <v>0.95350000000000001</v>
      </c>
      <c r="D146" s="601">
        <v>0.85470000000000002</v>
      </c>
      <c r="E146" s="601">
        <v>0.85470000000000002</v>
      </c>
      <c r="F146" s="601">
        <v>0.85470000000000002</v>
      </c>
      <c r="G146" s="601">
        <v>0.85470000000000002</v>
      </c>
      <c r="H146" s="601">
        <v>0.85470000000000002</v>
      </c>
      <c r="I146" s="601">
        <v>0.77600000000000002</v>
      </c>
      <c r="J146" s="601">
        <v>0.77600000000000002</v>
      </c>
      <c r="K146" s="601">
        <v>0.77600000000000002</v>
      </c>
      <c r="L146" s="601">
        <v>0.77600000000000002</v>
      </c>
      <c r="M146" s="601">
        <v>0.77600000000000002</v>
      </c>
    </row>
    <row r="147" spans="1:13">
      <c r="A147" s="602">
        <v>4.3</v>
      </c>
      <c r="B147" s="601">
        <v>0.94820000000000004</v>
      </c>
      <c r="C147" s="601">
        <v>0.94820000000000004</v>
      </c>
      <c r="D147" s="601">
        <v>0.84960000000000002</v>
      </c>
      <c r="E147" s="601">
        <v>0.84960000000000002</v>
      </c>
      <c r="F147" s="601">
        <v>0.84960000000000002</v>
      </c>
      <c r="G147" s="601">
        <v>0.84960000000000002</v>
      </c>
      <c r="H147" s="601">
        <v>0.84960000000000002</v>
      </c>
      <c r="I147" s="601">
        <v>0.77029999999999998</v>
      </c>
      <c r="J147" s="601">
        <v>0.77029999999999998</v>
      </c>
      <c r="K147" s="601">
        <v>0.77029999999999998</v>
      </c>
      <c r="L147" s="601">
        <v>0.77029999999999998</v>
      </c>
      <c r="M147" s="601">
        <v>0.77029999999999998</v>
      </c>
    </row>
    <row r="148" spans="1:13">
      <c r="A148" s="602">
        <v>4.4000000000000004</v>
      </c>
      <c r="B148" s="601">
        <v>0.94320000000000004</v>
      </c>
      <c r="C148" s="601">
        <v>0.94320000000000004</v>
      </c>
      <c r="D148" s="601">
        <v>0.8448</v>
      </c>
      <c r="E148" s="601">
        <v>0.8448</v>
      </c>
      <c r="F148" s="601">
        <v>0.8448</v>
      </c>
      <c r="G148" s="601">
        <v>0.8448</v>
      </c>
      <c r="H148" s="601">
        <v>0.8448</v>
      </c>
      <c r="I148" s="601">
        <v>0.76490000000000002</v>
      </c>
      <c r="J148" s="601">
        <v>0.76490000000000002</v>
      </c>
      <c r="K148" s="601">
        <v>0.76490000000000002</v>
      </c>
      <c r="L148" s="601">
        <v>0.76490000000000002</v>
      </c>
      <c r="M148" s="601">
        <v>0.76490000000000002</v>
      </c>
    </row>
    <row r="149" spans="1:13">
      <c r="A149" s="602">
        <v>4.5</v>
      </c>
      <c r="B149" s="601">
        <v>0.9385</v>
      </c>
      <c r="C149" s="601">
        <v>0.9385</v>
      </c>
      <c r="D149" s="601">
        <v>0.84019999999999995</v>
      </c>
      <c r="E149" s="601">
        <v>0.84019999999999995</v>
      </c>
      <c r="F149" s="601">
        <v>0.84019999999999995</v>
      </c>
      <c r="G149" s="601">
        <v>0.84019999999999995</v>
      </c>
      <c r="H149" s="601">
        <v>0.84019999999999995</v>
      </c>
      <c r="I149" s="601">
        <v>0.75970000000000004</v>
      </c>
      <c r="J149" s="601">
        <v>0.75970000000000004</v>
      </c>
      <c r="K149" s="601">
        <v>0.75970000000000004</v>
      </c>
      <c r="L149" s="601">
        <v>0.75970000000000004</v>
      </c>
      <c r="M149" s="601">
        <v>0.75970000000000004</v>
      </c>
    </row>
    <row r="150" spans="1:13">
      <c r="A150" s="602">
        <v>4.5999999999999996</v>
      </c>
      <c r="B150" s="601">
        <v>0.93410000000000004</v>
      </c>
      <c r="C150" s="601">
        <v>0.93410000000000004</v>
      </c>
      <c r="D150" s="601">
        <v>0.83579999999999999</v>
      </c>
      <c r="E150" s="601">
        <v>0.83579999999999999</v>
      </c>
      <c r="F150" s="601">
        <v>0.83579999999999999</v>
      </c>
      <c r="G150" s="601">
        <v>0.83579999999999999</v>
      </c>
      <c r="H150" s="601">
        <v>0.83579999999999999</v>
      </c>
      <c r="I150" s="601">
        <v>0.75470000000000004</v>
      </c>
      <c r="J150" s="601">
        <v>0.75470000000000004</v>
      </c>
      <c r="K150" s="601">
        <v>0.75470000000000004</v>
      </c>
      <c r="L150" s="601">
        <v>0.75470000000000004</v>
      </c>
      <c r="M150" s="601">
        <v>0.75470000000000004</v>
      </c>
    </row>
    <row r="151" spans="1:13">
      <c r="A151" s="602">
        <v>4.7</v>
      </c>
      <c r="B151" s="601">
        <v>0.92989999999999995</v>
      </c>
      <c r="C151" s="601">
        <v>0.92989999999999995</v>
      </c>
      <c r="D151" s="601">
        <v>0.83160000000000001</v>
      </c>
      <c r="E151" s="601">
        <v>0.83160000000000001</v>
      </c>
      <c r="F151" s="601">
        <v>0.83160000000000001</v>
      </c>
      <c r="G151" s="601">
        <v>0.83160000000000001</v>
      </c>
      <c r="H151" s="601">
        <v>0.83160000000000001</v>
      </c>
      <c r="I151" s="601">
        <v>0.74990000000000001</v>
      </c>
      <c r="J151" s="601">
        <v>0.74990000000000001</v>
      </c>
      <c r="K151" s="601">
        <v>0.74990000000000001</v>
      </c>
      <c r="L151" s="601">
        <v>0.74990000000000001</v>
      </c>
      <c r="M151" s="601">
        <v>0.74990000000000001</v>
      </c>
    </row>
    <row r="152" spans="1:13">
      <c r="A152" s="602">
        <v>4.8</v>
      </c>
      <c r="B152" s="601">
        <v>0.92589999999999995</v>
      </c>
      <c r="C152" s="601">
        <v>0.92589999999999995</v>
      </c>
      <c r="D152" s="601">
        <v>0.82769999999999999</v>
      </c>
      <c r="E152" s="601">
        <v>0.82769999999999999</v>
      </c>
      <c r="F152" s="601">
        <v>0.82769999999999999</v>
      </c>
      <c r="G152" s="601">
        <v>0.82769999999999999</v>
      </c>
      <c r="H152" s="601">
        <v>0.82769999999999999</v>
      </c>
      <c r="I152" s="601">
        <v>0.74529999999999996</v>
      </c>
      <c r="J152" s="601">
        <v>0.74529999999999996</v>
      </c>
      <c r="K152" s="601">
        <v>0.74529999999999996</v>
      </c>
      <c r="L152" s="601">
        <v>0.74529999999999996</v>
      </c>
      <c r="M152" s="601">
        <v>0.74529999999999996</v>
      </c>
    </row>
    <row r="153" spans="1:13">
      <c r="A153" s="602">
        <v>4.9000000000000004</v>
      </c>
      <c r="B153" s="601">
        <v>0.92210000000000003</v>
      </c>
      <c r="C153" s="601">
        <v>0.92210000000000003</v>
      </c>
      <c r="D153" s="601">
        <v>0.82389999999999997</v>
      </c>
      <c r="E153" s="601">
        <v>0.82389999999999997</v>
      </c>
      <c r="F153" s="601">
        <v>0.82389999999999997</v>
      </c>
      <c r="G153" s="601">
        <v>0.82389999999999997</v>
      </c>
      <c r="H153" s="601">
        <v>0.82389999999999997</v>
      </c>
      <c r="I153" s="601">
        <v>0.7409</v>
      </c>
      <c r="J153" s="601">
        <v>0.7409</v>
      </c>
      <c r="K153" s="601">
        <v>0.7409</v>
      </c>
      <c r="L153" s="601">
        <v>0.7409</v>
      </c>
      <c r="M153" s="601">
        <v>0.7409</v>
      </c>
    </row>
    <row r="154" spans="1:13">
      <c r="A154" s="602">
        <v>5</v>
      </c>
      <c r="B154" s="601">
        <v>0.91849999999999998</v>
      </c>
      <c r="C154" s="601">
        <v>0.91849999999999998</v>
      </c>
      <c r="D154" s="601">
        <v>0.82030000000000003</v>
      </c>
      <c r="E154" s="601">
        <v>0.82030000000000003</v>
      </c>
      <c r="F154" s="601">
        <v>0.82030000000000003</v>
      </c>
      <c r="G154" s="601">
        <v>0.82030000000000003</v>
      </c>
      <c r="H154" s="601">
        <v>0.82030000000000003</v>
      </c>
      <c r="I154" s="601">
        <v>0.73670000000000002</v>
      </c>
      <c r="J154" s="601">
        <v>0.73670000000000002</v>
      </c>
      <c r="K154" s="601">
        <v>0.73670000000000002</v>
      </c>
      <c r="L154" s="601">
        <v>0.73670000000000002</v>
      </c>
      <c r="M154" s="601">
        <v>0.73670000000000002</v>
      </c>
    </row>
    <row r="155" spans="1:13">
      <c r="A155" s="598">
        <v>5.0999999999999996</v>
      </c>
      <c r="B155" s="601">
        <v>0.91510000000000002</v>
      </c>
      <c r="C155" s="601">
        <v>0.91510000000000002</v>
      </c>
      <c r="D155" s="601">
        <v>0.81689999999999996</v>
      </c>
      <c r="E155" s="601">
        <v>0.81689999999999996</v>
      </c>
      <c r="F155" s="601">
        <v>0.81689999999999996</v>
      </c>
      <c r="G155" s="601">
        <v>0.81689999999999996</v>
      </c>
      <c r="H155" s="601">
        <v>0.81689999999999996</v>
      </c>
      <c r="I155" s="601">
        <v>0.73270000000000002</v>
      </c>
      <c r="J155" s="601">
        <v>0.73270000000000002</v>
      </c>
      <c r="K155" s="601">
        <v>0.73270000000000002</v>
      </c>
      <c r="L155" s="601">
        <v>0.73270000000000002</v>
      </c>
      <c r="M155" s="601">
        <v>0.73270000000000002</v>
      </c>
    </row>
    <row r="156" spans="1:13">
      <c r="A156" s="598">
        <v>5.2</v>
      </c>
      <c r="B156" s="601">
        <v>0.91190000000000004</v>
      </c>
      <c r="C156" s="601">
        <v>0.91190000000000004</v>
      </c>
      <c r="D156" s="601">
        <v>0.81359999999999999</v>
      </c>
      <c r="E156" s="601">
        <v>0.81359999999999999</v>
      </c>
      <c r="F156" s="601">
        <v>0.81359999999999999</v>
      </c>
      <c r="G156" s="601">
        <v>0.81359999999999999</v>
      </c>
      <c r="H156" s="601">
        <v>0.81359999999999999</v>
      </c>
      <c r="I156" s="601">
        <v>0.72889999999999999</v>
      </c>
      <c r="J156" s="601">
        <v>0.72889999999999999</v>
      </c>
      <c r="K156" s="601">
        <v>0.72889999999999999</v>
      </c>
      <c r="L156" s="601">
        <v>0.72889999999999999</v>
      </c>
      <c r="M156" s="601">
        <v>0.72889999999999999</v>
      </c>
    </row>
    <row r="157" spans="1:13">
      <c r="A157" s="598">
        <v>5.3</v>
      </c>
      <c r="B157" s="601">
        <v>0.90880000000000005</v>
      </c>
      <c r="C157" s="601">
        <v>0.90880000000000005</v>
      </c>
      <c r="D157" s="601">
        <v>0.8105</v>
      </c>
      <c r="E157" s="601">
        <v>0.8105</v>
      </c>
      <c r="F157" s="601">
        <v>0.8105</v>
      </c>
      <c r="G157" s="601">
        <v>0.8105</v>
      </c>
      <c r="H157" s="601">
        <v>0.8105</v>
      </c>
      <c r="I157" s="601">
        <v>0.72529999999999994</v>
      </c>
      <c r="J157" s="601">
        <v>0.72529999999999994</v>
      </c>
      <c r="K157" s="601">
        <v>0.72529999999999994</v>
      </c>
      <c r="L157" s="601">
        <v>0.72529999999999994</v>
      </c>
      <c r="M157" s="601">
        <v>0.72529999999999994</v>
      </c>
    </row>
    <row r="158" spans="1:13">
      <c r="A158" s="598">
        <v>5.4</v>
      </c>
      <c r="B158" s="601">
        <v>0.90580000000000005</v>
      </c>
      <c r="C158" s="601">
        <v>0.90580000000000005</v>
      </c>
      <c r="D158" s="601">
        <v>0.8075</v>
      </c>
      <c r="E158" s="601">
        <v>0.8075</v>
      </c>
      <c r="F158" s="601">
        <v>0.8075</v>
      </c>
      <c r="G158" s="601">
        <v>0.8075</v>
      </c>
      <c r="H158" s="601">
        <v>0.8075</v>
      </c>
      <c r="I158" s="601">
        <v>0.7218</v>
      </c>
      <c r="J158" s="601">
        <v>0.7218</v>
      </c>
      <c r="K158" s="601">
        <v>0.7218</v>
      </c>
      <c r="L158" s="601">
        <v>0.7218</v>
      </c>
      <c r="M158" s="601">
        <v>0.7218</v>
      </c>
    </row>
    <row r="159" spans="1:13">
      <c r="A159" s="598">
        <v>5.5</v>
      </c>
      <c r="B159" s="601">
        <v>0.90290000000000004</v>
      </c>
      <c r="C159" s="601">
        <v>0.90290000000000004</v>
      </c>
      <c r="D159" s="601">
        <v>0.80469999999999997</v>
      </c>
      <c r="E159" s="601">
        <v>0.80469999999999997</v>
      </c>
      <c r="F159" s="601">
        <v>0.80469999999999997</v>
      </c>
      <c r="G159" s="601">
        <v>0.80469999999999997</v>
      </c>
      <c r="H159" s="601">
        <v>0.80469999999999997</v>
      </c>
      <c r="I159" s="601">
        <v>0.71840000000000004</v>
      </c>
      <c r="J159" s="601">
        <v>0.71840000000000004</v>
      </c>
      <c r="K159" s="601">
        <v>0.71840000000000004</v>
      </c>
      <c r="L159" s="601">
        <v>0.71840000000000004</v>
      </c>
      <c r="M159" s="601">
        <v>0.71840000000000004</v>
      </c>
    </row>
    <row r="160" spans="1:13">
      <c r="A160" s="598">
        <v>5.6</v>
      </c>
      <c r="B160" s="601">
        <v>0.90010000000000001</v>
      </c>
      <c r="C160" s="601">
        <v>0.90010000000000001</v>
      </c>
      <c r="D160" s="601">
        <v>0.80200000000000005</v>
      </c>
      <c r="E160" s="601">
        <v>0.80200000000000005</v>
      </c>
      <c r="F160" s="601">
        <v>0.80200000000000005</v>
      </c>
      <c r="G160" s="601">
        <v>0.80200000000000005</v>
      </c>
      <c r="H160" s="601">
        <v>0.80200000000000005</v>
      </c>
      <c r="I160" s="601">
        <v>0.71509999999999996</v>
      </c>
      <c r="J160" s="601">
        <v>0.71509999999999996</v>
      </c>
      <c r="K160" s="601">
        <v>0.71509999999999996</v>
      </c>
      <c r="L160" s="601">
        <v>0.71509999999999996</v>
      </c>
      <c r="M160" s="601">
        <v>0.71509999999999996</v>
      </c>
    </row>
    <row r="161" spans="1:13">
      <c r="A161" s="602">
        <v>5.7</v>
      </c>
      <c r="B161" s="601">
        <v>0.89749999999999996</v>
      </c>
      <c r="C161" s="601">
        <v>0.89749999999999996</v>
      </c>
      <c r="D161" s="601">
        <v>0.79930000000000001</v>
      </c>
      <c r="E161" s="601">
        <v>0.79930000000000001</v>
      </c>
      <c r="F161" s="601">
        <v>0.79930000000000001</v>
      </c>
      <c r="G161" s="601">
        <v>0.79930000000000001</v>
      </c>
      <c r="H161" s="601">
        <v>0.79930000000000001</v>
      </c>
      <c r="I161" s="601">
        <v>0.71189999999999998</v>
      </c>
      <c r="J161" s="601">
        <v>0.71189999999999998</v>
      </c>
      <c r="K161" s="601">
        <v>0.71189999999999998</v>
      </c>
      <c r="L161" s="601">
        <v>0.71189999999999998</v>
      </c>
      <c r="M161" s="601">
        <v>0.71189999999999998</v>
      </c>
    </row>
    <row r="162" spans="1:13">
      <c r="A162" s="598">
        <v>5.8</v>
      </c>
      <c r="B162" s="601">
        <v>0.89500000000000002</v>
      </c>
      <c r="C162" s="601">
        <v>0.89500000000000002</v>
      </c>
      <c r="D162" s="601">
        <v>0.79679999999999995</v>
      </c>
      <c r="E162" s="601">
        <v>0.79679999999999995</v>
      </c>
      <c r="F162" s="601">
        <v>0.79679999999999995</v>
      </c>
      <c r="G162" s="601">
        <v>0.79679999999999995</v>
      </c>
      <c r="H162" s="601">
        <v>0.79679999999999995</v>
      </c>
      <c r="I162" s="601">
        <v>0.70879999999999999</v>
      </c>
      <c r="J162" s="601">
        <v>0.70879999999999999</v>
      </c>
      <c r="K162" s="601">
        <v>0.70879999999999999</v>
      </c>
      <c r="L162" s="601">
        <v>0.70879999999999999</v>
      </c>
      <c r="M162" s="601">
        <v>0.70879999999999999</v>
      </c>
    </row>
    <row r="163" spans="1:13">
      <c r="A163" s="598">
        <v>5.9</v>
      </c>
      <c r="B163" s="601">
        <v>0.89259999999999995</v>
      </c>
      <c r="C163" s="601">
        <v>0.89259999999999995</v>
      </c>
      <c r="D163" s="601">
        <v>0.7944</v>
      </c>
      <c r="E163" s="601">
        <v>0.7944</v>
      </c>
      <c r="F163" s="601">
        <v>0.7944</v>
      </c>
      <c r="G163" s="601">
        <v>0.7944</v>
      </c>
      <c r="H163" s="601">
        <v>0.7944</v>
      </c>
      <c r="I163" s="601">
        <v>0.70579999999999998</v>
      </c>
      <c r="J163" s="601">
        <v>0.70579999999999998</v>
      </c>
      <c r="K163" s="601">
        <v>0.70579999999999998</v>
      </c>
      <c r="L163" s="601">
        <v>0.70579999999999998</v>
      </c>
      <c r="M163" s="601">
        <v>0.70579999999999998</v>
      </c>
    </row>
    <row r="164" spans="1:13">
      <c r="A164" s="598">
        <v>6</v>
      </c>
      <c r="B164" s="601">
        <v>0.89029999999999998</v>
      </c>
      <c r="C164" s="601">
        <v>0.89029999999999998</v>
      </c>
      <c r="D164" s="601">
        <v>0.79200000000000004</v>
      </c>
      <c r="E164" s="601">
        <v>0.79200000000000004</v>
      </c>
      <c r="F164" s="601">
        <v>0.79200000000000004</v>
      </c>
      <c r="G164" s="601">
        <v>0.79200000000000004</v>
      </c>
      <c r="H164" s="601">
        <v>0.79200000000000004</v>
      </c>
      <c r="I164" s="601">
        <v>0.70289999999999997</v>
      </c>
      <c r="J164" s="601">
        <v>0.70289999999999997</v>
      </c>
      <c r="K164" s="601">
        <v>0.70289999999999997</v>
      </c>
      <c r="L164" s="601">
        <v>0.70289999999999997</v>
      </c>
      <c r="M164" s="601">
        <v>0.70289999999999997</v>
      </c>
    </row>
    <row r="165" spans="1:13">
      <c r="A165" s="598">
        <v>6.1</v>
      </c>
      <c r="B165" s="601">
        <v>0.8881</v>
      </c>
      <c r="C165" s="601">
        <v>0.8881</v>
      </c>
      <c r="D165" s="601">
        <v>0.78979999999999995</v>
      </c>
      <c r="E165" s="601">
        <v>0.78979999999999995</v>
      </c>
      <c r="F165" s="601">
        <v>0.78979999999999995</v>
      </c>
      <c r="G165" s="601">
        <v>0.78979999999999995</v>
      </c>
      <c r="H165" s="601">
        <v>0.78979999999999995</v>
      </c>
      <c r="I165" s="601">
        <v>0.70009999999999994</v>
      </c>
      <c r="J165" s="601">
        <v>0.70009999999999994</v>
      </c>
      <c r="K165" s="601">
        <v>0.70009999999999994</v>
      </c>
      <c r="L165" s="601">
        <v>0.70009999999999994</v>
      </c>
      <c r="M165" s="601">
        <v>0.70009999999999994</v>
      </c>
    </row>
    <row r="166" spans="1:13">
      <c r="A166" s="598">
        <v>6.2</v>
      </c>
      <c r="B166" s="601">
        <v>0.88600000000000001</v>
      </c>
      <c r="C166" s="601">
        <v>0.88600000000000001</v>
      </c>
      <c r="D166" s="601">
        <v>0.78759999999999997</v>
      </c>
      <c r="E166" s="601">
        <v>0.78759999999999997</v>
      </c>
      <c r="F166" s="601">
        <v>0.78759999999999997</v>
      </c>
      <c r="G166" s="601">
        <v>0.78759999999999997</v>
      </c>
      <c r="H166" s="601">
        <v>0.78759999999999997</v>
      </c>
      <c r="I166" s="601">
        <v>0.69740000000000002</v>
      </c>
      <c r="J166" s="601">
        <v>0.69740000000000002</v>
      </c>
      <c r="K166" s="601">
        <v>0.69740000000000002</v>
      </c>
      <c r="L166" s="601">
        <v>0.69740000000000002</v>
      </c>
      <c r="M166" s="601">
        <v>0.69740000000000002</v>
      </c>
    </row>
    <row r="167" spans="1:13">
      <c r="A167" s="598">
        <v>6.3</v>
      </c>
      <c r="B167" s="601">
        <v>0.88390000000000002</v>
      </c>
      <c r="C167" s="601">
        <v>0.88390000000000002</v>
      </c>
      <c r="D167" s="601">
        <v>0.78549999999999998</v>
      </c>
      <c r="E167" s="601">
        <v>0.78549999999999998</v>
      </c>
      <c r="F167" s="601">
        <v>0.78549999999999998</v>
      </c>
      <c r="G167" s="601">
        <v>0.78549999999999998</v>
      </c>
      <c r="H167" s="601">
        <v>0.78549999999999998</v>
      </c>
      <c r="I167" s="601">
        <v>0.69479999999999997</v>
      </c>
      <c r="J167" s="601">
        <v>0.69479999999999997</v>
      </c>
      <c r="K167" s="601">
        <v>0.69479999999999997</v>
      </c>
      <c r="L167" s="601">
        <v>0.69479999999999997</v>
      </c>
      <c r="M167" s="601">
        <v>0.69479999999999997</v>
      </c>
    </row>
    <row r="168" spans="1:13">
      <c r="A168" s="598">
        <v>6.4</v>
      </c>
      <c r="B168" s="601">
        <v>0.88190000000000002</v>
      </c>
      <c r="C168" s="601">
        <v>0.88190000000000002</v>
      </c>
      <c r="D168" s="601">
        <v>0.78339999999999999</v>
      </c>
      <c r="E168" s="601">
        <v>0.78339999999999999</v>
      </c>
      <c r="F168" s="601">
        <v>0.78339999999999999</v>
      </c>
      <c r="G168" s="601">
        <v>0.78339999999999999</v>
      </c>
      <c r="H168" s="601">
        <v>0.78339999999999999</v>
      </c>
      <c r="I168" s="601">
        <v>0.69230000000000003</v>
      </c>
      <c r="J168" s="601">
        <v>0.69230000000000003</v>
      </c>
      <c r="K168" s="601">
        <v>0.69230000000000003</v>
      </c>
      <c r="L168" s="601">
        <v>0.69230000000000003</v>
      </c>
      <c r="M168" s="601">
        <v>0.69230000000000003</v>
      </c>
    </row>
    <row r="169" spans="1:13">
      <c r="A169" s="598">
        <v>6.5</v>
      </c>
      <c r="B169" s="601">
        <v>0.88</v>
      </c>
      <c r="C169" s="601">
        <v>0.88</v>
      </c>
      <c r="D169" s="601">
        <v>0.78139999999999998</v>
      </c>
      <c r="E169" s="601">
        <v>0.78139999999999998</v>
      </c>
      <c r="F169" s="601">
        <v>0.78139999999999998</v>
      </c>
      <c r="G169" s="601">
        <v>0.78139999999999998</v>
      </c>
      <c r="H169" s="601">
        <v>0.78139999999999998</v>
      </c>
      <c r="I169" s="601">
        <v>0.68989999999999996</v>
      </c>
      <c r="J169" s="601">
        <v>0.68989999999999996</v>
      </c>
      <c r="K169" s="601">
        <v>0.68989999999999996</v>
      </c>
      <c r="L169" s="601">
        <v>0.68989999999999996</v>
      </c>
      <c r="M169" s="601">
        <v>0.68989999999999996</v>
      </c>
    </row>
    <row r="170" spans="1:13">
      <c r="A170" s="598">
        <v>6.6</v>
      </c>
      <c r="B170" s="601">
        <v>0.87809999999999999</v>
      </c>
      <c r="C170" s="601">
        <v>0.87809999999999999</v>
      </c>
      <c r="D170" s="601">
        <v>0.77949999999999997</v>
      </c>
      <c r="E170" s="601">
        <v>0.77949999999999997</v>
      </c>
      <c r="F170" s="601">
        <v>0.77949999999999997</v>
      </c>
      <c r="G170" s="601">
        <v>0.77949999999999997</v>
      </c>
      <c r="H170" s="601">
        <v>0.77949999999999997</v>
      </c>
      <c r="I170" s="601">
        <v>0.68759999999999999</v>
      </c>
      <c r="J170" s="601">
        <v>0.68759999999999999</v>
      </c>
      <c r="K170" s="601">
        <v>0.68759999999999999</v>
      </c>
      <c r="L170" s="601">
        <v>0.68759999999999999</v>
      </c>
      <c r="M170" s="601">
        <v>0.68759999999999999</v>
      </c>
    </row>
    <row r="171" spans="1:13">
      <c r="A171" s="598">
        <v>6.7</v>
      </c>
      <c r="B171" s="601">
        <v>0.87629999999999997</v>
      </c>
      <c r="C171" s="601">
        <v>0.87629999999999997</v>
      </c>
      <c r="D171" s="601">
        <v>0.77759999999999996</v>
      </c>
      <c r="E171" s="601">
        <v>0.77759999999999996</v>
      </c>
      <c r="F171" s="601">
        <v>0.77759999999999996</v>
      </c>
      <c r="G171" s="601">
        <v>0.77759999999999996</v>
      </c>
      <c r="H171" s="601">
        <v>0.77759999999999996</v>
      </c>
      <c r="I171" s="601">
        <v>0.68530000000000002</v>
      </c>
      <c r="J171" s="601">
        <v>0.68530000000000002</v>
      </c>
      <c r="K171" s="601">
        <v>0.68530000000000002</v>
      </c>
      <c r="L171" s="601">
        <v>0.68530000000000002</v>
      </c>
      <c r="M171" s="601">
        <v>0.68530000000000002</v>
      </c>
    </row>
    <row r="172" spans="1:13">
      <c r="A172" s="598">
        <v>6.8</v>
      </c>
      <c r="B172" s="601">
        <v>0.87450000000000006</v>
      </c>
      <c r="C172" s="601">
        <v>0.87450000000000006</v>
      </c>
      <c r="D172" s="601">
        <v>0.77569999999999995</v>
      </c>
      <c r="E172" s="601">
        <v>0.77569999999999995</v>
      </c>
      <c r="F172" s="601">
        <v>0.77569999999999995</v>
      </c>
      <c r="G172" s="601">
        <v>0.77569999999999995</v>
      </c>
      <c r="H172" s="601">
        <v>0.77569999999999995</v>
      </c>
      <c r="I172" s="601">
        <v>0.68310000000000004</v>
      </c>
      <c r="J172" s="601">
        <v>0.68310000000000004</v>
      </c>
      <c r="K172" s="601">
        <v>0.68310000000000004</v>
      </c>
      <c r="L172" s="601">
        <v>0.68310000000000004</v>
      </c>
      <c r="M172" s="601">
        <v>0.68310000000000004</v>
      </c>
    </row>
    <row r="173" spans="1:13">
      <c r="A173" s="598">
        <v>6.9</v>
      </c>
      <c r="B173" s="601">
        <v>0.87280000000000002</v>
      </c>
      <c r="C173" s="601">
        <v>0.87280000000000002</v>
      </c>
      <c r="D173" s="601">
        <v>0.77390000000000003</v>
      </c>
      <c r="E173" s="601">
        <v>0.77390000000000003</v>
      </c>
      <c r="F173" s="601">
        <v>0.77390000000000003</v>
      </c>
      <c r="G173" s="601">
        <v>0.77390000000000003</v>
      </c>
      <c r="H173" s="601">
        <v>0.77390000000000003</v>
      </c>
      <c r="I173" s="601">
        <v>0.68089999999999995</v>
      </c>
      <c r="J173" s="601">
        <v>0.68089999999999995</v>
      </c>
      <c r="K173" s="601">
        <v>0.68089999999999995</v>
      </c>
      <c r="L173" s="601">
        <v>0.68089999999999995</v>
      </c>
      <c r="M173" s="601">
        <v>0.68089999999999995</v>
      </c>
    </row>
    <row r="174" spans="1:13">
      <c r="A174" s="598">
        <v>7</v>
      </c>
      <c r="B174" s="601">
        <v>0.87109999999999999</v>
      </c>
      <c r="C174" s="601">
        <v>0.87109999999999999</v>
      </c>
      <c r="D174" s="601">
        <v>0.77210000000000001</v>
      </c>
      <c r="E174" s="601">
        <v>0.77210000000000001</v>
      </c>
      <c r="F174" s="601">
        <v>0.77210000000000001</v>
      </c>
      <c r="G174" s="601">
        <v>0.77210000000000001</v>
      </c>
      <c r="H174" s="601">
        <v>0.77210000000000001</v>
      </c>
      <c r="I174" s="601">
        <v>0.67879999999999996</v>
      </c>
      <c r="J174" s="601">
        <v>0.67879999999999996</v>
      </c>
      <c r="K174" s="601">
        <v>0.67879999999999996</v>
      </c>
      <c r="L174" s="601">
        <v>0.67879999999999996</v>
      </c>
      <c r="M174" s="601">
        <v>0.67879999999999996</v>
      </c>
    </row>
    <row r="175" spans="1:13">
      <c r="A175" s="598">
        <v>7.1</v>
      </c>
      <c r="B175" s="601">
        <v>0.86939999999999995</v>
      </c>
      <c r="C175" s="601">
        <v>0.86939999999999995</v>
      </c>
      <c r="D175" s="601">
        <v>0.77039999999999997</v>
      </c>
      <c r="E175" s="601">
        <v>0.77039999999999997</v>
      </c>
      <c r="F175" s="601">
        <v>0.77039999999999997</v>
      </c>
      <c r="G175" s="601">
        <v>0.77039999999999997</v>
      </c>
      <c r="H175" s="601">
        <v>0.77039999999999997</v>
      </c>
      <c r="I175" s="601">
        <v>0.67669999999999997</v>
      </c>
      <c r="J175" s="601">
        <v>0.67669999999999997</v>
      </c>
      <c r="K175" s="601">
        <v>0.67669999999999997</v>
      </c>
      <c r="L175" s="601">
        <v>0.67669999999999997</v>
      </c>
      <c r="M175" s="601">
        <v>0.67669999999999997</v>
      </c>
    </row>
    <row r="176" spans="1:13">
      <c r="A176" s="598">
        <v>7.2</v>
      </c>
      <c r="B176" s="601">
        <v>0.86770000000000003</v>
      </c>
      <c r="C176" s="601">
        <v>0.86770000000000003</v>
      </c>
      <c r="D176" s="601">
        <v>0.76870000000000005</v>
      </c>
      <c r="E176" s="601">
        <v>0.76870000000000005</v>
      </c>
      <c r="F176" s="601">
        <v>0.76870000000000005</v>
      </c>
      <c r="G176" s="601">
        <v>0.76870000000000005</v>
      </c>
      <c r="H176" s="601">
        <v>0.76870000000000005</v>
      </c>
      <c r="I176" s="601">
        <v>0.67469999999999997</v>
      </c>
      <c r="J176" s="601">
        <v>0.67469999999999997</v>
      </c>
      <c r="K176" s="601">
        <v>0.67469999999999997</v>
      </c>
      <c r="L176" s="601">
        <v>0.67469999999999997</v>
      </c>
      <c r="M176" s="601">
        <v>0.67469999999999997</v>
      </c>
    </row>
    <row r="177" spans="1:13">
      <c r="A177" s="598">
        <v>7.3</v>
      </c>
      <c r="B177" s="601">
        <v>0.86609999999999998</v>
      </c>
      <c r="C177" s="601">
        <v>0.86609999999999998</v>
      </c>
      <c r="D177" s="601">
        <v>0.76700000000000002</v>
      </c>
      <c r="E177" s="601">
        <v>0.76700000000000002</v>
      </c>
      <c r="F177" s="601">
        <v>0.76700000000000002</v>
      </c>
      <c r="G177" s="601">
        <v>0.76700000000000002</v>
      </c>
      <c r="H177" s="601">
        <v>0.76700000000000002</v>
      </c>
      <c r="I177" s="601">
        <v>0.67269999999999996</v>
      </c>
      <c r="J177" s="601">
        <v>0.67269999999999996</v>
      </c>
      <c r="K177" s="601">
        <v>0.67269999999999996</v>
      </c>
      <c r="L177" s="601">
        <v>0.67269999999999996</v>
      </c>
      <c r="M177" s="601">
        <v>0.67269999999999996</v>
      </c>
    </row>
    <row r="178" spans="1:13">
      <c r="A178" s="598">
        <v>7.4</v>
      </c>
      <c r="B178" s="601">
        <v>0.86450000000000005</v>
      </c>
      <c r="C178" s="601">
        <v>0.86450000000000005</v>
      </c>
      <c r="D178" s="601">
        <v>0.76529999999999998</v>
      </c>
      <c r="E178" s="601">
        <v>0.76529999999999998</v>
      </c>
      <c r="F178" s="601">
        <v>0.76529999999999998</v>
      </c>
      <c r="G178" s="601">
        <v>0.76529999999999998</v>
      </c>
      <c r="H178" s="601">
        <v>0.76529999999999998</v>
      </c>
      <c r="I178" s="601">
        <v>0.67079999999999995</v>
      </c>
      <c r="J178" s="601">
        <v>0.67079999999999995</v>
      </c>
      <c r="K178" s="601">
        <v>0.67079999999999995</v>
      </c>
      <c r="L178" s="601">
        <v>0.67079999999999995</v>
      </c>
      <c r="M178" s="601">
        <v>0.67079999999999995</v>
      </c>
    </row>
    <row r="179" spans="1:13">
      <c r="A179" s="598">
        <v>7.5</v>
      </c>
      <c r="B179" s="601">
        <v>0.86299999999999999</v>
      </c>
      <c r="C179" s="601">
        <v>0.86299999999999999</v>
      </c>
      <c r="D179" s="601">
        <v>0.76359999999999995</v>
      </c>
      <c r="E179" s="601">
        <v>0.76359999999999995</v>
      </c>
      <c r="F179" s="601">
        <v>0.76359999999999995</v>
      </c>
      <c r="G179" s="601">
        <v>0.76359999999999995</v>
      </c>
      <c r="H179" s="601">
        <v>0.76359999999999995</v>
      </c>
      <c r="I179" s="601">
        <v>0.66890000000000005</v>
      </c>
      <c r="J179" s="601">
        <v>0.66890000000000005</v>
      </c>
      <c r="K179" s="601">
        <v>0.66890000000000005</v>
      </c>
      <c r="L179" s="601">
        <v>0.66890000000000005</v>
      </c>
      <c r="M179" s="601">
        <v>0.66890000000000005</v>
      </c>
    </row>
    <row r="180" spans="1:13">
      <c r="A180" s="598">
        <v>7.6</v>
      </c>
      <c r="B180" s="601">
        <v>0.86150000000000004</v>
      </c>
      <c r="C180" s="601">
        <v>0.86150000000000004</v>
      </c>
      <c r="D180" s="601">
        <v>0.76200000000000001</v>
      </c>
      <c r="E180" s="601">
        <v>0.76200000000000001</v>
      </c>
      <c r="F180" s="601">
        <v>0.76200000000000001</v>
      </c>
      <c r="G180" s="601">
        <v>0.76200000000000001</v>
      </c>
      <c r="H180" s="601">
        <v>0.76200000000000001</v>
      </c>
      <c r="I180" s="601">
        <v>0.66700000000000004</v>
      </c>
      <c r="J180" s="601">
        <v>0.66700000000000004</v>
      </c>
      <c r="K180" s="601">
        <v>0.66700000000000004</v>
      </c>
      <c r="L180" s="601">
        <v>0.66700000000000004</v>
      </c>
      <c r="M180" s="601">
        <v>0.66700000000000004</v>
      </c>
    </row>
    <row r="181" spans="1:13">
      <c r="A181" s="598">
        <v>7.7</v>
      </c>
      <c r="B181" s="601">
        <v>0.86</v>
      </c>
      <c r="C181" s="601">
        <v>0.86</v>
      </c>
      <c r="D181" s="601">
        <v>0.76039999999999996</v>
      </c>
      <c r="E181" s="601">
        <v>0.76039999999999996</v>
      </c>
      <c r="F181" s="601">
        <v>0.76039999999999996</v>
      </c>
      <c r="G181" s="601">
        <v>0.76039999999999996</v>
      </c>
      <c r="H181" s="601">
        <v>0.76039999999999996</v>
      </c>
      <c r="I181" s="601">
        <v>0.66510000000000002</v>
      </c>
      <c r="J181" s="601">
        <v>0.66510000000000002</v>
      </c>
      <c r="K181" s="601">
        <v>0.66510000000000002</v>
      </c>
      <c r="L181" s="601">
        <v>0.66510000000000002</v>
      </c>
      <c r="M181" s="601">
        <v>0.66510000000000002</v>
      </c>
    </row>
    <row r="182" spans="1:13">
      <c r="A182" s="598">
        <v>7.8</v>
      </c>
      <c r="B182" s="601">
        <v>0.85850000000000004</v>
      </c>
      <c r="C182" s="601">
        <v>0.85850000000000004</v>
      </c>
      <c r="D182" s="601">
        <v>0.75880000000000003</v>
      </c>
      <c r="E182" s="601">
        <v>0.75880000000000003</v>
      </c>
      <c r="F182" s="601">
        <v>0.75880000000000003</v>
      </c>
      <c r="G182" s="601">
        <v>0.75880000000000003</v>
      </c>
      <c r="H182" s="601">
        <v>0.75880000000000003</v>
      </c>
      <c r="I182" s="601">
        <v>0.6633</v>
      </c>
      <c r="J182" s="601">
        <v>0.6633</v>
      </c>
      <c r="K182" s="601">
        <v>0.6633</v>
      </c>
      <c r="L182" s="601">
        <v>0.6633</v>
      </c>
      <c r="M182" s="601">
        <v>0.6633</v>
      </c>
    </row>
    <row r="183" spans="1:13">
      <c r="A183" s="598">
        <v>7.9</v>
      </c>
      <c r="B183" s="601">
        <v>0.85699999999999998</v>
      </c>
      <c r="C183" s="601">
        <v>0.85699999999999998</v>
      </c>
      <c r="D183" s="601">
        <v>0.75719999999999998</v>
      </c>
      <c r="E183" s="601">
        <v>0.75719999999999998</v>
      </c>
      <c r="F183" s="601">
        <v>0.75719999999999998</v>
      </c>
      <c r="G183" s="601">
        <v>0.75719999999999998</v>
      </c>
      <c r="H183" s="601">
        <v>0.75719999999999998</v>
      </c>
      <c r="I183" s="601">
        <v>0.66149999999999998</v>
      </c>
      <c r="J183" s="601">
        <v>0.66149999999999998</v>
      </c>
      <c r="K183" s="601">
        <v>0.66149999999999998</v>
      </c>
      <c r="L183" s="601">
        <v>0.66149999999999998</v>
      </c>
      <c r="M183" s="601">
        <v>0.66149999999999998</v>
      </c>
    </row>
    <row r="184" spans="1:13">
      <c r="A184" s="598">
        <v>8</v>
      </c>
      <c r="B184" s="601">
        <v>0.85550000000000004</v>
      </c>
      <c r="C184" s="601">
        <v>0.85550000000000004</v>
      </c>
      <c r="D184" s="601">
        <v>0.75570000000000004</v>
      </c>
      <c r="E184" s="601">
        <v>0.75570000000000004</v>
      </c>
      <c r="F184" s="601">
        <v>0.75570000000000004</v>
      </c>
      <c r="G184" s="601">
        <v>0.75570000000000004</v>
      </c>
      <c r="H184" s="601">
        <v>0.75570000000000004</v>
      </c>
      <c r="I184" s="601">
        <v>0.65969999999999995</v>
      </c>
      <c r="J184" s="601">
        <v>0.65969999999999995</v>
      </c>
      <c r="K184" s="601">
        <v>0.65969999999999995</v>
      </c>
      <c r="L184" s="601">
        <v>0.65969999999999995</v>
      </c>
      <c r="M184" s="601">
        <v>0.65969999999999995</v>
      </c>
    </row>
    <row r="185" spans="1:13">
      <c r="A185" s="598">
        <v>8.1</v>
      </c>
      <c r="B185" s="601">
        <v>0.85399999999999998</v>
      </c>
      <c r="C185" s="601">
        <v>0.85399999999999998</v>
      </c>
      <c r="D185" s="601">
        <v>0.75419999999999998</v>
      </c>
      <c r="E185" s="601">
        <v>0.75419999999999998</v>
      </c>
      <c r="F185" s="601">
        <v>0.75419999999999998</v>
      </c>
      <c r="G185" s="601">
        <v>0.75419999999999998</v>
      </c>
      <c r="H185" s="601">
        <v>0.75419999999999998</v>
      </c>
      <c r="I185" s="601">
        <v>0.65800000000000003</v>
      </c>
      <c r="J185" s="601">
        <v>0.65800000000000003</v>
      </c>
      <c r="K185" s="601">
        <v>0.65800000000000003</v>
      </c>
      <c r="L185" s="601">
        <v>0.65800000000000003</v>
      </c>
      <c r="M185" s="601">
        <v>0.65800000000000003</v>
      </c>
    </row>
    <row r="186" spans="1:13">
      <c r="A186" s="598">
        <v>8.1999999999999993</v>
      </c>
      <c r="B186" s="601">
        <v>0.85250000000000004</v>
      </c>
      <c r="C186" s="601">
        <v>0.85250000000000004</v>
      </c>
      <c r="D186" s="601">
        <v>0.75270000000000004</v>
      </c>
      <c r="E186" s="601">
        <v>0.75270000000000004</v>
      </c>
      <c r="F186" s="601">
        <v>0.75270000000000004</v>
      </c>
      <c r="G186" s="601">
        <v>0.75270000000000004</v>
      </c>
      <c r="H186" s="601">
        <v>0.75270000000000004</v>
      </c>
      <c r="I186" s="601">
        <v>0.65629999999999999</v>
      </c>
      <c r="J186" s="601">
        <v>0.65629999999999999</v>
      </c>
      <c r="K186" s="601">
        <v>0.65629999999999999</v>
      </c>
      <c r="L186" s="601">
        <v>0.65629999999999999</v>
      </c>
      <c r="M186" s="601">
        <v>0.65629999999999999</v>
      </c>
    </row>
    <row r="187" spans="1:13">
      <c r="A187" s="598">
        <v>8.3000000000000007</v>
      </c>
      <c r="B187" s="601">
        <v>0.85109999999999997</v>
      </c>
      <c r="C187" s="601">
        <v>0.85109999999999997</v>
      </c>
      <c r="D187" s="601">
        <v>0.75119999999999998</v>
      </c>
      <c r="E187" s="601">
        <v>0.75119999999999998</v>
      </c>
      <c r="F187" s="601">
        <v>0.75119999999999998</v>
      </c>
      <c r="G187" s="601">
        <v>0.75119999999999998</v>
      </c>
      <c r="H187" s="601">
        <v>0.75119999999999998</v>
      </c>
      <c r="I187" s="601">
        <v>0.65459999999999996</v>
      </c>
      <c r="J187" s="601">
        <v>0.65459999999999996</v>
      </c>
      <c r="K187" s="601">
        <v>0.65459999999999996</v>
      </c>
      <c r="L187" s="601">
        <v>0.65459999999999996</v>
      </c>
      <c r="M187" s="601">
        <v>0.65459999999999996</v>
      </c>
    </row>
    <row r="188" spans="1:13">
      <c r="A188" s="598">
        <v>8.4</v>
      </c>
      <c r="B188" s="601">
        <v>0.84970000000000001</v>
      </c>
      <c r="C188" s="601">
        <v>0.84970000000000001</v>
      </c>
      <c r="D188" s="601">
        <v>0.74970000000000003</v>
      </c>
      <c r="E188" s="601">
        <v>0.74970000000000003</v>
      </c>
      <c r="F188" s="601">
        <v>0.74970000000000003</v>
      </c>
      <c r="G188" s="601">
        <v>0.74970000000000003</v>
      </c>
      <c r="H188" s="601">
        <v>0.74970000000000003</v>
      </c>
      <c r="I188" s="601">
        <v>0.65300000000000002</v>
      </c>
      <c r="J188" s="601">
        <v>0.65300000000000002</v>
      </c>
      <c r="K188" s="601">
        <v>0.65300000000000002</v>
      </c>
      <c r="L188" s="601">
        <v>0.65300000000000002</v>
      </c>
      <c r="M188" s="601">
        <v>0.65300000000000002</v>
      </c>
    </row>
    <row r="189" spans="1:13">
      <c r="A189" s="598">
        <v>8.5</v>
      </c>
      <c r="B189" s="601">
        <v>0.84830000000000005</v>
      </c>
      <c r="C189" s="601">
        <v>0.84830000000000005</v>
      </c>
      <c r="D189" s="601">
        <v>0.74819999999999998</v>
      </c>
      <c r="E189" s="601">
        <v>0.74819999999999998</v>
      </c>
      <c r="F189" s="601">
        <v>0.74819999999999998</v>
      </c>
      <c r="G189" s="601">
        <v>0.74819999999999998</v>
      </c>
      <c r="H189" s="601">
        <v>0.74819999999999998</v>
      </c>
      <c r="I189" s="601">
        <v>0.65139999999999998</v>
      </c>
      <c r="J189" s="601">
        <v>0.65139999999999998</v>
      </c>
      <c r="K189" s="601">
        <v>0.65139999999999998</v>
      </c>
      <c r="L189" s="601">
        <v>0.65139999999999998</v>
      </c>
      <c r="M189" s="601">
        <v>0.65139999999999998</v>
      </c>
    </row>
    <row r="190" spans="1:13">
      <c r="A190" s="598">
        <v>8.6</v>
      </c>
      <c r="B190" s="601">
        <v>0.84689999999999999</v>
      </c>
      <c r="C190" s="601">
        <v>0.84689999999999999</v>
      </c>
      <c r="D190" s="601">
        <v>0.74670000000000003</v>
      </c>
      <c r="E190" s="601">
        <v>0.74670000000000003</v>
      </c>
      <c r="F190" s="601">
        <v>0.74670000000000003</v>
      </c>
      <c r="G190" s="601">
        <v>0.74670000000000003</v>
      </c>
      <c r="H190" s="601">
        <v>0.74670000000000003</v>
      </c>
      <c r="I190" s="601">
        <v>0.64980000000000004</v>
      </c>
      <c r="J190" s="601">
        <v>0.64980000000000004</v>
      </c>
      <c r="K190" s="601">
        <v>0.64980000000000004</v>
      </c>
      <c r="L190" s="601">
        <v>0.64980000000000004</v>
      </c>
      <c r="M190" s="601">
        <v>0.64980000000000004</v>
      </c>
    </row>
    <row r="191" spans="1:13">
      <c r="A191" s="598">
        <v>8.6999999999999993</v>
      </c>
      <c r="B191" s="601">
        <v>0.84550000000000003</v>
      </c>
      <c r="C191" s="601">
        <v>0.84550000000000003</v>
      </c>
      <c r="D191" s="601">
        <v>0.74519999999999997</v>
      </c>
      <c r="E191" s="601">
        <v>0.74519999999999997</v>
      </c>
      <c r="F191" s="601">
        <v>0.74519999999999997</v>
      </c>
      <c r="G191" s="601">
        <v>0.74519999999999997</v>
      </c>
      <c r="H191" s="601">
        <v>0.74519999999999997</v>
      </c>
      <c r="I191" s="601">
        <v>0.6482</v>
      </c>
      <c r="J191" s="601">
        <v>0.6482</v>
      </c>
      <c r="K191" s="601">
        <v>0.6482</v>
      </c>
      <c r="L191" s="601">
        <v>0.6482</v>
      </c>
      <c r="M191" s="601">
        <v>0.6482</v>
      </c>
    </row>
    <row r="192" spans="1:13">
      <c r="A192" s="598">
        <v>8.8000000000000007</v>
      </c>
      <c r="B192" s="601">
        <v>0.84409999999999996</v>
      </c>
      <c r="C192" s="601">
        <v>0.84409999999999996</v>
      </c>
      <c r="D192" s="601">
        <v>0.74370000000000003</v>
      </c>
      <c r="E192" s="601">
        <v>0.74370000000000003</v>
      </c>
      <c r="F192" s="601">
        <v>0.74370000000000003</v>
      </c>
      <c r="G192" s="601">
        <v>0.74370000000000003</v>
      </c>
      <c r="H192" s="601">
        <v>0.74370000000000003</v>
      </c>
      <c r="I192" s="601">
        <v>0.64659999999999995</v>
      </c>
      <c r="J192" s="601">
        <v>0.64659999999999995</v>
      </c>
      <c r="K192" s="601">
        <v>0.64659999999999995</v>
      </c>
      <c r="L192" s="601">
        <v>0.64659999999999995</v>
      </c>
      <c r="M192" s="601">
        <v>0.64659999999999995</v>
      </c>
    </row>
    <row r="193" spans="1:13">
      <c r="A193" s="598">
        <v>8.9</v>
      </c>
      <c r="B193" s="601">
        <v>0.84279999999999999</v>
      </c>
      <c r="C193" s="601">
        <v>0.84279999999999999</v>
      </c>
      <c r="D193" s="601">
        <v>0.74219999999999997</v>
      </c>
      <c r="E193" s="601">
        <v>0.74219999999999997</v>
      </c>
      <c r="F193" s="601">
        <v>0.74219999999999997</v>
      </c>
      <c r="G193" s="601">
        <v>0.74219999999999997</v>
      </c>
      <c r="H193" s="601">
        <v>0.74219999999999997</v>
      </c>
      <c r="I193" s="601">
        <v>0.64500000000000002</v>
      </c>
      <c r="J193" s="601">
        <v>0.64500000000000002</v>
      </c>
      <c r="K193" s="601">
        <v>0.64500000000000002</v>
      </c>
      <c r="L193" s="601">
        <v>0.64500000000000002</v>
      </c>
      <c r="M193" s="601">
        <v>0.64500000000000002</v>
      </c>
    </row>
    <row r="194" spans="1:13">
      <c r="A194" s="602">
        <v>9</v>
      </c>
      <c r="B194" s="601">
        <v>0.84150000000000003</v>
      </c>
      <c r="C194" s="601">
        <v>0.84150000000000003</v>
      </c>
      <c r="D194" s="601">
        <v>0.74070000000000003</v>
      </c>
      <c r="E194" s="601">
        <v>0.74070000000000003</v>
      </c>
      <c r="F194" s="601">
        <v>0.74070000000000003</v>
      </c>
      <c r="G194" s="601">
        <v>0.74070000000000003</v>
      </c>
      <c r="H194" s="601">
        <v>0.74070000000000003</v>
      </c>
      <c r="I194" s="601">
        <v>0.64349999999999996</v>
      </c>
      <c r="J194" s="601">
        <v>0.64349999999999996</v>
      </c>
      <c r="K194" s="601">
        <v>0.64349999999999996</v>
      </c>
      <c r="L194" s="601">
        <v>0.64349999999999996</v>
      </c>
      <c r="M194" s="601">
        <v>0.64349999999999996</v>
      </c>
    </row>
    <row r="195" spans="1:13">
      <c r="A195" s="602">
        <v>9.1</v>
      </c>
      <c r="B195" s="601">
        <v>0.84019999999999995</v>
      </c>
      <c r="C195" s="601">
        <v>0.84019999999999995</v>
      </c>
      <c r="D195" s="601">
        <v>0.73919999999999997</v>
      </c>
      <c r="E195" s="601">
        <v>0.73919999999999997</v>
      </c>
      <c r="F195" s="601">
        <v>0.73919999999999997</v>
      </c>
      <c r="G195" s="601">
        <v>0.73919999999999997</v>
      </c>
      <c r="H195" s="601">
        <v>0.73919999999999997</v>
      </c>
      <c r="I195" s="601">
        <v>0.64200000000000002</v>
      </c>
      <c r="J195" s="601">
        <v>0.64200000000000002</v>
      </c>
      <c r="K195" s="601">
        <v>0.64200000000000002</v>
      </c>
      <c r="L195" s="601">
        <v>0.64200000000000002</v>
      </c>
      <c r="M195" s="601">
        <v>0.64200000000000002</v>
      </c>
    </row>
    <row r="196" spans="1:13">
      <c r="A196" s="602">
        <v>9.1999999999999993</v>
      </c>
      <c r="B196" s="601">
        <v>0.83889999999999998</v>
      </c>
      <c r="C196" s="601">
        <v>0.83889999999999998</v>
      </c>
      <c r="D196" s="601">
        <v>0.73770000000000002</v>
      </c>
      <c r="E196" s="601">
        <v>0.73770000000000002</v>
      </c>
      <c r="F196" s="601">
        <v>0.73770000000000002</v>
      </c>
      <c r="G196" s="601">
        <v>0.73770000000000002</v>
      </c>
      <c r="H196" s="601">
        <v>0.73770000000000002</v>
      </c>
      <c r="I196" s="601">
        <v>0.64059999999999995</v>
      </c>
      <c r="J196" s="601">
        <v>0.64059999999999995</v>
      </c>
      <c r="K196" s="601">
        <v>0.64059999999999995</v>
      </c>
      <c r="L196" s="601">
        <v>0.64059999999999995</v>
      </c>
      <c r="M196" s="601">
        <v>0.64059999999999995</v>
      </c>
    </row>
    <row r="197" spans="1:13">
      <c r="A197" s="602">
        <v>9.3000000000000007</v>
      </c>
      <c r="B197" s="601">
        <v>0.83760000000000001</v>
      </c>
      <c r="C197" s="601">
        <v>0.83760000000000001</v>
      </c>
      <c r="D197" s="601">
        <v>0.73629999999999995</v>
      </c>
      <c r="E197" s="601">
        <v>0.73629999999999995</v>
      </c>
      <c r="F197" s="601">
        <v>0.73629999999999995</v>
      </c>
      <c r="G197" s="601">
        <v>0.73629999999999995</v>
      </c>
      <c r="H197" s="601">
        <v>0.73629999999999995</v>
      </c>
      <c r="I197" s="601">
        <v>0.63919999999999999</v>
      </c>
      <c r="J197" s="601">
        <v>0.63919999999999999</v>
      </c>
      <c r="K197" s="601">
        <v>0.63919999999999999</v>
      </c>
      <c r="L197" s="601">
        <v>0.63919999999999999</v>
      </c>
      <c r="M197" s="601">
        <v>0.63919999999999999</v>
      </c>
    </row>
    <row r="198" spans="1:13">
      <c r="A198" s="602">
        <v>9.4</v>
      </c>
      <c r="B198" s="601">
        <v>0.83630000000000004</v>
      </c>
      <c r="C198" s="601">
        <v>0.83630000000000004</v>
      </c>
      <c r="D198" s="601">
        <v>0.7349</v>
      </c>
      <c r="E198" s="601">
        <v>0.7349</v>
      </c>
      <c r="F198" s="601">
        <v>0.7349</v>
      </c>
      <c r="G198" s="601">
        <v>0.7349</v>
      </c>
      <c r="H198" s="601">
        <v>0.7349</v>
      </c>
      <c r="I198" s="601">
        <v>0.63780000000000003</v>
      </c>
      <c r="J198" s="601">
        <v>0.63780000000000003</v>
      </c>
      <c r="K198" s="601">
        <v>0.63780000000000003</v>
      </c>
      <c r="L198" s="601">
        <v>0.63780000000000003</v>
      </c>
      <c r="M198" s="601">
        <v>0.63780000000000003</v>
      </c>
    </row>
    <row r="199" spans="1:13">
      <c r="A199" s="602">
        <v>9.5</v>
      </c>
      <c r="B199" s="601">
        <v>0.83499999999999996</v>
      </c>
      <c r="C199" s="601">
        <v>0.83499999999999996</v>
      </c>
      <c r="D199" s="601">
        <v>0.73350000000000004</v>
      </c>
      <c r="E199" s="601">
        <v>0.73350000000000004</v>
      </c>
      <c r="F199" s="601">
        <v>0.73350000000000004</v>
      </c>
      <c r="G199" s="601">
        <v>0.73350000000000004</v>
      </c>
      <c r="H199" s="601">
        <v>0.73350000000000004</v>
      </c>
      <c r="I199" s="601">
        <v>0.63639999999999997</v>
      </c>
      <c r="J199" s="601">
        <v>0.63639999999999997</v>
      </c>
      <c r="K199" s="601">
        <v>0.63639999999999997</v>
      </c>
      <c r="L199" s="601">
        <v>0.63639999999999997</v>
      </c>
      <c r="M199" s="601">
        <v>0.63639999999999997</v>
      </c>
    </row>
    <row r="200" spans="1:13">
      <c r="A200" s="602">
        <v>9.6</v>
      </c>
      <c r="B200" s="601">
        <v>0.83379999999999999</v>
      </c>
      <c r="C200" s="601">
        <v>0.83379999999999999</v>
      </c>
      <c r="D200" s="601">
        <v>0.73209999999999997</v>
      </c>
      <c r="E200" s="601">
        <v>0.73209999999999997</v>
      </c>
      <c r="F200" s="601">
        <v>0.73209999999999997</v>
      </c>
      <c r="G200" s="601">
        <v>0.73209999999999997</v>
      </c>
      <c r="H200" s="601">
        <v>0.73209999999999997</v>
      </c>
      <c r="I200" s="601">
        <v>0.63500000000000001</v>
      </c>
      <c r="J200" s="601">
        <v>0.63500000000000001</v>
      </c>
      <c r="K200" s="601">
        <v>0.63500000000000001</v>
      </c>
      <c r="L200" s="601">
        <v>0.63500000000000001</v>
      </c>
      <c r="M200" s="601">
        <v>0.63500000000000001</v>
      </c>
    </row>
    <row r="201" spans="1:13">
      <c r="A201" s="602">
        <v>9.6999999999999993</v>
      </c>
      <c r="B201" s="601">
        <v>0.83260000000000001</v>
      </c>
      <c r="C201" s="601">
        <v>0.83260000000000001</v>
      </c>
      <c r="D201" s="601">
        <v>0.73070000000000002</v>
      </c>
      <c r="E201" s="601">
        <v>0.73070000000000002</v>
      </c>
      <c r="F201" s="601">
        <v>0.73070000000000002</v>
      </c>
      <c r="G201" s="601">
        <v>0.73070000000000002</v>
      </c>
      <c r="H201" s="601">
        <v>0.73070000000000002</v>
      </c>
      <c r="I201" s="601">
        <v>0.63360000000000005</v>
      </c>
      <c r="J201" s="601">
        <v>0.63360000000000005</v>
      </c>
      <c r="K201" s="601">
        <v>0.63360000000000005</v>
      </c>
      <c r="L201" s="601">
        <v>0.63360000000000005</v>
      </c>
      <c r="M201" s="601">
        <v>0.63360000000000005</v>
      </c>
    </row>
    <row r="202" spans="1:13">
      <c r="A202" s="602">
        <v>9.8000000000000007</v>
      </c>
      <c r="B202" s="601">
        <v>0.83140000000000003</v>
      </c>
      <c r="C202" s="601">
        <v>0.83140000000000003</v>
      </c>
      <c r="D202" s="601">
        <v>0.72929999999999995</v>
      </c>
      <c r="E202" s="601">
        <v>0.72929999999999995</v>
      </c>
      <c r="F202" s="601">
        <v>0.72929999999999995</v>
      </c>
      <c r="G202" s="601">
        <v>0.72929999999999995</v>
      </c>
      <c r="H202" s="601">
        <v>0.72929999999999995</v>
      </c>
      <c r="I202" s="601">
        <v>0.63219999999999998</v>
      </c>
      <c r="J202" s="601">
        <v>0.63219999999999998</v>
      </c>
      <c r="K202" s="601">
        <v>0.63219999999999998</v>
      </c>
      <c r="L202" s="601">
        <v>0.63219999999999998</v>
      </c>
      <c r="M202" s="601">
        <v>0.63219999999999998</v>
      </c>
    </row>
    <row r="203" spans="1:13">
      <c r="A203" s="602">
        <v>9.9</v>
      </c>
      <c r="B203" s="601">
        <v>0.83020000000000005</v>
      </c>
      <c r="C203" s="601">
        <v>0.83020000000000005</v>
      </c>
      <c r="D203" s="601">
        <v>0.72799999999999998</v>
      </c>
      <c r="E203" s="601">
        <v>0.72799999999999998</v>
      </c>
      <c r="F203" s="601">
        <v>0.72799999999999998</v>
      </c>
      <c r="G203" s="601">
        <v>0.72799999999999998</v>
      </c>
      <c r="H203" s="601">
        <v>0.72799999999999998</v>
      </c>
      <c r="I203" s="601">
        <v>0.63080000000000003</v>
      </c>
      <c r="J203" s="601">
        <v>0.63080000000000003</v>
      </c>
      <c r="K203" s="601">
        <v>0.63080000000000003</v>
      </c>
      <c r="L203" s="601">
        <v>0.63080000000000003</v>
      </c>
      <c r="M203" s="601">
        <v>0.63080000000000003</v>
      </c>
    </row>
    <row r="204" spans="1:13">
      <c r="A204" s="602">
        <v>10</v>
      </c>
      <c r="B204" s="601">
        <v>0.82899999999999996</v>
      </c>
      <c r="C204" s="601">
        <v>0.82899999999999996</v>
      </c>
      <c r="D204" s="601">
        <v>0.72670000000000001</v>
      </c>
      <c r="E204" s="601">
        <v>0.72670000000000001</v>
      </c>
      <c r="F204" s="601">
        <v>0.72670000000000001</v>
      </c>
      <c r="G204" s="601">
        <v>0.72670000000000001</v>
      </c>
      <c r="H204" s="601">
        <v>0.72670000000000001</v>
      </c>
      <c r="I204" s="601">
        <v>0.62939999999999996</v>
      </c>
      <c r="J204" s="601">
        <v>0.62939999999999996</v>
      </c>
      <c r="K204" s="601">
        <v>0.62939999999999996</v>
      </c>
      <c r="L204" s="601">
        <v>0.62939999999999996</v>
      </c>
      <c r="M204" s="601">
        <v>0.62939999999999996</v>
      </c>
    </row>
    <row r="205" spans="1:13" ht="14.25">
      <c r="A205" s="596" t="s">
        <v>1972</v>
      </c>
      <c r="B205" s="597"/>
      <c r="C205" s="597"/>
      <c r="D205" s="597"/>
      <c r="E205" s="597"/>
      <c r="F205" s="597"/>
      <c r="G205" s="597"/>
      <c r="H205" s="597"/>
      <c r="I205" s="597"/>
      <c r="J205" s="597"/>
      <c r="K205" s="597"/>
      <c r="L205" s="597"/>
      <c r="M205" s="597"/>
    </row>
    <row r="206" spans="1:13">
      <c r="A206" s="598" t="s">
        <v>1970</v>
      </c>
      <c r="B206" s="599" t="s">
        <v>232</v>
      </c>
      <c r="C206" s="599" t="s">
        <v>243</v>
      </c>
      <c r="D206" s="599" t="s">
        <v>253</v>
      </c>
      <c r="E206" s="599" t="s">
        <v>261</v>
      </c>
      <c r="F206" s="599" t="s">
        <v>269</v>
      </c>
      <c r="G206" s="599" t="s">
        <v>275</v>
      </c>
      <c r="H206" s="600" t="s">
        <v>280</v>
      </c>
      <c r="I206" s="600" t="s">
        <v>285</v>
      </c>
      <c r="J206" s="603" t="s">
        <v>288</v>
      </c>
      <c r="K206" s="603" t="s">
        <v>291</v>
      </c>
      <c r="L206" s="603" t="s">
        <v>294</v>
      </c>
      <c r="M206" s="603" t="s">
        <v>297</v>
      </c>
    </row>
    <row r="207" spans="1:13">
      <c r="A207" s="598">
        <v>0.1</v>
      </c>
      <c r="B207" s="601">
        <v>12.172000000000001</v>
      </c>
      <c r="C207" s="601">
        <v>12.172000000000001</v>
      </c>
      <c r="D207" s="601">
        <v>12.375999999999999</v>
      </c>
      <c r="E207" s="601">
        <v>12.375999999999999</v>
      </c>
      <c r="F207" s="601">
        <v>12.375999999999999</v>
      </c>
      <c r="G207" s="601">
        <v>12.375999999999999</v>
      </c>
      <c r="H207" s="601">
        <v>12.375999999999999</v>
      </c>
      <c r="I207" s="601">
        <v>11.071999999999999</v>
      </c>
      <c r="J207" s="601">
        <v>11.071999999999999</v>
      </c>
      <c r="K207" s="601">
        <v>11.071999999999999</v>
      </c>
      <c r="L207" s="601">
        <v>11.071999999999999</v>
      </c>
      <c r="M207" s="601">
        <v>11.071999999999999</v>
      </c>
    </row>
    <row r="208" spans="1:13">
      <c r="A208" s="598">
        <v>0.2</v>
      </c>
      <c r="B208" s="601">
        <v>6.0860000000000003</v>
      </c>
      <c r="C208" s="601">
        <v>6.0860000000000003</v>
      </c>
      <c r="D208" s="601">
        <v>6.1879999999999997</v>
      </c>
      <c r="E208" s="601">
        <v>6.1879999999999997</v>
      </c>
      <c r="F208" s="601">
        <v>6.1879999999999997</v>
      </c>
      <c r="G208" s="601">
        <v>6.1879999999999997</v>
      </c>
      <c r="H208" s="601">
        <v>6.1879999999999997</v>
      </c>
      <c r="I208" s="601">
        <v>5.5359999999999996</v>
      </c>
      <c r="J208" s="601">
        <v>5.5359999999999996</v>
      </c>
      <c r="K208" s="601">
        <v>5.5359999999999996</v>
      </c>
      <c r="L208" s="601">
        <v>5.5359999999999996</v>
      </c>
      <c r="M208" s="601">
        <v>5.5359999999999996</v>
      </c>
    </row>
    <row r="209" spans="1:13">
      <c r="A209" s="598">
        <v>0.3</v>
      </c>
      <c r="B209" s="601">
        <v>4.0572999999999997</v>
      </c>
      <c r="C209" s="601">
        <v>4.0572999999999997</v>
      </c>
      <c r="D209" s="601">
        <v>4.1253000000000002</v>
      </c>
      <c r="E209" s="601">
        <v>4.1253000000000002</v>
      </c>
      <c r="F209" s="601">
        <v>4.1253000000000002</v>
      </c>
      <c r="G209" s="601">
        <v>4.1253000000000002</v>
      </c>
      <c r="H209" s="601">
        <v>4.1253000000000002</v>
      </c>
      <c r="I209" s="601">
        <v>3.6907000000000001</v>
      </c>
      <c r="J209" s="601">
        <v>3.6907000000000001</v>
      </c>
      <c r="K209" s="601">
        <v>3.6907000000000001</v>
      </c>
      <c r="L209" s="601">
        <v>3.6907000000000001</v>
      </c>
      <c r="M209" s="601">
        <v>3.6907000000000001</v>
      </c>
    </row>
    <row r="210" spans="1:13">
      <c r="A210" s="598">
        <v>0.4</v>
      </c>
      <c r="B210" s="601">
        <v>3.0430000000000001</v>
      </c>
      <c r="C210" s="601">
        <v>3.0430000000000001</v>
      </c>
      <c r="D210" s="601">
        <v>3.0939999999999999</v>
      </c>
      <c r="E210" s="601">
        <v>3.0939999999999999</v>
      </c>
      <c r="F210" s="601">
        <v>3.0939999999999999</v>
      </c>
      <c r="G210" s="601">
        <v>3.0939999999999999</v>
      </c>
      <c r="H210" s="601">
        <v>3.0939999999999999</v>
      </c>
      <c r="I210" s="601">
        <v>2.7679999999999998</v>
      </c>
      <c r="J210" s="601">
        <v>2.7679999999999998</v>
      </c>
      <c r="K210" s="601">
        <v>2.7679999999999998</v>
      </c>
      <c r="L210" s="601">
        <v>2.7679999999999998</v>
      </c>
      <c r="M210" s="601">
        <v>2.7679999999999998</v>
      </c>
    </row>
    <row r="211" spans="1:13">
      <c r="A211" s="598">
        <v>0.5</v>
      </c>
      <c r="B211" s="601">
        <v>2.4344000000000001</v>
      </c>
      <c r="C211" s="601">
        <v>2.4344000000000001</v>
      </c>
      <c r="D211" s="601">
        <v>2.4752000000000001</v>
      </c>
      <c r="E211" s="601">
        <v>2.4752000000000001</v>
      </c>
      <c r="F211" s="601">
        <v>2.4752000000000001</v>
      </c>
      <c r="G211" s="601">
        <v>2.4752000000000001</v>
      </c>
      <c r="H211" s="601">
        <v>2.4752000000000001</v>
      </c>
      <c r="I211" s="601">
        <v>2.2143999999999999</v>
      </c>
      <c r="J211" s="601">
        <v>2.2143999999999999</v>
      </c>
      <c r="K211" s="601">
        <v>2.2143999999999999</v>
      </c>
      <c r="L211" s="601">
        <v>2.2143999999999999</v>
      </c>
      <c r="M211" s="601">
        <v>2.2143999999999999</v>
      </c>
    </row>
    <row r="212" spans="1:13">
      <c r="A212" s="598">
        <v>0.6</v>
      </c>
      <c r="B212" s="601">
        <v>2.0287000000000002</v>
      </c>
      <c r="C212" s="601">
        <v>2.0287000000000002</v>
      </c>
      <c r="D212" s="601">
        <v>2.0627</v>
      </c>
      <c r="E212" s="601">
        <v>2.0627</v>
      </c>
      <c r="F212" s="601">
        <v>2.0627</v>
      </c>
      <c r="G212" s="601">
        <v>2.0627</v>
      </c>
      <c r="H212" s="601">
        <v>2.0627</v>
      </c>
      <c r="I212" s="601">
        <v>1.8452999999999999</v>
      </c>
      <c r="J212" s="601">
        <v>1.8452999999999999</v>
      </c>
      <c r="K212" s="601">
        <v>1.8452999999999999</v>
      </c>
      <c r="L212" s="601">
        <v>1.8452999999999999</v>
      </c>
      <c r="M212" s="601">
        <v>1.8452999999999999</v>
      </c>
    </row>
    <row r="213" spans="1:13">
      <c r="A213" s="598">
        <v>0.7</v>
      </c>
      <c r="B213" s="601">
        <v>1.7388999999999999</v>
      </c>
      <c r="C213" s="601">
        <v>1.7388999999999999</v>
      </c>
      <c r="D213" s="601">
        <v>1.768</v>
      </c>
      <c r="E213" s="601">
        <v>1.768</v>
      </c>
      <c r="F213" s="601">
        <v>1.768</v>
      </c>
      <c r="G213" s="601">
        <v>1.768</v>
      </c>
      <c r="H213" s="601">
        <v>1.768</v>
      </c>
      <c r="I213" s="601">
        <v>1.5817000000000001</v>
      </c>
      <c r="J213" s="601">
        <v>1.5817000000000001</v>
      </c>
      <c r="K213" s="601">
        <v>1.5817000000000001</v>
      </c>
      <c r="L213" s="601">
        <v>1.5817000000000001</v>
      </c>
      <c r="M213" s="601">
        <v>1.5817000000000001</v>
      </c>
    </row>
    <row r="214" spans="1:13">
      <c r="A214" s="598">
        <v>0.8</v>
      </c>
      <c r="B214" s="601">
        <v>1.5215000000000001</v>
      </c>
      <c r="C214" s="601">
        <v>1.5215000000000001</v>
      </c>
      <c r="D214" s="601">
        <v>1.5469999999999999</v>
      </c>
      <c r="E214" s="601">
        <v>1.5469999999999999</v>
      </c>
      <c r="F214" s="601">
        <v>1.5469999999999999</v>
      </c>
      <c r="G214" s="601">
        <v>1.5469999999999999</v>
      </c>
      <c r="H214" s="601">
        <v>1.5469999999999999</v>
      </c>
      <c r="I214" s="601">
        <v>1.3839999999999999</v>
      </c>
      <c r="J214" s="601">
        <v>1.3839999999999999</v>
      </c>
      <c r="K214" s="601">
        <v>1.3839999999999999</v>
      </c>
      <c r="L214" s="601">
        <v>1.3839999999999999</v>
      </c>
      <c r="M214" s="601">
        <v>1.3839999999999999</v>
      </c>
    </row>
    <row r="215" spans="1:13">
      <c r="A215" s="598">
        <v>0.9</v>
      </c>
      <c r="B215" s="601">
        <v>1.3524</v>
      </c>
      <c r="C215" s="601">
        <v>1.3524</v>
      </c>
      <c r="D215" s="601">
        <v>1.3751</v>
      </c>
      <c r="E215" s="601">
        <v>1.3751</v>
      </c>
      <c r="F215" s="601">
        <v>1.3751</v>
      </c>
      <c r="G215" s="601">
        <v>1.3751</v>
      </c>
      <c r="H215" s="601">
        <v>1.3751</v>
      </c>
      <c r="I215" s="601">
        <v>1.2302</v>
      </c>
      <c r="J215" s="601">
        <v>1.2302</v>
      </c>
      <c r="K215" s="601">
        <v>1.2302</v>
      </c>
      <c r="L215" s="601">
        <v>1.2302</v>
      </c>
      <c r="M215" s="601">
        <v>1.2302</v>
      </c>
    </row>
    <row r="216" spans="1:13">
      <c r="A216" s="598">
        <v>1</v>
      </c>
      <c r="B216" s="601">
        <v>1.2172000000000001</v>
      </c>
      <c r="C216" s="601">
        <v>1.2172000000000001</v>
      </c>
      <c r="D216" s="601">
        <v>1.2376</v>
      </c>
      <c r="E216" s="601">
        <v>1.2376</v>
      </c>
      <c r="F216" s="601">
        <v>1.2376</v>
      </c>
      <c r="G216" s="601">
        <v>1.2376</v>
      </c>
      <c r="H216" s="601">
        <v>1.2376</v>
      </c>
      <c r="I216" s="601">
        <v>1.1072</v>
      </c>
      <c r="J216" s="601">
        <v>1.1072</v>
      </c>
      <c r="K216" s="601">
        <v>1.1072</v>
      </c>
      <c r="L216" s="601">
        <v>1.1072</v>
      </c>
      <c r="M216" s="601">
        <v>1.1072</v>
      </c>
    </row>
    <row r="217" spans="1:13">
      <c r="A217" s="598">
        <v>1.1000000000000001</v>
      </c>
      <c r="B217" s="601">
        <v>1.198</v>
      </c>
      <c r="C217" s="601">
        <v>1.198</v>
      </c>
      <c r="D217" s="601">
        <v>1.2156</v>
      </c>
      <c r="E217" s="601">
        <v>1.2156</v>
      </c>
      <c r="F217" s="601">
        <v>1.2156</v>
      </c>
      <c r="G217" s="601">
        <v>1.2156</v>
      </c>
      <c r="H217" s="601">
        <v>1.2156</v>
      </c>
      <c r="I217" s="601">
        <v>1.0829</v>
      </c>
      <c r="J217" s="601">
        <v>1.0829</v>
      </c>
      <c r="K217" s="601">
        <v>1.0829</v>
      </c>
      <c r="L217" s="601">
        <v>1.0829</v>
      </c>
      <c r="M217" s="601">
        <v>1.0829</v>
      </c>
    </row>
    <row r="218" spans="1:13">
      <c r="A218" s="598">
        <v>1.2</v>
      </c>
      <c r="B218" s="601">
        <v>1.1795</v>
      </c>
      <c r="C218" s="601">
        <v>1.1795</v>
      </c>
      <c r="D218" s="601">
        <v>1.1947000000000001</v>
      </c>
      <c r="E218" s="601">
        <v>1.1947000000000001</v>
      </c>
      <c r="F218" s="601">
        <v>1.1947000000000001</v>
      </c>
      <c r="G218" s="601">
        <v>1.1947000000000001</v>
      </c>
      <c r="H218" s="601">
        <v>1.1947000000000001</v>
      </c>
      <c r="I218" s="601">
        <v>1.0601</v>
      </c>
      <c r="J218" s="601">
        <v>1.0601</v>
      </c>
      <c r="K218" s="601">
        <v>1.0601</v>
      </c>
      <c r="L218" s="601">
        <v>1.0601</v>
      </c>
      <c r="M218" s="601">
        <v>1.0601</v>
      </c>
    </row>
    <row r="219" spans="1:13">
      <c r="A219" s="598">
        <v>1.3</v>
      </c>
      <c r="B219" s="601">
        <v>1.1617999999999999</v>
      </c>
      <c r="C219" s="601">
        <v>1.1617999999999999</v>
      </c>
      <c r="D219" s="601">
        <v>1.1748000000000001</v>
      </c>
      <c r="E219" s="601">
        <v>1.1748000000000001</v>
      </c>
      <c r="F219" s="601">
        <v>1.1748000000000001</v>
      </c>
      <c r="G219" s="601">
        <v>1.1748000000000001</v>
      </c>
      <c r="H219" s="601">
        <v>1.1748000000000001</v>
      </c>
      <c r="I219" s="601">
        <v>1.0387999999999999</v>
      </c>
      <c r="J219" s="601">
        <v>1.0387999999999999</v>
      </c>
      <c r="K219" s="601">
        <v>1.0387999999999999</v>
      </c>
      <c r="L219" s="601">
        <v>1.0387999999999999</v>
      </c>
      <c r="M219" s="601">
        <v>1.0387999999999999</v>
      </c>
    </row>
    <row r="220" spans="1:13">
      <c r="A220" s="598">
        <v>1.4</v>
      </c>
      <c r="B220" s="601">
        <v>1.1448</v>
      </c>
      <c r="C220" s="601">
        <v>1.1448</v>
      </c>
      <c r="D220" s="601">
        <v>1.1557999999999999</v>
      </c>
      <c r="E220" s="601">
        <v>1.1557999999999999</v>
      </c>
      <c r="F220" s="601">
        <v>1.1557999999999999</v>
      </c>
      <c r="G220" s="601">
        <v>1.1557999999999999</v>
      </c>
      <c r="H220" s="601">
        <v>1.1557999999999999</v>
      </c>
      <c r="I220" s="601">
        <v>1.0187999999999999</v>
      </c>
      <c r="J220" s="601">
        <v>1.0187999999999999</v>
      </c>
      <c r="K220" s="601">
        <v>1.0187999999999999</v>
      </c>
      <c r="L220" s="601">
        <v>1.0187999999999999</v>
      </c>
      <c r="M220" s="601">
        <v>1.0187999999999999</v>
      </c>
    </row>
    <row r="221" spans="1:13">
      <c r="A221" s="598">
        <v>1.5</v>
      </c>
      <c r="B221" s="601">
        <v>1.1285000000000001</v>
      </c>
      <c r="C221" s="601">
        <v>1.1285000000000001</v>
      </c>
      <c r="D221" s="601">
        <v>1.1377999999999999</v>
      </c>
      <c r="E221" s="601">
        <v>1.1377999999999999</v>
      </c>
      <c r="F221" s="601">
        <v>1.1377999999999999</v>
      </c>
      <c r="G221" s="601">
        <v>1.1377999999999999</v>
      </c>
      <c r="H221" s="601">
        <v>1.1377999999999999</v>
      </c>
      <c r="I221" s="601">
        <v>1</v>
      </c>
      <c r="J221" s="601">
        <v>1</v>
      </c>
      <c r="K221" s="601">
        <v>1</v>
      </c>
      <c r="L221" s="601">
        <v>1</v>
      </c>
      <c r="M221" s="601">
        <v>1</v>
      </c>
    </row>
    <row r="222" spans="1:13">
      <c r="A222" s="598">
        <v>1.6</v>
      </c>
      <c r="B222" s="601">
        <v>1.1129</v>
      </c>
      <c r="C222" s="601">
        <v>1.1129</v>
      </c>
      <c r="D222" s="601">
        <v>1.1206</v>
      </c>
      <c r="E222" s="601">
        <v>1.1206</v>
      </c>
      <c r="F222" s="601">
        <v>1.1206</v>
      </c>
      <c r="G222" s="601">
        <v>1.1206</v>
      </c>
      <c r="H222" s="601">
        <v>1.1206</v>
      </c>
      <c r="I222" s="601">
        <v>0.98240000000000005</v>
      </c>
      <c r="J222" s="601">
        <v>0.98240000000000005</v>
      </c>
      <c r="K222" s="601">
        <v>0.98240000000000005</v>
      </c>
      <c r="L222" s="601">
        <v>0.98240000000000005</v>
      </c>
      <c r="M222" s="601">
        <v>0.98240000000000005</v>
      </c>
    </row>
    <row r="223" spans="1:13">
      <c r="A223" s="598">
        <v>1.7</v>
      </c>
      <c r="B223" s="601">
        <v>1.0980000000000001</v>
      </c>
      <c r="C223" s="601">
        <v>1.0980000000000001</v>
      </c>
      <c r="D223" s="601">
        <v>1.1043000000000001</v>
      </c>
      <c r="E223" s="601">
        <v>1.1043000000000001</v>
      </c>
      <c r="F223" s="601">
        <v>1.1043000000000001</v>
      </c>
      <c r="G223" s="601">
        <v>1.1043000000000001</v>
      </c>
      <c r="H223" s="601">
        <v>1.1043000000000001</v>
      </c>
      <c r="I223" s="601">
        <v>0.96579999999999999</v>
      </c>
      <c r="J223" s="601">
        <v>0.96579999999999999</v>
      </c>
      <c r="K223" s="601">
        <v>0.96579999999999999</v>
      </c>
      <c r="L223" s="601">
        <v>0.96579999999999999</v>
      </c>
      <c r="M223" s="601">
        <v>0.96579999999999999</v>
      </c>
    </row>
    <row r="224" spans="1:13">
      <c r="A224" s="598">
        <v>1.8</v>
      </c>
      <c r="B224" s="601">
        <v>1.0835999999999999</v>
      </c>
      <c r="C224" s="601">
        <v>1.0835999999999999</v>
      </c>
      <c r="D224" s="601">
        <v>1.0888</v>
      </c>
      <c r="E224" s="601">
        <v>1.0888</v>
      </c>
      <c r="F224" s="601">
        <v>1.0888</v>
      </c>
      <c r="G224" s="601">
        <v>1.0888</v>
      </c>
      <c r="H224" s="601">
        <v>1.0888</v>
      </c>
      <c r="I224" s="601">
        <v>0.95030000000000003</v>
      </c>
      <c r="J224" s="601">
        <v>0.95030000000000003</v>
      </c>
      <c r="K224" s="601">
        <v>0.95030000000000003</v>
      </c>
      <c r="L224" s="601">
        <v>0.95030000000000003</v>
      </c>
      <c r="M224" s="601">
        <v>0.95030000000000003</v>
      </c>
    </row>
    <row r="225" spans="1:13">
      <c r="A225" s="598">
        <v>1.9</v>
      </c>
      <c r="B225" s="601">
        <v>1.0698000000000001</v>
      </c>
      <c r="C225" s="601">
        <v>1.0698000000000001</v>
      </c>
      <c r="D225" s="601">
        <v>1.0741000000000001</v>
      </c>
      <c r="E225" s="601">
        <v>1.0741000000000001</v>
      </c>
      <c r="F225" s="601">
        <v>1.0741000000000001</v>
      </c>
      <c r="G225" s="601">
        <v>1.0741000000000001</v>
      </c>
      <c r="H225" s="601">
        <v>1.0741000000000001</v>
      </c>
      <c r="I225" s="601">
        <v>0.93610000000000004</v>
      </c>
      <c r="J225" s="601">
        <v>0.93610000000000004</v>
      </c>
      <c r="K225" s="601">
        <v>0.93610000000000004</v>
      </c>
      <c r="L225" s="601">
        <v>0.93610000000000004</v>
      </c>
      <c r="M225" s="601">
        <v>0.93610000000000004</v>
      </c>
    </row>
    <row r="226" spans="1:13">
      <c r="A226" s="598">
        <v>2</v>
      </c>
      <c r="B226" s="601">
        <v>1.0568</v>
      </c>
      <c r="C226" s="601">
        <v>1.0568</v>
      </c>
      <c r="D226" s="601">
        <v>1.0601</v>
      </c>
      <c r="E226" s="601">
        <v>1.0601</v>
      </c>
      <c r="F226" s="601">
        <v>1.0601</v>
      </c>
      <c r="G226" s="601">
        <v>1.0601</v>
      </c>
      <c r="H226" s="601">
        <v>1.0601</v>
      </c>
      <c r="I226" s="601">
        <v>0.9224</v>
      </c>
      <c r="J226" s="601">
        <v>0.9224</v>
      </c>
      <c r="K226" s="601">
        <v>0.9224</v>
      </c>
      <c r="L226" s="601">
        <v>0.9224</v>
      </c>
      <c r="M226" s="601">
        <v>0.9224</v>
      </c>
    </row>
    <row r="227" spans="1:13">
      <c r="A227" s="602">
        <v>2.1</v>
      </c>
      <c r="B227" s="601">
        <v>1.0443</v>
      </c>
      <c r="C227" s="601">
        <v>1.0443</v>
      </c>
      <c r="D227" s="601">
        <v>1.0468</v>
      </c>
      <c r="E227" s="601">
        <v>1.0468</v>
      </c>
      <c r="F227" s="601">
        <v>1.0468</v>
      </c>
      <c r="G227" s="601">
        <v>1.0468</v>
      </c>
      <c r="H227" s="601">
        <v>1.0468</v>
      </c>
      <c r="I227" s="601">
        <v>0.90959999999999996</v>
      </c>
      <c r="J227" s="601">
        <v>0.90959999999999996</v>
      </c>
      <c r="K227" s="601">
        <v>0.90959999999999996</v>
      </c>
      <c r="L227" s="601">
        <v>0.90959999999999996</v>
      </c>
      <c r="M227" s="601">
        <v>0.90959999999999996</v>
      </c>
    </row>
    <row r="228" spans="1:13">
      <c r="A228" s="602">
        <v>2.2000000000000002</v>
      </c>
      <c r="B228" s="601">
        <v>1.0325</v>
      </c>
      <c r="C228" s="601">
        <v>1.0325</v>
      </c>
      <c r="D228" s="601">
        <v>1.0342</v>
      </c>
      <c r="E228" s="601">
        <v>1.0342</v>
      </c>
      <c r="F228" s="601">
        <v>1.0342</v>
      </c>
      <c r="G228" s="601">
        <v>1.0342</v>
      </c>
      <c r="H228" s="601">
        <v>1.0342</v>
      </c>
      <c r="I228" s="601">
        <v>0.89749999999999996</v>
      </c>
      <c r="J228" s="601">
        <v>0.89749999999999996</v>
      </c>
      <c r="K228" s="601">
        <v>0.89749999999999996</v>
      </c>
      <c r="L228" s="601">
        <v>0.89749999999999996</v>
      </c>
      <c r="M228" s="601">
        <v>0.89749999999999996</v>
      </c>
    </row>
    <row r="229" spans="1:13">
      <c r="A229" s="602">
        <v>2.2999999999999998</v>
      </c>
      <c r="B229" s="601">
        <v>1.0209999999999999</v>
      </c>
      <c r="C229" s="601">
        <v>1.0209999999999999</v>
      </c>
      <c r="D229" s="601">
        <v>1.0222</v>
      </c>
      <c r="E229" s="601">
        <v>1.0222</v>
      </c>
      <c r="F229" s="601">
        <v>1.0222</v>
      </c>
      <c r="G229" s="601">
        <v>1.0222</v>
      </c>
      <c r="H229" s="601">
        <v>1.0222</v>
      </c>
      <c r="I229" s="601">
        <v>0.88619999999999999</v>
      </c>
      <c r="J229" s="601">
        <v>0.88619999999999999</v>
      </c>
      <c r="K229" s="601">
        <v>0.88619999999999999</v>
      </c>
      <c r="L229" s="601">
        <v>0.88619999999999999</v>
      </c>
      <c r="M229" s="601">
        <v>0.88619999999999999</v>
      </c>
    </row>
    <row r="230" spans="1:13">
      <c r="A230" s="602">
        <v>2.4</v>
      </c>
      <c r="B230" s="601">
        <v>1.0102</v>
      </c>
      <c r="C230" s="601">
        <v>1.0102</v>
      </c>
      <c r="D230" s="601">
        <v>1.0107999999999999</v>
      </c>
      <c r="E230" s="601">
        <v>1.0107999999999999</v>
      </c>
      <c r="F230" s="601">
        <v>1.0107999999999999</v>
      </c>
      <c r="G230" s="601">
        <v>1.0107999999999999</v>
      </c>
      <c r="H230" s="601">
        <v>1.0107999999999999</v>
      </c>
      <c r="I230" s="601">
        <v>0.87529999999999997</v>
      </c>
      <c r="J230" s="601">
        <v>0.87529999999999997</v>
      </c>
      <c r="K230" s="601">
        <v>0.87529999999999997</v>
      </c>
      <c r="L230" s="601">
        <v>0.87529999999999997</v>
      </c>
      <c r="M230" s="601">
        <v>0.87529999999999997</v>
      </c>
    </row>
    <row r="231" spans="1:13">
      <c r="A231" s="602">
        <v>2.5</v>
      </c>
      <c r="B231" s="601">
        <v>1</v>
      </c>
      <c r="C231" s="601">
        <v>1</v>
      </c>
      <c r="D231" s="601">
        <v>1</v>
      </c>
      <c r="E231" s="601">
        <v>1</v>
      </c>
      <c r="F231" s="601">
        <v>1</v>
      </c>
      <c r="G231" s="601">
        <v>1</v>
      </c>
      <c r="H231" s="601">
        <v>1</v>
      </c>
      <c r="I231" s="601">
        <v>0.86509999999999998</v>
      </c>
      <c r="J231" s="601">
        <v>0.86509999999999998</v>
      </c>
      <c r="K231" s="601">
        <v>0.86509999999999998</v>
      </c>
      <c r="L231" s="601">
        <v>0.86509999999999998</v>
      </c>
      <c r="M231" s="601">
        <v>0.86509999999999998</v>
      </c>
    </row>
    <row r="232" spans="1:13">
      <c r="A232" s="602">
        <v>2.6</v>
      </c>
      <c r="B232" s="601">
        <v>0.99029999999999996</v>
      </c>
      <c r="C232" s="601">
        <v>0.99029999999999996</v>
      </c>
      <c r="D232" s="601">
        <v>0.98970000000000002</v>
      </c>
      <c r="E232" s="601">
        <v>0.98970000000000002</v>
      </c>
      <c r="F232" s="601">
        <v>0.98970000000000002</v>
      </c>
      <c r="G232" s="601">
        <v>0.98970000000000002</v>
      </c>
      <c r="H232" s="601">
        <v>0.98970000000000002</v>
      </c>
      <c r="I232" s="601">
        <v>0.85529999999999995</v>
      </c>
      <c r="J232" s="601">
        <v>0.85529999999999995</v>
      </c>
      <c r="K232" s="601">
        <v>0.85529999999999995</v>
      </c>
      <c r="L232" s="601">
        <v>0.85529999999999995</v>
      </c>
      <c r="M232" s="601">
        <v>0.85529999999999995</v>
      </c>
    </row>
    <row r="233" spans="1:13">
      <c r="A233" s="602">
        <v>2.7</v>
      </c>
      <c r="B233" s="601">
        <v>0.98109999999999997</v>
      </c>
      <c r="C233" s="601">
        <v>0.98109999999999997</v>
      </c>
      <c r="D233" s="601">
        <v>0.97989999999999999</v>
      </c>
      <c r="E233" s="601">
        <v>0.97989999999999999</v>
      </c>
      <c r="F233" s="601">
        <v>0.97989999999999999</v>
      </c>
      <c r="G233" s="601">
        <v>0.97989999999999999</v>
      </c>
      <c r="H233" s="601">
        <v>0.97989999999999999</v>
      </c>
      <c r="I233" s="601">
        <v>0.84599999999999997</v>
      </c>
      <c r="J233" s="601">
        <v>0.84599999999999997</v>
      </c>
      <c r="K233" s="601">
        <v>0.84599999999999997</v>
      </c>
      <c r="L233" s="601">
        <v>0.84599999999999997</v>
      </c>
      <c r="M233" s="601">
        <v>0.84599999999999997</v>
      </c>
    </row>
    <row r="234" spans="1:13">
      <c r="A234" s="602">
        <v>2.8</v>
      </c>
      <c r="B234" s="601">
        <v>0.97240000000000004</v>
      </c>
      <c r="C234" s="601">
        <v>0.97240000000000004</v>
      </c>
      <c r="D234" s="601">
        <v>0.97060000000000002</v>
      </c>
      <c r="E234" s="601">
        <v>0.97060000000000002</v>
      </c>
      <c r="F234" s="601">
        <v>0.97060000000000002</v>
      </c>
      <c r="G234" s="601">
        <v>0.97060000000000002</v>
      </c>
      <c r="H234" s="601">
        <v>0.97060000000000002</v>
      </c>
      <c r="I234" s="601">
        <v>0.83709999999999996</v>
      </c>
      <c r="J234" s="601">
        <v>0.83709999999999996</v>
      </c>
      <c r="K234" s="601">
        <v>0.83709999999999996</v>
      </c>
      <c r="L234" s="601">
        <v>0.83709999999999996</v>
      </c>
      <c r="M234" s="601">
        <v>0.83709999999999996</v>
      </c>
    </row>
    <row r="235" spans="1:13">
      <c r="A235" s="602">
        <v>2.9</v>
      </c>
      <c r="B235" s="601">
        <v>0.96419999999999995</v>
      </c>
      <c r="C235" s="601">
        <v>0.96419999999999995</v>
      </c>
      <c r="D235" s="601">
        <v>0.96179999999999999</v>
      </c>
      <c r="E235" s="601">
        <v>0.96179999999999999</v>
      </c>
      <c r="F235" s="601">
        <v>0.96179999999999999</v>
      </c>
      <c r="G235" s="601">
        <v>0.96179999999999999</v>
      </c>
      <c r="H235" s="601">
        <v>0.96179999999999999</v>
      </c>
      <c r="I235" s="601">
        <v>0.82850000000000001</v>
      </c>
      <c r="J235" s="601">
        <v>0.82850000000000001</v>
      </c>
      <c r="K235" s="601">
        <v>0.82850000000000001</v>
      </c>
      <c r="L235" s="601">
        <v>0.82850000000000001</v>
      </c>
      <c r="M235" s="601">
        <v>0.82850000000000001</v>
      </c>
    </row>
    <row r="236" spans="1:13">
      <c r="A236" s="602">
        <v>3</v>
      </c>
      <c r="B236" s="601">
        <v>0.95640000000000003</v>
      </c>
      <c r="C236" s="601">
        <v>0.95640000000000003</v>
      </c>
      <c r="D236" s="601">
        <v>0.95340000000000003</v>
      </c>
      <c r="E236" s="601">
        <v>0.95340000000000003</v>
      </c>
      <c r="F236" s="601">
        <v>0.95340000000000003</v>
      </c>
      <c r="G236" s="601">
        <v>0.95340000000000003</v>
      </c>
      <c r="H236" s="601">
        <v>0.95340000000000003</v>
      </c>
      <c r="I236" s="601">
        <v>0.82040000000000002</v>
      </c>
      <c r="J236" s="601">
        <v>0.82040000000000002</v>
      </c>
      <c r="K236" s="601">
        <v>0.82040000000000002</v>
      </c>
      <c r="L236" s="601">
        <v>0.82040000000000002</v>
      </c>
      <c r="M236" s="601">
        <v>0.82040000000000002</v>
      </c>
    </row>
    <row r="237" spans="1:13">
      <c r="A237" s="602">
        <v>3.1</v>
      </c>
      <c r="B237" s="601">
        <v>0.94899999999999995</v>
      </c>
      <c r="C237" s="601">
        <v>0.94899999999999995</v>
      </c>
      <c r="D237" s="601">
        <v>0.94550000000000001</v>
      </c>
      <c r="E237" s="601">
        <v>0.94550000000000001</v>
      </c>
      <c r="F237" s="601">
        <v>0.94550000000000001</v>
      </c>
      <c r="G237" s="601">
        <v>0.94550000000000001</v>
      </c>
      <c r="H237" s="601">
        <v>0.94550000000000001</v>
      </c>
      <c r="I237" s="601">
        <v>0.81259999999999999</v>
      </c>
      <c r="J237" s="601">
        <v>0.81259999999999999</v>
      </c>
      <c r="K237" s="601">
        <v>0.81259999999999999</v>
      </c>
      <c r="L237" s="601">
        <v>0.81259999999999999</v>
      </c>
      <c r="M237" s="601">
        <v>0.81259999999999999</v>
      </c>
    </row>
    <row r="238" spans="1:13">
      <c r="A238" s="602">
        <v>3.2</v>
      </c>
      <c r="B238" s="601">
        <v>0.94199999999999995</v>
      </c>
      <c r="C238" s="601">
        <v>0.94199999999999995</v>
      </c>
      <c r="D238" s="601">
        <v>0.93789999999999996</v>
      </c>
      <c r="E238" s="601">
        <v>0.93789999999999996</v>
      </c>
      <c r="F238" s="601">
        <v>0.93789999999999996</v>
      </c>
      <c r="G238" s="601">
        <v>0.93789999999999996</v>
      </c>
      <c r="H238" s="601">
        <v>0.93789999999999996</v>
      </c>
      <c r="I238" s="601">
        <v>0.80530000000000002</v>
      </c>
      <c r="J238" s="601">
        <v>0.80530000000000002</v>
      </c>
      <c r="K238" s="601">
        <v>0.80530000000000002</v>
      </c>
      <c r="L238" s="601">
        <v>0.80530000000000002</v>
      </c>
      <c r="M238" s="601">
        <v>0.80530000000000002</v>
      </c>
    </row>
    <row r="239" spans="1:13">
      <c r="A239" s="602">
        <v>3.3</v>
      </c>
      <c r="B239" s="601">
        <v>0.93540000000000001</v>
      </c>
      <c r="C239" s="601">
        <v>0.93540000000000001</v>
      </c>
      <c r="D239" s="601">
        <v>0.93069999999999997</v>
      </c>
      <c r="E239" s="601">
        <v>0.93069999999999997</v>
      </c>
      <c r="F239" s="601">
        <v>0.93069999999999997</v>
      </c>
      <c r="G239" s="601">
        <v>0.93069999999999997</v>
      </c>
      <c r="H239" s="601">
        <v>0.93069999999999997</v>
      </c>
      <c r="I239" s="601">
        <v>0.79820000000000002</v>
      </c>
      <c r="J239" s="601">
        <v>0.79820000000000002</v>
      </c>
      <c r="K239" s="601">
        <v>0.79820000000000002</v>
      </c>
      <c r="L239" s="601">
        <v>0.79820000000000002</v>
      </c>
      <c r="M239" s="601">
        <v>0.79820000000000002</v>
      </c>
    </row>
    <row r="240" spans="1:13">
      <c r="A240" s="602">
        <v>3.4</v>
      </c>
      <c r="B240" s="601">
        <v>0.92920000000000003</v>
      </c>
      <c r="C240" s="601">
        <v>0.92920000000000003</v>
      </c>
      <c r="D240" s="601">
        <v>0.92390000000000005</v>
      </c>
      <c r="E240" s="601">
        <v>0.92390000000000005</v>
      </c>
      <c r="F240" s="601">
        <v>0.92390000000000005</v>
      </c>
      <c r="G240" s="601">
        <v>0.92390000000000005</v>
      </c>
      <c r="H240" s="601">
        <v>0.92390000000000005</v>
      </c>
      <c r="I240" s="601">
        <v>0.79139999999999999</v>
      </c>
      <c r="J240" s="601">
        <v>0.79139999999999999</v>
      </c>
      <c r="K240" s="601">
        <v>0.79139999999999999</v>
      </c>
      <c r="L240" s="601">
        <v>0.79139999999999999</v>
      </c>
      <c r="M240" s="601">
        <v>0.79139999999999999</v>
      </c>
    </row>
    <row r="241" spans="1:13">
      <c r="A241" s="602">
        <v>3.5</v>
      </c>
      <c r="B241" s="601">
        <v>0.9234</v>
      </c>
      <c r="C241" s="601">
        <v>0.9234</v>
      </c>
      <c r="D241" s="601">
        <v>0.91749999999999998</v>
      </c>
      <c r="E241" s="601">
        <v>0.91749999999999998</v>
      </c>
      <c r="F241" s="601">
        <v>0.91749999999999998</v>
      </c>
      <c r="G241" s="601">
        <v>0.91749999999999998</v>
      </c>
      <c r="H241" s="601">
        <v>0.91749999999999998</v>
      </c>
      <c r="I241" s="601">
        <v>0.78490000000000004</v>
      </c>
      <c r="J241" s="601">
        <v>0.78490000000000004</v>
      </c>
      <c r="K241" s="601">
        <v>0.78490000000000004</v>
      </c>
      <c r="L241" s="601">
        <v>0.78490000000000004</v>
      </c>
      <c r="M241" s="601">
        <v>0.78490000000000004</v>
      </c>
    </row>
    <row r="242" spans="1:13">
      <c r="A242" s="602">
        <v>3.6</v>
      </c>
      <c r="B242" s="601">
        <v>0.91790000000000005</v>
      </c>
      <c r="C242" s="601">
        <v>0.91790000000000005</v>
      </c>
      <c r="D242" s="601">
        <v>0.91139999999999999</v>
      </c>
      <c r="E242" s="601">
        <v>0.91139999999999999</v>
      </c>
      <c r="F242" s="601">
        <v>0.91139999999999999</v>
      </c>
      <c r="G242" s="601">
        <v>0.91139999999999999</v>
      </c>
      <c r="H242" s="601">
        <v>0.91139999999999999</v>
      </c>
      <c r="I242" s="601">
        <v>0.77880000000000005</v>
      </c>
      <c r="J242" s="601">
        <v>0.77880000000000005</v>
      </c>
      <c r="K242" s="601">
        <v>0.77880000000000005</v>
      </c>
      <c r="L242" s="601">
        <v>0.77880000000000005</v>
      </c>
      <c r="M242" s="601">
        <v>0.77880000000000005</v>
      </c>
    </row>
    <row r="243" spans="1:13">
      <c r="A243" s="602">
        <v>3.7</v>
      </c>
      <c r="B243" s="601">
        <v>0.91269999999999996</v>
      </c>
      <c r="C243" s="601">
        <v>0.91269999999999996</v>
      </c>
      <c r="D243" s="601">
        <v>0.90559999999999996</v>
      </c>
      <c r="E243" s="601">
        <v>0.90559999999999996</v>
      </c>
      <c r="F243" s="601">
        <v>0.90559999999999996</v>
      </c>
      <c r="G243" s="601">
        <v>0.90559999999999996</v>
      </c>
      <c r="H243" s="601">
        <v>0.90559999999999996</v>
      </c>
      <c r="I243" s="601">
        <v>0.77300000000000002</v>
      </c>
      <c r="J243" s="601">
        <v>0.77300000000000002</v>
      </c>
      <c r="K243" s="601">
        <v>0.77300000000000002</v>
      </c>
      <c r="L243" s="601">
        <v>0.77300000000000002</v>
      </c>
      <c r="M243" s="601">
        <v>0.77300000000000002</v>
      </c>
    </row>
    <row r="244" spans="1:13">
      <c r="A244" s="602">
        <v>3.8</v>
      </c>
      <c r="B244" s="601">
        <v>0.90780000000000005</v>
      </c>
      <c r="C244" s="601">
        <v>0.90780000000000005</v>
      </c>
      <c r="D244" s="601">
        <v>0.90010000000000001</v>
      </c>
      <c r="E244" s="601">
        <v>0.90010000000000001</v>
      </c>
      <c r="F244" s="601">
        <v>0.90010000000000001</v>
      </c>
      <c r="G244" s="601">
        <v>0.90010000000000001</v>
      </c>
      <c r="H244" s="601">
        <v>0.90010000000000001</v>
      </c>
      <c r="I244" s="601">
        <v>0.76739999999999997</v>
      </c>
      <c r="J244" s="601">
        <v>0.76739999999999997</v>
      </c>
      <c r="K244" s="601">
        <v>0.76739999999999997</v>
      </c>
      <c r="L244" s="601">
        <v>0.76739999999999997</v>
      </c>
      <c r="M244" s="601">
        <v>0.76739999999999997</v>
      </c>
    </row>
    <row r="245" spans="1:13">
      <c r="A245" s="602">
        <v>3.9</v>
      </c>
      <c r="B245" s="601">
        <v>0.9032</v>
      </c>
      <c r="C245" s="601">
        <v>0.9032</v>
      </c>
      <c r="D245" s="601">
        <v>0.89490000000000003</v>
      </c>
      <c r="E245" s="601">
        <v>0.89490000000000003</v>
      </c>
      <c r="F245" s="601">
        <v>0.89490000000000003</v>
      </c>
      <c r="G245" s="601">
        <v>0.89490000000000003</v>
      </c>
      <c r="H245" s="601">
        <v>0.89490000000000003</v>
      </c>
      <c r="I245" s="601">
        <v>0.7621</v>
      </c>
      <c r="J245" s="601">
        <v>0.7621</v>
      </c>
      <c r="K245" s="601">
        <v>0.7621</v>
      </c>
      <c r="L245" s="601">
        <v>0.7621</v>
      </c>
      <c r="M245" s="601">
        <v>0.7621</v>
      </c>
    </row>
    <row r="246" spans="1:13">
      <c r="A246" s="602">
        <v>4</v>
      </c>
      <c r="B246" s="601">
        <v>0.89890000000000003</v>
      </c>
      <c r="C246" s="601">
        <v>0.89890000000000003</v>
      </c>
      <c r="D246" s="601">
        <v>0.89</v>
      </c>
      <c r="E246" s="601">
        <v>0.89</v>
      </c>
      <c r="F246" s="601">
        <v>0.89</v>
      </c>
      <c r="G246" s="601">
        <v>0.89</v>
      </c>
      <c r="H246" s="601">
        <v>0.89</v>
      </c>
      <c r="I246" s="601">
        <v>0.7571</v>
      </c>
      <c r="J246" s="601">
        <v>0.7571</v>
      </c>
      <c r="K246" s="601">
        <v>0.7571</v>
      </c>
      <c r="L246" s="601">
        <v>0.7571</v>
      </c>
      <c r="M246" s="601">
        <v>0.7571</v>
      </c>
    </row>
    <row r="247" spans="1:13">
      <c r="A247" s="602">
        <v>4.0999999999999996</v>
      </c>
      <c r="B247" s="601">
        <v>0.89480000000000004</v>
      </c>
      <c r="C247" s="601">
        <v>0.89480000000000004</v>
      </c>
      <c r="D247" s="601">
        <v>0.88539999999999996</v>
      </c>
      <c r="E247" s="601">
        <v>0.88539999999999996</v>
      </c>
      <c r="F247" s="601">
        <v>0.88539999999999996</v>
      </c>
      <c r="G247" s="601">
        <v>0.88539999999999996</v>
      </c>
      <c r="H247" s="601">
        <v>0.88539999999999996</v>
      </c>
      <c r="I247" s="601">
        <v>0.75229999999999997</v>
      </c>
      <c r="J247" s="601">
        <v>0.75229999999999997</v>
      </c>
      <c r="K247" s="601">
        <v>0.75229999999999997</v>
      </c>
      <c r="L247" s="601">
        <v>0.75229999999999997</v>
      </c>
      <c r="M247" s="601">
        <v>0.75229999999999997</v>
      </c>
    </row>
    <row r="248" spans="1:13">
      <c r="A248" s="602">
        <v>4.2</v>
      </c>
      <c r="B248" s="601">
        <v>0.89100000000000001</v>
      </c>
      <c r="C248" s="601">
        <v>0.89100000000000001</v>
      </c>
      <c r="D248" s="601">
        <v>0.88109999999999999</v>
      </c>
      <c r="E248" s="601">
        <v>0.88109999999999999</v>
      </c>
      <c r="F248" s="601">
        <v>0.88109999999999999</v>
      </c>
      <c r="G248" s="601">
        <v>0.88109999999999999</v>
      </c>
      <c r="H248" s="601">
        <v>0.88109999999999999</v>
      </c>
      <c r="I248" s="601">
        <v>0.74780000000000002</v>
      </c>
      <c r="J248" s="601">
        <v>0.74780000000000002</v>
      </c>
      <c r="K248" s="601">
        <v>0.74780000000000002</v>
      </c>
      <c r="L248" s="601">
        <v>0.74780000000000002</v>
      </c>
      <c r="M248" s="601">
        <v>0.74780000000000002</v>
      </c>
    </row>
    <row r="249" spans="1:13">
      <c r="A249" s="602">
        <v>4.3</v>
      </c>
      <c r="B249" s="601">
        <v>0.88739999999999997</v>
      </c>
      <c r="C249" s="601">
        <v>0.88739999999999997</v>
      </c>
      <c r="D249" s="601">
        <v>0.877</v>
      </c>
      <c r="E249" s="601">
        <v>0.877</v>
      </c>
      <c r="F249" s="601">
        <v>0.877</v>
      </c>
      <c r="G249" s="601">
        <v>0.877</v>
      </c>
      <c r="H249" s="601">
        <v>0.877</v>
      </c>
      <c r="I249" s="601">
        <v>0.74329999999999996</v>
      </c>
      <c r="J249" s="601">
        <v>0.74329999999999996</v>
      </c>
      <c r="K249" s="601">
        <v>0.74329999999999996</v>
      </c>
      <c r="L249" s="601">
        <v>0.74329999999999996</v>
      </c>
      <c r="M249" s="601">
        <v>0.74329999999999996</v>
      </c>
    </row>
    <row r="250" spans="1:13">
      <c r="A250" s="602">
        <v>4.4000000000000004</v>
      </c>
      <c r="B250" s="601">
        <v>0.88400000000000001</v>
      </c>
      <c r="C250" s="601">
        <v>0.88400000000000001</v>
      </c>
      <c r="D250" s="601">
        <v>0.87309999999999999</v>
      </c>
      <c r="E250" s="601">
        <v>0.87309999999999999</v>
      </c>
      <c r="F250" s="601">
        <v>0.87309999999999999</v>
      </c>
      <c r="G250" s="601">
        <v>0.87309999999999999</v>
      </c>
      <c r="H250" s="601">
        <v>0.87309999999999999</v>
      </c>
      <c r="I250" s="601">
        <v>0.73909999999999998</v>
      </c>
      <c r="J250" s="601">
        <v>0.73909999999999998</v>
      </c>
      <c r="K250" s="601">
        <v>0.73909999999999998</v>
      </c>
      <c r="L250" s="601">
        <v>0.73909999999999998</v>
      </c>
      <c r="M250" s="601">
        <v>0.73909999999999998</v>
      </c>
    </row>
    <row r="251" spans="1:13">
      <c r="A251" s="602">
        <v>4.5</v>
      </c>
      <c r="B251" s="601">
        <v>0.88080000000000003</v>
      </c>
      <c r="C251" s="601">
        <v>0.88080000000000003</v>
      </c>
      <c r="D251" s="601">
        <v>0.86939999999999995</v>
      </c>
      <c r="E251" s="601">
        <v>0.86939999999999995</v>
      </c>
      <c r="F251" s="601">
        <v>0.86939999999999995</v>
      </c>
      <c r="G251" s="601">
        <v>0.86939999999999995</v>
      </c>
      <c r="H251" s="601">
        <v>0.86939999999999995</v>
      </c>
      <c r="I251" s="601">
        <v>0.73499999999999999</v>
      </c>
      <c r="J251" s="601">
        <v>0.73499999999999999</v>
      </c>
      <c r="K251" s="601">
        <v>0.73499999999999999</v>
      </c>
      <c r="L251" s="601">
        <v>0.73499999999999999</v>
      </c>
      <c r="M251" s="601">
        <v>0.73499999999999999</v>
      </c>
    </row>
    <row r="252" spans="1:13">
      <c r="A252" s="602">
        <v>4.5999999999999996</v>
      </c>
      <c r="B252" s="601">
        <v>0.87780000000000002</v>
      </c>
      <c r="C252" s="601">
        <v>0.87780000000000002</v>
      </c>
      <c r="D252" s="601">
        <v>0.8659</v>
      </c>
      <c r="E252" s="601">
        <v>0.8659</v>
      </c>
      <c r="F252" s="601">
        <v>0.8659</v>
      </c>
      <c r="G252" s="601">
        <v>0.8659</v>
      </c>
      <c r="H252" s="601">
        <v>0.8659</v>
      </c>
      <c r="I252" s="601">
        <v>0.73109999999999997</v>
      </c>
      <c r="J252" s="601">
        <v>0.73109999999999997</v>
      </c>
      <c r="K252" s="601">
        <v>0.73109999999999997</v>
      </c>
      <c r="L252" s="601">
        <v>0.73109999999999997</v>
      </c>
      <c r="M252" s="601">
        <v>0.73109999999999997</v>
      </c>
    </row>
    <row r="253" spans="1:13">
      <c r="A253" s="602">
        <v>4.7</v>
      </c>
      <c r="B253" s="601">
        <v>0.875</v>
      </c>
      <c r="C253" s="601">
        <v>0.875</v>
      </c>
      <c r="D253" s="601">
        <v>0.86260000000000003</v>
      </c>
      <c r="E253" s="601">
        <v>0.86260000000000003</v>
      </c>
      <c r="F253" s="601">
        <v>0.86260000000000003</v>
      </c>
      <c r="G253" s="601">
        <v>0.86260000000000003</v>
      </c>
      <c r="H253" s="601">
        <v>0.86260000000000003</v>
      </c>
      <c r="I253" s="601">
        <v>0.72750000000000004</v>
      </c>
      <c r="J253" s="601">
        <v>0.72750000000000004</v>
      </c>
      <c r="K253" s="601">
        <v>0.72750000000000004</v>
      </c>
      <c r="L253" s="601">
        <v>0.72750000000000004</v>
      </c>
      <c r="M253" s="601">
        <v>0.72750000000000004</v>
      </c>
    </row>
    <row r="254" spans="1:13">
      <c r="A254" s="602">
        <v>4.8</v>
      </c>
      <c r="B254" s="601">
        <v>0.87229999999999996</v>
      </c>
      <c r="C254" s="601">
        <v>0.87229999999999996</v>
      </c>
      <c r="D254" s="601">
        <v>0.85950000000000004</v>
      </c>
      <c r="E254" s="601">
        <v>0.85950000000000004</v>
      </c>
      <c r="F254" s="601">
        <v>0.85950000000000004</v>
      </c>
      <c r="G254" s="601">
        <v>0.85950000000000004</v>
      </c>
      <c r="H254" s="601">
        <v>0.85950000000000004</v>
      </c>
      <c r="I254" s="601">
        <v>0.72399999999999998</v>
      </c>
      <c r="J254" s="601">
        <v>0.72399999999999998</v>
      </c>
      <c r="K254" s="601">
        <v>0.72399999999999998</v>
      </c>
      <c r="L254" s="601">
        <v>0.72399999999999998</v>
      </c>
      <c r="M254" s="601">
        <v>0.72399999999999998</v>
      </c>
    </row>
    <row r="255" spans="1:13">
      <c r="A255" s="602">
        <v>4.9000000000000004</v>
      </c>
      <c r="B255" s="601">
        <v>0.86980000000000002</v>
      </c>
      <c r="C255" s="601">
        <v>0.86980000000000002</v>
      </c>
      <c r="D255" s="601">
        <v>0.85660000000000003</v>
      </c>
      <c r="E255" s="601">
        <v>0.85660000000000003</v>
      </c>
      <c r="F255" s="601">
        <v>0.85660000000000003</v>
      </c>
      <c r="G255" s="601">
        <v>0.85660000000000003</v>
      </c>
      <c r="H255" s="601">
        <v>0.85660000000000003</v>
      </c>
      <c r="I255" s="601">
        <v>0.7208</v>
      </c>
      <c r="J255" s="601">
        <v>0.7208</v>
      </c>
      <c r="K255" s="601">
        <v>0.7208</v>
      </c>
      <c r="L255" s="601">
        <v>0.7208</v>
      </c>
      <c r="M255" s="601">
        <v>0.7208</v>
      </c>
    </row>
    <row r="256" spans="1:13">
      <c r="A256" s="602">
        <v>5</v>
      </c>
      <c r="B256" s="601">
        <v>0.86739999999999995</v>
      </c>
      <c r="C256" s="601">
        <v>0.86739999999999995</v>
      </c>
      <c r="D256" s="601">
        <v>0.8538</v>
      </c>
      <c r="E256" s="601">
        <v>0.8538</v>
      </c>
      <c r="F256" s="601">
        <v>0.8538</v>
      </c>
      <c r="G256" s="601">
        <v>0.8538</v>
      </c>
      <c r="H256" s="601">
        <v>0.8538</v>
      </c>
      <c r="I256" s="601">
        <v>0.71760000000000002</v>
      </c>
      <c r="J256" s="601">
        <v>0.71760000000000002</v>
      </c>
      <c r="K256" s="601">
        <v>0.71760000000000002</v>
      </c>
      <c r="L256" s="601">
        <v>0.71760000000000002</v>
      </c>
      <c r="M256" s="601">
        <v>0.71760000000000002</v>
      </c>
    </row>
    <row r="257" spans="1:13">
      <c r="A257" s="598">
        <v>5.0999999999999996</v>
      </c>
      <c r="B257" s="601">
        <v>0.86519999999999997</v>
      </c>
      <c r="C257" s="601">
        <v>0.86519999999999997</v>
      </c>
      <c r="D257" s="601">
        <v>0.85109999999999997</v>
      </c>
      <c r="E257" s="601">
        <v>0.85109999999999997</v>
      </c>
      <c r="F257" s="601">
        <v>0.85109999999999997</v>
      </c>
      <c r="G257" s="601">
        <v>0.85109999999999997</v>
      </c>
      <c r="H257" s="601">
        <v>0.85109999999999997</v>
      </c>
      <c r="I257" s="601">
        <v>0.7147</v>
      </c>
      <c r="J257" s="601">
        <v>0.7147</v>
      </c>
      <c r="K257" s="601">
        <v>0.7147</v>
      </c>
      <c r="L257" s="601">
        <v>0.7147</v>
      </c>
      <c r="M257" s="601">
        <v>0.7147</v>
      </c>
    </row>
    <row r="258" spans="1:13">
      <c r="A258" s="598">
        <v>5.2</v>
      </c>
      <c r="B258" s="601">
        <v>0.86309999999999998</v>
      </c>
      <c r="C258" s="601">
        <v>0.86309999999999998</v>
      </c>
      <c r="D258" s="601">
        <v>0.84860000000000002</v>
      </c>
      <c r="E258" s="601">
        <v>0.84860000000000002</v>
      </c>
      <c r="F258" s="601">
        <v>0.84860000000000002</v>
      </c>
      <c r="G258" s="601">
        <v>0.84860000000000002</v>
      </c>
      <c r="H258" s="601">
        <v>0.84860000000000002</v>
      </c>
      <c r="I258" s="601">
        <v>0.71189999999999998</v>
      </c>
      <c r="J258" s="601">
        <v>0.71189999999999998</v>
      </c>
      <c r="K258" s="601">
        <v>0.71189999999999998</v>
      </c>
      <c r="L258" s="601">
        <v>0.71189999999999998</v>
      </c>
      <c r="M258" s="601">
        <v>0.71189999999999998</v>
      </c>
    </row>
    <row r="259" spans="1:13">
      <c r="A259" s="598">
        <v>5.3</v>
      </c>
      <c r="B259" s="601">
        <v>0.86119999999999997</v>
      </c>
      <c r="C259" s="601">
        <v>0.86119999999999997</v>
      </c>
      <c r="D259" s="601">
        <v>0.84619999999999995</v>
      </c>
      <c r="E259" s="601">
        <v>0.84619999999999995</v>
      </c>
      <c r="F259" s="601">
        <v>0.84619999999999995</v>
      </c>
      <c r="G259" s="601">
        <v>0.84619999999999995</v>
      </c>
      <c r="H259" s="601">
        <v>0.84619999999999995</v>
      </c>
      <c r="I259" s="601">
        <v>0.70909999999999995</v>
      </c>
      <c r="J259" s="601">
        <v>0.70909999999999995</v>
      </c>
      <c r="K259" s="601">
        <v>0.70909999999999995</v>
      </c>
      <c r="L259" s="601">
        <v>0.70909999999999995</v>
      </c>
      <c r="M259" s="601">
        <v>0.70909999999999995</v>
      </c>
    </row>
    <row r="260" spans="1:13">
      <c r="A260" s="598">
        <v>5.4</v>
      </c>
      <c r="B260" s="601">
        <v>0.85940000000000005</v>
      </c>
      <c r="C260" s="601">
        <v>0.85940000000000005</v>
      </c>
      <c r="D260" s="601">
        <v>0.84389999999999998</v>
      </c>
      <c r="E260" s="601">
        <v>0.84389999999999998</v>
      </c>
      <c r="F260" s="601">
        <v>0.84389999999999998</v>
      </c>
      <c r="G260" s="601">
        <v>0.84389999999999998</v>
      </c>
      <c r="H260" s="601">
        <v>0.84389999999999998</v>
      </c>
      <c r="I260" s="601">
        <v>0.70650000000000002</v>
      </c>
      <c r="J260" s="601">
        <v>0.70650000000000002</v>
      </c>
      <c r="K260" s="601">
        <v>0.70650000000000002</v>
      </c>
      <c r="L260" s="601">
        <v>0.70650000000000002</v>
      </c>
      <c r="M260" s="601">
        <v>0.70650000000000002</v>
      </c>
    </row>
    <row r="261" spans="1:13">
      <c r="A261" s="598">
        <v>5.5</v>
      </c>
      <c r="B261" s="601">
        <v>0.85770000000000002</v>
      </c>
      <c r="C261" s="601">
        <v>0.85770000000000002</v>
      </c>
      <c r="D261" s="601">
        <v>0.84179999999999999</v>
      </c>
      <c r="E261" s="601">
        <v>0.84179999999999999</v>
      </c>
      <c r="F261" s="601">
        <v>0.84179999999999999</v>
      </c>
      <c r="G261" s="601">
        <v>0.84179999999999999</v>
      </c>
      <c r="H261" s="601">
        <v>0.84179999999999999</v>
      </c>
      <c r="I261" s="601">
        <v>0.70399999999999996</v>
      </c>
      <c r="J261" s="601">
        <v>0.70399999999999996</v>
      </c>
      <c r="K261" s="601">
        <v>0.70399999999999996</v>
      </c>
      <c r="L261" s="601">
        <v>0.70399999999999996</v>
      </c>
      <c r="M261" s="601">
        <v>0.70399999999999996</v>
      </c>
    </row>
    <row r="262" spans="1:13">
      <c r="A262" s="598">
        <v>5.6</v>
      </c>
      <c r="B262" s="601">
        <v>0.85599999999999998</v>
      </c>
      <c r="C262" s="601">
        <v>0.85599999999999998</v>
      </c>
      <c r="D262" s="601">
        <v>0.83979999999999999</v>
      </c>
      <c r="E262" s="601">
        <v>0.83979999999999999</v>
      </c>
      <c r="F262" s="601">
        <v>0.83979999999999999</v>
      </c>
      <c r="G262" s="601">
        <v>0.83979999999999999</v>
      </c>
      <c r="H262" s="601">
        <v>0.83979999999999999</v>
      </c>
      <c r="I262" s="601">
        <v>0.7016</v>
      </c>
      <c r="J262" s="601">
        <v>0.7016</v>
      </c>
      <c r="K262" s="601">
        <v>0.7016</v>
      </c>
      <c r="L262" s="601">
        <v>0.7016</v>
      </c>
      <c r="M262" s="601">
        <v>0.7016</v>
      </c>
    </row>
    <row r="263" spans="1:13">
      <c r="A263" s="602">
        <v>5.7</v>
      </c>
      <c r="B263" s="601">
        <v>0.85440000000000005</v>
      </c>
      <c r="C263" s="601">
        <v>0.85440000000000005</v>
      </c>
      <c r="D263" s="601">
        <v>0.83789999999999998</v>
      </c>
      <c r="E263" s="601">
        <v>0.83789999999999998</v>
      </c>
      <c r="F263" s="601">
        <v>0.83789999999999998</v>
      </c>
      <c r="G263" s="601">
        <v>0.83789999999999998</v>
      </c>
      <c r="H263" s="601">
        <v>0.83789999999999998</v>
      </c>
      <c r="I263" s="601">
        <v>0.69940000000000002</v>
      </c>
      <c r="J263" s="601">
        <v>0.69940000000000002</v>
      </c>
      <c r="K263" s="601">
        <v>0.69940000000000002</v>
      </c>
      <c r="L263" s="601">
        <v>0.69940000000000002</v>
      </c>
      <c r="M263" s="601">
        <v>0.69940000000000002</v>
      </c>
    </row>
    <row r="264" spans="1:13">
      <c r="A264" s="598">
        <v>5.8</v>
      </c>
      <c r="B264" s="601">
        <v>0.85289999999999999</v>
      </c>
      <c r="C264" s="601">
        <v>0.85289999999999999</v>
      </c>
      <c r="D264" s="601">
        <v>0.83599999999999997</v>
      </c>
      <c r="E264" s="601">
        <v>0.83599999999999997</v>
      </c>
      <c r="F264" s="601">
        <v>0.83599999999999997</v>
      </c>
      <c r="G264" s="601">
        <v>0.83599999999999997</v>
      </c>
      <c r="H264" s="601">
        <v>0.83599999999999997</v>
      </c>
      <c r="I264" s="601">
        <v>0.69720000000000004</v>
      </c>
      <c r="J264" s="601">
        <v>0.69720000000000004</v>
      </c>
      <c r="K264" s="601">
        <v>0.69720000000000004</v>
      </c>
      <c r="L264" s="601">
        <v>0.69720000000000004</v>
      </c>
      <c r="M264" s="601">
        <v>0.69720000000000004</v>
      </c>
    </row>
    <row r="265" spans="1:13">
      <c r="A265" s="598">
        <v>5.9</v>
      </c>
      <c r="B265" s="601">
        <v>0.85150000000000003</v>
      </c>
      <c r="C265" s="601">
        <v>0.85150000000000003</v>
      </c>
      <c r="D265" s="601">
        <v>0.83430000000000004</v>
      </c>
      <c r="E265" s="601">
        <v>0.83430000000000004</v>
      </c>
      <c r="F265" s="601">
        <v>0.83430000000000004</v>
      </c>
      <c r="G265" s="601">
        <v>0.83430000000000004</v>
      </c>
      <c r="H265" s="601">
        <v>0.83430000000000004</v>
      </c>
      <c r="I265" s="601">
        <v>0.69520000000000004</v>
      </c>
      <c r="J265" s="601">
        <v>0.69520000000000004</v>
      </c>
      <c r="K265" s="601">
        <v>0.69520000000000004</v>
      </c>
      <c r="L265" s="601">
        <v>0.69520000000000004</v>
      </c>
      <c r="M265" s="601">
        <v>0.69520000000000004</v>
      </c>
    </row>
    <row r="266" spans="1:13">
      <c r="A266" s="598">
        <v>6</v>
      </c>
      <c r="B266" s="601">
        <v>0.85019999999999996</v>
      </c>
      <c r="C266" s="601">
        <v>0.85019999999999996</v>
      </c>
      <c r="D266" s="601">
        <v>0.8327</v>
      </c>
      <c r="E266" s="601">
        <v>0.8327</v>
      </c>
      <c r="F266" s="601">
        <v>0.8327</v>
      </c>
      <c r="G266" s="601">
        <v>0.8327</v>
      </c>
      <c r="H266" s="601">
        <v>0.8327</v>
      </c>
      <c r="I266" s="601">
        <v>0.69320000000000004</v>
      </c>
      <c r="J266" s="601">
        <v>0.69320000000000004</v>
      </c>
      <c r="K266" s="601">
        <v>0.69320000000000004</v>
      </c>
      <c r="L266" s="601">
        <v>0.69320000000000004</v>
      </c>
      <c r="M266" s="601">
        <v>0.69320000000000004</v>
      </c>
    </row>
    <row r="267" spans="1:13">
      <c r="A267" s="598">
        <v>6.1</v>
      </c>
      <c r="B267" s="601">
        <v>0.84899999999999998</v>
      </c>
      <c r="C267" s="601">
        <v>0.84899999999999998</v>
      </c>
      <c r="D267" s="601">
        <v>0.83109999999999995</v>
      </c>
      <c r="E267" s="601">
        <v>0.83109999999999995</v>
      </c>
      <c r="F267" s="601">
        <v>0.83109999999999995</v>
      </c>
      <c r="G267" s="601">
        <v>0.83109999999999995</v>
      </c>
      <c r="H267" s="601">
        <v>0.83109999999999995</v>
      </c>
      <c r="I267" s="601">
        <v>0.69130000000000003</v>
      </c>
      <c r="J267" s="601">
        <v>0.69130000000000003</v>
      </c>
      <c r="K267" s="601">
        <v>0.69130000000000003</v>
      </c>
      <c r="L267" s="601">
        <v>0.69130000000000003</v>
      </c>
      <c r="M267" s="601">
        <v>0.69130000000000003</v>
      </c>
    </row>
    <row r="268" spans="1:13">
      <c r="A268" s="598">
        <v>6.2</v>
      </c>
      <c r="B268" s="601">
        <v>0.8478</v>
      </c>
      <c r="C268" s="601">
        <v>0.8478</v>
      </c>
      <c r="D268" s="601">
        <v>0.8296</v>
      </c>
      <c r="E268" s="601">
        <v>0.8296</v>
      </c>
      <c r="F268" s="601">
        <v>0.8296</v>
      </c>
      <c r="G268" s="601">
        <v>0.8296</v>
      </c>
      <c r="H268" s="601">
        <v>0.8296</v>
      </c>
      <c r="I268" s="601">
        <v>0.68940000000000001</v>
      </c>
      <c r="J268" s="601">
        <v>0.68940000000000001</v>
      </c>
      <c r="K268" s="601">
        <v>0.68940000000000001</v>
      </c>
      <c r="L268" s="601">
        <v>0.68940000000000001</v>
      </c>
      <c r="M268" s="601">
        <v>0.68940000000000001</v>
      </c>
    </row>
    <row r="269" spans="1:13">
      <c r="A269" s="598">
        <v>6.3</v>
      </c>
      <c r="B269" s="601">
        <v>0.84670000000000001</v>
      </c>
      <c r="C269" s="601">
        <v>0.84670000000000001</v>
      </c>
      <c r="D269" s="601">
        <v>0.82820000000000005</v>
      </c>
      <c r="E269" s="601">
        <v>0.82820000000000005</v>
      </c>
      <c r="F269" s="601">
        <v>0.82820000000000005</v>
      </c>
      <c r="G269" s="601">
        <v>0.82820000000000005</v>
      </c>
      <c r="H269" s="601">
        <v>0.82820000000000005</v>
      </c>
      <c r="I269" s="601">
        <v>0.68769999999999998</v>
      </c>
      <c r="J269" s="601">
        <v>0.68769999999999998</v>
      </c>
      <c r="K269" s="601">
        <v>0.68769999999999998</v>
      </c>
      <c r="L269" s="601">
        <v>0.68769999999999998</v>
      </c>
      <c r="M269" s="601">
        <v>0.68769999999999998</v>
      </c>
    </row>
    <row r="270" spans="1:13">
      <c r="A270" s="598">
        <v>6.4</v>
      </c>
      <c r="B270" s="601">
        <v>0.84570000000000001</v>
      </c>
      <c r="C270" s="601">
        <v>0.84570000000000001</v>
      </c>
      <c r="D270" s="601">
        <v>0.82689999999999997</v>
      </c>
      <c r="E270" s="601">
        <v>0.82689999999999997</v>
      </c>
      <c r="F270" s="601">
        <v>0.82689999999999997</v>
      </c>
      <c r="G270" s="601">
        <v>0.82689999999999997</v>
      </c>
      <c r="H270" s="601">
        <v>0.82689999999999997</v>
      </c>
      <c r="I270" s="601">
        <v>0.68610000000000004</v>
      </c>
      <c r="J270" s="601">
        <v>0.68610000000000004</v>
      </c>
      <c r="K270" s="601">
        <v>0.68610000000000004</v>
      </c>
      <c r="L270" s="601">
        <v>0.68610000000000004</v>
      </c>
      <c r="M270" s="601">
        <v>0.68610000000000004</v>
      </c>
    </row>
    <row r="271" spans="1:13">
      <c r="A271" s="598">
        <v>6.5</v>
      </c>
      <c r="B271" s="601">
        <v>0.84470000000000001</v>
      </c>
      <c r="C271" s="601">
        <v>0.84470000000000001</v>
      </c>
      <c r="D271" s="601">
        <v>0.82569999999999999</v>
      </c>
      <c r="E271" s="601">
        <v>0.82569999999999999</v>
      </c>
      <c r="F271" s="601">
        <v>0.82569999999999999</v>
      </c>
      <c r="G271" s="601">
        <v>0.82569999999999999</v>
      </c>
      <c r="H271" s="601">
        <v>0.82569999999999999</v>
      </c>
      <c r="I271" s="601">
        <v>0.68440000000000001</v>
      </c>
      <c r="J271" s="601">
        <v>0.68440000000000001</v>
      </c>
      <c r="K271" s="601">
        <v>0.68440000000000001</v>
      </c>
      <c r="L271" s="601">
        <v>0.68440000000000001</v>
      </c>
      <c r="M271" s="601">
        <v>0.68440000000000001</v>
      </c>
    </row>
    <row r="272" spans="1:13">
      <c r="A272" s="598">
        <v>6.6</v>
      </c>
      <c r="B272" s="601">
        <v>0.84370000000000001</v>
      </c>
      <c r="C272" s="601">
        <v>0.84370000000000001</v>
      </c>
      <c r="D272" s="601">
        <v>0.82450000000000001</v>
      </c>
      <c r="E272" s="601">
        <v>0.82450000000000001</v>
      </c>
      <c r="F272" s="601">
        <v>0.82450000000000001</v>
      </c>
      <c r="G272" s="601">
        <v>0.82450000000000001</v>
      </c>
      <c r="H272" s="601">
        <v>0.82450000000000001</v>
      </c>
      <c r="I272" s="601">
        <v>0.68289999999999995</v>
      </c>
      <c r="J272" s="601">
        <v>0.68289999999999995</v>
      </c>
      <c r="K272" s="601">
        <v>0.68289999999999995</v>
      </c>
      <c r="L272" s="601">
        <v>0.68289999999999995</v>
      </c>
      <c r="M272" s="601">
        <v>0.68289999999999995</v>
      </c>
    </row>
    <row r="273" spans="1:13">
      <c r="A273" s="598">
        <v>6.7</v>
      </c>
      <c r="B273" s="601">
        <v>0.8427</v>
      </c>
      <c r="C273" s="601">
        <v>0.8427</v>
      </c>
      <c r="D273" s="601">
        <v>0.82330000000000003</v>
      </c>
      <c r="E273" s="601">
        <v>0.82330000000000003</v>
      </c>
      <c r="F273" s="601">
        <v>0.82330000000000003</v>
      </c>
      <c r="G273" s="601">
        <v>0.82330000000000003</v>
      </c>
      <c r="H273" s="601">
        <v>0.82330000000000003</v>
      </c>
      <c r="I273" s="601">
        <v>0.68130000000000002</v>
      </c>
      <c r="J273" s="601">
        <v>0.68130000000000002</v>
      </c>
      <c r="K273" s="601">
        <v>0.68130000000000002</v>
      </c>
      <c r="L273" s="601">
        <v>0.68130000000000002</v>
      </c>
      <c r="M273" s="601">
        <v>0.68130000000000002</v>
      </c>
    </row>
    <row r="274" spans="1:13">
      <c r="A274" s="598">
        <v>6.8</v>
      </c>
      <c r="B274" s="601">
        <v>0.84179999999999999</v>
      </c>
      <c r="C274" s="601">
        <v>0.84179999999999999</v>
      </c>
      <c r="D274" s="601">
        <v>0.82210000000000005</v>
      </c>
      <c r="E274" s="601">
        <v>0.82210000000000005</v>
      </c>
      <c r="F274" s="601">
        <v>0.82210000000000005</v>
      </c>
      <c r="G274" s="601">
        <v>0.82210000000000005</v>
      </c>
      <c r="H274" s="601">
        <v>0.82210000000000005</v>
      </c>
      <c r="I274" s="601">
        <v>0.67979999999999996</v>
      </c>
      <c r="J274" s="601">
        <v>0.67979999999999996</v>
      </c>
      <c r="K274" s="601">
        <v>0.67979999999999996</v>
      </c>
      <c r="L274" s="601">
        <v>0.67979999999999996</v>
      </c>
      <c r="M274" s="601">
        <v>0.67979999999999996</v>
      </c>
    </row>
    <row r="275" spans="1:13">
      <c r="A275" s="598">
        <v>6.9</v>
      </c>
      <c r="B275" s="601">
        <v>0.84089999999999998</v>
      </c>
      <c r="C275" s="601">
        <v>0.84089999999999998</v>
      </c>
      <c r="D275" s="601">
        <v>0.82099999999999995</v>
      </c>
      <c r="E275" s="601">
        <v>0.82099999999999995</v>
      </c>
      <c r="F275" s="601">
        <v>0.82099999999999995</v>
      </c>
      <c r="G275" s="601">
        <v>0.82099999999999995</v>
      </c>
      <c r="H275" s="601">
        <v>0.82099999999999995</v>
      </c>
      <c r="I275" s="601">
        <v>0.67849999999999999</v>
      </c>
      <c r="J275" s="601">
        <v>0.67849999999999999</v>
      </c>
      <c r="K275" s="601">
        <v>0.67849999999999999</v>
      </c>
      <c r="L275" s="601">
        <v>0.67849999999999999</v>
      </c>
      <c r="M275" s="601">
        <v>0.67849999999999999</v>
      </c>
    </row>
    <row r="276" spans="1:13">
      <c r="A276" s="598">
        <v>7</v>
      </c>
      <c r="B276" s="601">
        <v>0.84009999999999996</v>
      </c>
      <c r="C276" s="601">
        <v>0.84009999999999996</v>
      </c>
      <c r="D276" s="601">
        <v>0.81989999999999996</v>
      </c>
      <c r="E276" s="601">
        <v>0.81989999999999996</v>
      </c>
      <c r="F276" s="601">
        <v>0.81989999999999996</v>
      </c>
      <c r="G276" s="601">
        <v>0.81989999999999996</v>
      </c>
      <c r="H276" s="601">
        <v>0.81989999999999996</v>
      </c>
      <c r="I276" s="601">
        <v>0.67720000000000002</v>
      </c>
      <c r="J276" s="601">
        <v>0.67720000000000002</v>
      </c>
      <c r="K276" s="601">
        <v>0.67720000000000002</v>
      </c>
      <c r="L276" s="601">
        <v>0.67720000000000002</v>
      </c>
      <c r="M276" s="601">
        <v>0.67720000000000002</v>
      </c>
    </row>
    <row r="277" spans="1:13">
      <c r="A277" s="598">
        <v>7.1</v>
      </c>
      <c r="B277" s="601">
        <v>0.83930000000000005</v>
      </c>
      <c r="C277" s="601">
        <v>0.83930000000000005</v>
      </c>
      <c r="D277" s="601">
        <v>0.81889999999999996</v>
      </c>
      <c r="E277" s="601">
        <v>0.81889999999999996</v>
      </c>
      <c r="F277" s="601">
        <v>0.81889999999999996</v>
      </c>
      <c r="G277" s="601">
        <v>0.81889999999999996</v>
      </c>
      <c r="H277" s="601">
        <v>0.81889999999999996</v>
      </c>
      <c r="I277" s="601">
        <v>0.67589999999999995</v>
      </c>
      <c r="J277" s="601">
        <v>0.67589999999999995</v>
      </c>
      <c r="K277" s="601">
        <v>0.67589999999999995</v>
      </c>
      <c r="L277" s="601">
        <v>0.67589999999999995</v>
      </c>
      <c r="M277" s="601">
        <v>0.67589999999999995</v>
      </c>
    </row>
    <row r="278" spans="1:13">
      <c r="A278" s="598">
        <v>7.2</v>
      </c>
      <c r="B278" s="601">
        <v>0.83850000000000002</v>
      </c>
      <c r="C278" s="601">
        <v>0.83850000000000002</v>
      </c>
      <c r="D278" s="601">
        <v>0.81789999999999996</v>
      </c>
      <c r="E278" s="601">
        <v>0.81789999999999996</v>
      </c>
      <c r="F278" s="601">
        <v>0.81789999999999996</v>
      </c>
      <c r="G278" s="601">
        <v>0.81789999999999996</v>
      </c>
      <c r="H278" s="601">
        <v>0.81789999999999996</v>
      </c>
      <c r="I278" s="601">
        <v>0.67459999999999998</v>
      </c>
      <c r="J278" s="601">
        <v>0.67459999999999998</v>
      </c>
      <c r="K278" s="601">
        <v>0.67459999999999998</v>
      </c>
      <c r="L278" s="601">
        <v>0.67459999999999998</v>
      </c>
      <c r="M278" s="601">
        <v>0.67459999999999998</v>
      </c>
    </row>
    <row r="279" spans="1:13">
      <c r="A279" s="598">
        <v>7.3</v>
      </c>
      <c r="B279" s="601">
        <v>0.8377</v>
      </c>
      <c r="C279" s="601">
        <v>0.8377</v>
      </c>
      <c r="D279" s="601">
        <v>0.81689999999999996</v>
      </c>
      <c r="E279" s="601">
        <v>0.81689999999999996</v>
      </c>
      <c r="F279" s="601">
        <v>0.81689999999999996</v>
      </c>
      <c r="G279" s="601">
        <v>0.81689999999999996</v>
      </c>
      <c r="H279" s="601">
        <v>0.81689999999999996</v>
      </c>
      <c r="I279" s="601">
        <v>0.6734</v>
      </c>
      <c r="J279" s="601">
        <v>0.6734</v>
      </c>
      <c r="K279" s="601">
        <v>0.6734</v>
      </c>
      <c r="L279" s="601">
        <v>0.6734</v>
      </c>
      <c r="M279" s="601">
        <v>0.6734</v>
      </c>
    </row>
    <row r="280" spans="1:13">
      <c r="A280" s="598">
        <v>7.4</v>
      </c>
      <c r="B280" s="601">
        <v>0.83699999999999997</v>
      </c>
      <c r="C280" s="601">
        <v>0.83699999999999997</v>
      </c>
      <c r="D280" s="601">
        <v>0.81599999999999995</v>
      </c>
      <c r="E280" s="601">
        <v>0.81599999999999995</v>
      </c>
      <c r="F280" s="601">
        <v>0.81599999999999995</v>
      </c>
      <c r="G280" s="601">
        <v>0.81599999999999995</v>
      </c>
      <c r="H280" s="601">
        <v>0.81599999999999995</v>
      </c>
      <c r="I280" s="601">
        <v>0.67210000000000003</v>
      </c>
      <c r="J280" s="601">
        <v>0.67210000000000003</v>
      </c>
      <c r="K280" s="601">
        <v>0.67210000000000003</v>
      </c>
      <c r="L280" s="601">
        <v>0.67210000000000003</v>
      </c>
      <c r="M280" s="601">
        <v>0.67210000000000003</v>
      </c>
    </row>
    <row r="281" spans="1:13">
      <c r="A281" s="598">
        <v>7.5</v>
      </c>
      <c r="B281" s="601">
        <v>0.83630000000000004</v>
      </c>
      <c r="C281" s="601">
        <v>0.83630000000000004</v>
      </c>
      <c r="D281" s="601">
        <v>0.81510000000000005</v>
      </c>
      <c r="E281" s="601">
        <v>0.81510000000000005</v>
      </c>
      <c r="F281" s="601">
        <v>0.81510000000000005</v>
      </c>
      <c r="G281" s="601">
        <v>0.81510000000000005</v>
      </c>
      <c r="H281" s="601">
        <v>0.81510000000000005</v>
      </c>
      <c r="I281" s="601">
        <v>0.67090000000000005</v>
      </c>
      <c r="J281" s="601">
        <v>0.67090000000000005</v>
      </c>
      <c r="K281" s="601">
        <v>0.67090000000000005</v>
      </c>
      <c r="L281" s="601">
        <v>0.67090000000000005</v>
      </c>
      <c r="M281" s="601">
        <v>0.67090000000000005</v>
      </c>
    </row>
    <row r="282" spans="1:13">
      <c r="A282" s="598">
        <v>7.6</v>
      </c>
      <c r="B282" s="601">
        <v>0.83560000000000001</v>
      </c>
      <c r="C282" s="601">
        <v>0.83560000000000001</v>
      </c>
      <c r="D282" s="601">
        <v>0.81420000000000003</v>
      </c>
      <c r="E282" s="601">
        <v>0.81420000000000003</v>
      </c>
      <c r="F282" s="601">
        <v>0.81420000000000003</v>
      </c>
      <c r="G282" s="601">
        <v>0.81420000000000003</v>
      </c>
      <c r="H282" s="601">
        <v>0.81420000000000003</v>
      </c>
      <c r="I282" s="601">
        <v>0.66979999999999995</v>
      </c>
      <c r="J282" s="601">
        <v>0.66979999999999995</v>
      </c>
      <c r="K282" s="601">
        <v>0.66979999999999995</v>
      </c>
      <c r="L282" s="601">
        <v>0.66979999999999995</v>
      </c>
      <c r="M282" s="601">
        <v>0.66979999999999995</v>
      </c>
    </row>
    <row r="283" spans="1:13">
      <c r="A283" s="598">
        <v>7.7</v>
      </c>
      <c r="B283" s="601">
        <v>0.83489999999999998</v>
      </c>
      <c r="C283" s="601">
        <v>0.83489999999999998</v>
      </c>
      <c r="D283" s="601">
        <v>0.81330000000000002</v>
      </c>
      <c r="E283" s="601">
        <v>0.81330000000000002</v>
      </c>
      <c r="F283" s="601">
        <v>0.81330000000000002</v>
      </c>
      <c r="G283" s="601">
        <v>0.81330000000000002</v>
      </c>
      <c r="H283" s="601">
        <v>0.81330000000000002</v>
      </c>
      <c r="I283" s="601">
        <v>0.66869999999999996</v>
      </c>
      <c r="J283" s="601">
        <v>0.66869999999999996</v>
      </c>
      <c r="K283" s="601">
        <v>0.66869999999999996</v>
      </c>
      <c r="L283" s="601">
        <v>0.66869999999999996</v>
      </c>
      <c r="M283" s="601">
        <v>0.66869999999999996</v>
      </c>
    </row>
    <row r="284" spans="1:13">
      <c r="A284" s="598">
        <v>7.8</v>
      </c>
      <c r="B284" s="601">
        <v>0.83420000000000005</v>
      </c>
      <c r="C284" s="601">
        <v>0.83420000000000005</v>
      </c>
      <c r="D284" s="601">
        <v>0.81240000000000001</v>
      </c>
      <c r="E284" s="601">
        <v>0.81240000000000001</v>
      </c>
      <c r="F284" s="601">
        <v>0.81240000000000001</v>
      </c>
      <c r="G284" s="601">
        <v>0.81240000000000001</v>
      </c>
      <c r="H284" s="601">
        <v>0.81240000000000001</v>
      </c>
      <c r="I284" s="601">
        <v>0.66759999999999997</v>
      </c>
      <c r="J284" s="601">
        <v>0.66759999999999997</v>
      </c>
      <c r="K284" s="601">
        <v>0.66759999999999997</v>
      </c>
      <c r="L284" s="601">
        <v>0.66759999999999997</v>
      </c>
      <c r="M284" s="601">
        <v>0.66759999999999997</v>
      </c>
    </row>
    <row r="285" spans="1:13">
      <c r="A285" s="598">
        <v>7.9</v>
      </c>
      <c r="B285" s="601">
        <v>0.83350000000000002</v>
      </c>
      <c r="C285" s="601">
        <v>0.83350000000000002</v>
      </c>
      <c r="D285" s="601">
        <v>0.81159999999999999</v>
      </c>
      <c r="E285" s="601">
        <v>0.81159999999999999</v>
      </c>
      <c r="F285" s="601">
        <v>0.81159999999999999</v>
      </c>
      <c r="G285" s="601">
        <v>0.81159999999999999</v>
      </c>
      <c r="H285" s="601">
        <v>0.81159999999999999</v>
      </c>
      <c r="I285" s="601">
        <v>0.66649999999999998</v>
      </c>
      <c r="J285" s="601">
        <v>0.66649999999999998</v>
      </c>
      <c r="K285" s="601">
        <v>0.66649999999999998</v>
      </c>
      <c r="L285" s="601">
        <v>0.66649999999999998</v>
      </c>
      <c r="M285" s="601">
        <v>0.66649999999999998</v>
      </c>
    </row>
    <row r="286" spans="1:13">
      <c r="A286" s="598">
        <v>8</v>
      </c>
      <c r="B286" s="601">
        <v>0.83279999999999998</v>
      </c>
      <c r="C286" s="601">
        <v>0.83279999999999998</v>
      </c>
      <c r="D286" s="601">
        <v>0.81079999999999997</v>
      </c>
      <c r="E286" s="601">
        <v>0.81079999999999997</v>
      </c>
      <c r="F286" s="601">
        <v>0.81079999999999997</v>
      </c>
      <c r="G286" s="601">
        <v>0.81079999999999997</v>
      </c>
      <c r="H286" s="601">
        <v>0.81079999999999997</v>
      </c>
      <c r="I286" s="601">
        <v>0.66549999999999998</v>
      </c>
      <c r="J286" s="601">
        <v>0.66549999999999998</v>
      </c>
      <c r="K286" s="601">
        <v>0.66549999999999998</v>
      </c>
      <c r="L286" s="601">
        <v>0.66549999999999998</v>
      </c>
      <c r="M286" s="601">
        <v>0.66549999999999998</v>
      </c>
    </row>
    <row r="287" spans="1:13">
      <c r="A287" s="598">
        <v>8.1</v>
      </c>
      <c r="B287" s="601">
        <v>0.83220000000000005</v>
      </c>
      <c r="C287" s="601">
        <v>0.83220000000000005</v>
      </c>
      <c r="D287" s="601">
        <v>0.81</v>
      </c>
      <c r="E287" s="601">
        <v>0.81</v>
      </c>
      <c r="F287" s="601">
        <v>0.81</v>
      </c>
      <c r="G287" s="601">
        <v>0.81</v>
      </c>
      <c r="H287" s="601">
        <v>0.81</v>
      </c>
      <c r="I287" s="601">
        <v>0.66439999999999999</v>
      </c>
      <c r="J287" s="601">
        <v>0.66439999999999999</v>
      </c>
      <c r="K287" s="601">
        <v>0.66439999999999999</v>
      </c>
      <c r="L287" s="601">
        <v>0.66439999999999999</v>
      </c>
      <c r="M287" s="601">
        <v>0.66439999999999999</v>
      </c>
    </row>
    <row r="288" spans="1:13">
      <c r="A288" s="598">
        <v>8.1999999999999993</v>
      </c>
      <c r="B288" s="601">
        <v>0.83160000000000001</v>
      </c>
      <c r="C288" s="601">
        <v>0.83160000000000001</v>
      </c>
      <c r="D288" s="601">
        <v>0.80920000000000003</v>
      </c>
      <c r="E288" s="601">
        <v>0.80920000000000003</v>
      </c>
      <c r="F288" s="601">
        <v>0.80920000000000003</v>
      </c>
      <c r="G288" s="601">
        <v>0.80920000000000003</v>
      </c>
      <c r="H288" s="601">
        <v>0.80920000000000003</v>
      </c>
      <c r="I288" s="601">
        <v>0.66339999999999999</v>
      </c>
      <c r="J288" s="601">
        <v>0.66339999999999999</v>
      </c>
      <c r="K288" s="601">
        <v>0.66339999999999999</v>
      </c>
      <c r="L288" s="601">
        <v>0.66339999999999999</v>
      </c>
      <c r="M288" s="601">
        <v>0.66339999999999999</v>
      </c>
    </row>
    <row r="289" spans="1:13">
      <c r="A289" s="598">
        <v>8.3000000000000007</v>
      </c>
      <c r="B289" s="601">
        <v>0.83099999999999996</v>
      </c>
      <c r="C289" s="601">
        <v>0.83099999999999996</v>
      </c>
      <c r="D289" s="601">
        <v>0.80840000000000001</v>
      </c>
      <c r="E289" s="601">
        <v>0.80840000000000001</v>
      </c>
      <c r="F289" s="601">
        <v>0.80840000000000001</v>
      </c>
      <c r="G289" s="601">
        <v>0.80840000000000001</v>
      </c>
      <c r="H289" s="601">
        <v>0.80840000000000001</v>
      </c>
      <c r="I289" s="601">
        <v>0.66239999999999999</v>
      </c>
      <c r="J289" s="601">
        <v>0.66239999999999999</v>
      </c>
      <c r="K289" s="601">
        <v>0.66239999999999999</v>
      </c>
      <c r="L289" s="601">
        <v>0.66239999999999999</v>
      </c>
      <c r="M289" s="601">
        <v>0.66239999999999999</v>
      </c>
    </row>
    <row r="290" spans="1:13">
      <c r="A290" s="598">
        <v>8.4</v>
      </c>
      <c r="B290" s="601">
        <v>0.83040000000000003</v>
      </c>
      <c r="C290" s="601">
        <v>0.83040000000000003</v>
      </c>
      <c r="D290" s="601">
        <v>0.80759999999999998</v>
      </c>
      <c r="E290" s="601">
        <v>0.80759999999999998</v>
      </c>
      <c r="F290" s="601">
        <v>0.80759999999999998</v>
      </c>
      <c r="G290" s="601">
        <v>0.80759999999999998</v>
      </c>
      <c r="H290" s="601">
        <v>0.80759999999999998</v>
      </c>
      <c r="I290" s="601">
        <v>0.66139999999999999</v>
      </c>
      <c r="J290" s="601">
        <v>0.66139999999999999</v>
      </c>
      <c r="K290" s="601">
        <v>0.66139999999999999</v>
      </c>
      <c r="L290" s="601">
        <v>0.66139999999999999</v>
      </c>
      <c r="M290" s="601">
        <v>0.66139999999999999</v>
      </c>
    </row>
    <row r="291" spans="1:13">
      <c r="A291" s="598">
        <v>8.5</v>
      </c>
      <c r="B291" s="601">
        <v>0.82979999999999998</v>
      </c>
      <c r="C291" s="601">
        <v>0.82979999999999998</v>
      </c>
      <c r="D291" s="601">
        <v>0.80679999999999996</v>
      </c>
      <c r="E291" s="601">
        <v>0.80679999999999996</v>
      </c>
      <c r="F291" s="601">
        <v>0.80679999999999996</v>
      </c>
      <c r="G291" s="601">
        <v>0.80679999999999996</v>
      </c>
      <c r="H291" s="601">
        <v>0.80679999999999996</v>
      </c>
      <c r="I291" s="601">
        <v>0.66049999999999998</v>
      </c>
      <c r="J291" s="601">
        <v>0.66049999999999998</v>
      </c>
      <c r="K291" s="601">
        <v>0.66049999999999998</v>
      </c>
      <c r="L291" s="601">
        <v>0.66049999999999998</v>
      </c>
      <c r="M291" s="601">
        <v>0.66049999999999998</v>
      </c>
    </row>
    <row r="292" spans="1:13">
      <c r="A292" s="598">
        <v>8.6</v>
      </c>
      <c r="B292" s="601">
        <v>0.82920000000000005</v>
      </c>
      <c r="C292" s="601">
        <v>0.82920000000000005</v>
      </c>
      <c r="D292" s="601">
        <v>0.80600000000000005</v>
      </c>
      <c r="E292" s="601">
        <v>0.80600000000000005</v>
      </c>
      <c r="F292" s="601">
        <v>0.80600000000000005</v>
      </c>
      <c r="G292" s="601">
        <v>0.80600000000000005</v>
      </c>
      <c r="H292" s="601">
        <v>0.80600000000000005</v>
      </c>
      <c r="I292" s="601">
        <v>0.65949999999999998</v>
      </c>
      <c r="J292" s="601">
        <v>0.65949999999999998</v>
      </c>
      <c r="K292" s="601">
        <v>0.65949999999999998</v>
      </c>
      <c r="L292" s="601">
        <v>0.65949999999999998</v>
      </c>
      <c r="M292" s="601">
        <v>0.65949999999999998</v>
      </c>
    </row>
    <row r="293" spans="1:13">
      <c r="A293" s="598">
        <v>8.6999999999999993</v>
      </c>
      <c r="B293" s="601">
        <v>0.8286</v>
      </c>
      <c r="C293" s="601">
        <v>0.8286</v>
      </c>
      <c r="D293" s="601">
        <v>0.80520000000000003</v>
      </c>
      <c r="E293" s="601">
        <v>0.80520000000000003</v>
      </c>
      <c r="F293" s="601">
        <v>0.80520000000000003</v>
      </c>
      <c r="G293" s="601">
        <v>0.80520000000000003</v>
      </c>
      <c r="H293" s="601">
        <v>0.80520000000000003</v>
      </c>
      <c r="I293" s="601">
        <v>0.65859999999999996</v>
      </c>
      <c r="J293" s="601">
        <v>0.65859999999999996</v>
      </c>
      <c r="K293" s="601">
        <v>0.65859999999999996</v>
      </c>
      <c r="L293" s="601">
        <v>0.65859999999999996</v>
      </c>
      <c r="M293" s="601">
        <v>0.65859999999999996</v>
      </c>
    </row>
    <row r="294" spans="1:13">
      <c r="A294" s="598">
        <v>8.8000000000000007</v>
      </c>
      <c r="B294" s="601">
        <v>0.82799999999999996</v>
      </c>
      <c r="C294" s="601">
        <v>0.82799999999999996</v>
      </c>
      <c r="D294" s="601">
        <v>0.8044</v>
      </c>
      <c r="E294" s="601">
        <v>0.8044</v>
      </c>
      <c r="F294" s="601">
        <v>0.8044</v>
      </c>
      <c r="G294" s="601">
        <v>0.8044</v>
      </c>
      <c r="H294" s="601">
        <v>0.8044</v>
      </c>
      <c r="I294" s="601">
        <v>0.65759999999999996</v>
      </c>
      <c r="J294" s="601">
        <v>0.65759999999999996</v>
      </c>
      <c r="K294" s="601">
        <v>0.65759999999999996</v>
      </c>
      <c r="L294" s="601">
        <v>0.65759999999999996</v>
      </c>
      <c r="M294" s="601">
        <v>0.65759999999999996</v>
      </c>
    </row>
    <row r="295" spans="1:13">
      <c r="A295" s="598">
        <v>8.9</v>
      </c>
      <c r="B295" s="601">
        <v>0.82740000000000002</v>
      </c>
      <c r="C295" s="601">
        <v>0.82740000000000002</v>
      </c>
      <c r="D295" s="601">
        <v>0.80359999999999998</v>
      </c>
      <c r="E295" s="601">
        <v>0.80359999999999998</v>
      </c>
      <c r="F295" s="601">
        <v>0.80359999999999998</v>
      </c>
      <c r="G295" s="601">
        <v>0.80359999999999998</v>
      </c>
      <c r="H295" s="601">
        <v>0.80359999999999998</v>
      </c>
      <c r="I295" s="601">
        <v>0.65669999999999995</v>
      </c>
      <c r="J295" s="601">
        <v>0.65669999999999995</v>
      </c>
      <c r="K295" s="601">
        <v>0.65669999999999995</v>
      </c>
      <c r="L295" s="601">
        <v>0.65669999999999995</v>
      </c>
      <c r="M295" s="601">
        <v>0.65669999999999995</v>
      </c>
    </row>
    <row r="296" spans="1:13">
      <c r="A296" s="602">
        <v>9</v>
      </c>
      <c r="B296" s="601">
        <v>0.82679999999999998</v>
      </c>
      <c r="C296" s="601">
        <v>0.82679999999999998</v>
      </c>
      <c r="D296" s="601">
        <v>0.80279999999999996</v>
      </c>
      <c r="E296" s="601">
        <v>0.80279999999999996</v>
      </c>
      <c r="F296" s="601">
        <v>0.80279999999999996</v>
      </c>
      <c r="G296" s="601">
        <v>0.80279999999999996</v>
      </c>
      <c r="H296" s="601">
        <v>0.80279999999999996</v>
      </c>
      <c r="I296" s="601">
        <v>0.65569999999999995</v>
      </c>
      <c r="J296" s="601">
        <v>0.65569999999999995</v>
      </c>
      <c r="K296" s="601">
        <v>0.65569999999999995</v>
      </c>
      <c r="L296" s="601">
        <v>0.65569999999999995</v>
      </c>
      <c r="M296" s="601">
        <v>0.65569999999999995</v>
      </c>
    </row>
    <row r="297" spans="1:13">
      <c r="A297" s="602">
        <v>9.1</v>
      </c>
      <c r="B297" s="601">
        <v>0.82620000000000005</v>
      </c>
      <c r="C297" s="601">
        <v>0.82620000000000005</v>
      </c>
      <c r="D297" s="601">
        <v>0.80200000000000005</v>
      </c>
      <c r="E297" s="601">
        <v>0.80200000000000005</v>
      </c>
      <c r="F297" s="601">
        <v>0.80200000000000005</v>
      </c>
      <c r="G297" s="601">
        <v>0.80200000000000005</v>
      </c>
      <c r="H297" s="601">
        <v>0.80200000000000005</v>
      </c>
      <c r="I297" s="601">
        <v>0.65480000000000005</v>
      </c>
      <c r="J297" s="601">
        <v>0.65480000000000005</v>
      </c>
      <c r="K297" s="601">
        <v>0.65480000000000005</v>
      </c>
      <c r="L297" s="601">
        <v>0.65480000000000005</v>
      </c>
      <c r="M297" s="601">
        <v>0.65480000000000005</v>
      </c>
    </row>
    <row r="298" spans="1:13">
      <c r="A298" s="602">
        <v>9.1999999999999993</v>
      </c>
      <c r="B298" s="601">
        <v>0.8256</v>
      </c>
      <c r="C298" s="601">
        <v>0.8256</v>
      </c>
      <c r="D298" s="601">
        <v>0.80120000000000002</v>
      </c>
      <c r="E298" s="601">
        <v>0.80120000000000002</v>
      </c>
      <c r="F298" s="601">
        <v>0.80120000000000002</v>
      </c>
      <c r="G298" s="601">
        <v>0.80120000000000002</v>
      </c>
      <c r="H298" s="601">
        <v>0.80120000000000002</v>
      </c>
      <c r="I298" s="601">
        <v>0.65380000000000005</v>
      </c>
      <c r="J298" s="601">
        <v>0.65380000000000005</v>
      </c>
      <c r="K298" s="601">
        <v>0.65380000000000005</v>
      </c>
      <c r="L298" s="601">
        <v>0.65380000000000005</v>
      </c>
      <c r="M298" s="601">
        <v>0.65380000000000005</v>
      </c>
    </row>
    <row r="299" spans="1:13">
      <c r="A299" s="602">
        <v>9.3000000000000007</v>
      </c>
      <c r="B299" s="601">
        <v>0.82499999999999996</v>
      </c>
      <c r="C299" s="601">
        <v>0.82499999999999996</v>
      </c>
      <c r="D299" s="601">
        <v>0.8004</v>
      </c>
      <c r="E299" s="601">
        <v>0.8004</v>
      </c>
      <c r="F299" s="601">
        <v>0.8004</v>
      </c>
      <c r="G299" s="601">
        <v>0.8004</v>
      </c>
      <c r="H299" s="601">
        <v>0.8004</v>
      </c>
      <c r="I299" s="601">
        <v>0.65290000000000004</v>
      </c>
      <c r="J299" s="601">
        <v>0.65290000000000004</v>
      </c>
      <c r="K299" s="601">
        <v>0.65290000000000004</v>
      </c>
      <c r="L299" s="601">
        <v>0.65290000000000004</v>
      </c>
      <c r="M299" s="601">
        <v>0.65290000000000004</v>
      </c>
    </row>
    <row r="300" spans="1:13">
      <c r="A300" s="602">
        <v>9.4</v>
      </c>
      <c r="B300" s="601">
        <v>0.82440000000000002</v>
      </c>
      <c r="C300" s="601">
        <v>0.82440000000000002</v>
      </c>
      <c r="D300" s="601">
        <v>0.79959999999999998</v>
      </c>
      <c r="E300" s="601">
        <v>0.79959999999999998</v>
      </c>
      <c r="F300" s="601">
        <v>0.79959999999999998</v>
      </c>
      <c r="G300" s="601">
        <v>0.79959999999999998</v>
      </c>
      <c r="H300" s="601">
        <v>0.79959999999999998</v>
      </c>
      <c r="I300" s="601">
        <v>0.65190000000000003</v>
      </c>
      <c r="J300" s="601">
        <v>0.65190000000000003</v>
      </c>
      <c r="K300" s="601">
        <v>0.65190000000000003</v>
      </c>
      <c r="L300" s="601">
        <v>0.65190000000000003</v>
      </c>
      <c r="M300" s="601">
        <v>0.65190000000000003</v>
      </c>
    </row>
    <row r="301" spans="1:13">
      <c r="A301" s="602">
        <v>9.5</v>
      </c>
      <c r="B301" s="601">
        <v>0.82379999999999998</v>
      </c>
      <c r="C301" s="601">
        <v>0.82379999999999998</v>
      </c>
      <c r="D301" s="601">
        <v>0.79879999999999995</v>
      </c>
      <c r="E301" s="601">
        <v>0.79879999999999995</v>
      </c>
      <c r="F301" s="601">
        <v>0.79879999999999995</v>
      </c>
      <c r="G301" s="601">
        <v>0.79879999999999995</v>
      </c>
      <c r="H301" s="601">
        <v>0.79879999999999995</v>
      </c>
      <c r="I301" s="601">
        <v>0.65100000000000002</v>
      </c>
      <c r="J301" s="601">
        <v>0.65100000000000002</v>
      </c>
      <c r="K301" s="601">
        <v>0.65100000000000002</v>
      </c>
      <c r="L301" s="601">
        <v>0.65100000000000002</v>
      </c>
      <c r="M301" s="601">
        <v>0.65100000000000002</v>
      </c>
    </row>
    <row r="302" spans="1:13">
      <c r="A302" s="602">
        <v>9.6</v>
      </c>
      <c r="B302" s="601">
        <v>0.82320000000000004</v>
      </c>
      <c r="C302" s="601">
        <v>0.82320000000000004</v>
      </c>
      <c r="D302" s="601">
        <v>0.79800000000000004</v>
      </c>
      <c r="E302" s="601">
        <v>0.79800000000000004</v>
      </c>
      <c r="F302" s="601">
        <v>0.79800000000000004</v>
      </c>
      <c r="G302" s="601">
        <v>0.79800000000000004</v>
      </c>
      <c r="H302" s="601">
        <v>0.79800000000000004</v>
      </c>
      <c r="I302" s="601">
        <v>0.65</v>
      </c>
      <c r="J302" s="601">
        <v>0.65</v>
      </c>
      <c r="K302" s="601">
        <v>0.65</v>
      </c>
      <c r="L302" s="601">
        <v>0.65</v>
      </c>
      <c r="M302" s="601">
        <v>0.65</v>
      </c>
    </row>
    <row r="303" spans="1:13">
      <c r="A303" s="602">
        <v>9.6999999999999993</v>
      </c>
      <c r="B303" s="601">
        <v>0.8226</v>
      </c>
      <c r="C303" s="601">
        <v>0.8226</v>
      </c>
      <c r="D303" s="601">
        <v>0.79720000000000002</v>
      </c>
      <c r="E303" s="601">
        <v>0.79720000000000002</v>
      </c>
      <c r="F303" s="601">
        <v>0.79720000000000002</v>
      </c>
      <c r="G303" s="601">
        <v>0.79720000000000002</v>
      </c>
      <c r="H303" s="601">
        <v>0.79720000000000002</v>
      </c>
      <c r="I303" s="601">
        <v>0.64900000000000002</v>
      </c>
      <c r="J303" s="601">
        <v>0.64900000000000002</v>
      </c>
      <c r="K303" s="601">
        <v>0.64900000000000002</v>
      </c>
      <c r="L303" s="601">
        <v>0.64900000000000002</v>
      </c>
      <c r="M303" s="601">
        <v>0.64900000000000002</v>
      </c>
    </row>
    <row r="304" spans="1:13">
      <c r="A304" s="602">
        <v>9.8000000000000007</v>
      </c>
      <c r="B304" s="601">
        <v>0.82199999999999995</v>
      </c>
      <c r="C304" s="601">
        <v>0.82199999999999995</v>
      </c>
      <c r="D304" s="601">
        <v>0.7964</v>
      </c>
      <c r="E304" s="601">
        <v>0.7964</v>
      </c>
      <c r="F304" s="601">
        <v>0.7964</v>
      </c>
      <c r="G304" s="601">
        <v>0.7964</v>
      </c>
      <c r="H304" s="601">
        <v>0.7964</v>
      </c>
      <c r="I304" s="601">
        <v>0.64810000000000001</v>
      </c>
      <c r="J304" s="601">
        <v>0.64810000000000001</v>
      </c>
      <c r="K304" s="601">
        <v>0.64810000000000001</v>
      </c>
      <c r="L304" s="601">
        <v>0.64810000000000001</v>
      </c>
      <c r="M304" s="601">
        <v>0.64810000000000001</v>
      </c>
    </row>
    <row r="305" spans="1:13">
      <c r="A305" s="602">
        <v>9.9</v>
      </c>
      <c r="B305" s="601">
        <v>0.82140000000000002</v>
      </c>
      <c r="C305" s="601">
        <v>0.82140000000000002</v>
      </c>
      <c r="D305" s="601">
        <v>0.79559999999999997</v>
      </c>
      <c r="E305" s="601">
        <v>0.79559999999999997</v>
      </c>
      <c r="F305" s="601">
        <v>0.79559999999999997</v>
      </c>
      <c r="G305" s="601">
        <v>0.79559999999999997</v>
      </c>
      <c r="H305" s="601">
        <v>0.79559999999999997</v>
      </c>
      <c r="I305" s="601">
        <v>0.64710000000000001</v>
      </c>
      <c r="J305" s="601">
        <v>0.64710000000000001</v>
      </c>
      <c r="K305" s="601">
        <v>0.64710000000000001</v>
      </c>
      <c r="L305" s="601">
        <v>0.64710000000000001</v>
      </c>
      <c r="M305" s="601">
        <v>0.64710000000000001</v>
      </c>
    </row>
    <row r="306" spans="1:13">
      <c r="A306" s="602">
        <v>10</v>
      </c>
      <c r="B306" s="601">
        <v>0.82079999999999997</v>
      </c>
      <c r="C306" s="601">
        <v>0.82079999999999997</v>
      </c>
      <c r="D306" s="601">
        <v>0.79479999999999995</v>
      </c>
      <c r="E306" s="601">
        <v>0.79479999999999995</v>
      </c>
      <c r="F306" s="601">
        <v>0.79479999999999995</v>
      </c>
      <c r="G306" s="601">
        <v>0.79479999999999995</v>
      </c>
      <c r="H306" s="601">
        <v>0.79479999999999995</v>
      </c>
      <c r="I306" s="601">
        <v>0.6462</v>
      </c>
      <c r="J306" s="601">
        <v>0.6462</v>
      </c>
      <c r="K306" s="601">
        <v>0.6462</v>
      </c>
      <c r="L306" s="601">
        <v>0.6462</v>
      </c>
      <c r="M306" s="601">
        <v>0.6462</v>
      </c>
    </row>
    <row r="307" spans="1:13" ht="14.25">
      <c r="A307" s="596" t="s">
        <v>1973</v>
      </c>
      <c r="B307" s="597"/>
      <c r="C307" s="597"/>
      <c r="D307" s="597"/>
      <c r="E307" s="597"/>
      <c r="F307" s="597"/>
      <c r="G307" s="597"/>
      <c r="H307" s="597"/>
      <c r="I307" s="597"/>
      <c r="J307" s="597"/>
      <c r="K307" s="597"/>
      <c r="L307" s="597"/>
      <c r="M307" s="597"/>
    </row>
    <row r="308" spans="1:13">
      <c r="A308" s="598" t="s">
        <v>1970</v>
      </c>
      <c r="B308" s="599" t="s">
        <v>232</v>
      </c>
      <c r="C308" s="599" t="s">
        <v>243</v>
      </c>
      <c r="D308" s="599" t="s">
        <v>253</v>
      </c>
      <c r="E308" s="599" t="s">
        <v>261</v>
      </c>
      <c r="F308" s="599" t="s">
        <v>269</v>
      </c>
      <c r="G308" s="599" t="s">
        <v>275</v>
      </c>
      <c r="H308" s="600" t="s">
        <v>280</v>
      </c>
      <c r="I308" s="600" t="s">
        <v>285</v>
      </c>
      <c r="J308" s="603" t="s">
        <v>288</v>
      </c>
      <c r="K308" s="603" t="s">
        <v>291</v>
      </c>
      <c r="L308" s="603" t="s">
        <v>294</v>
      </c>
      <c r="M308" s="603" t="s">
        <v>297</v>
      </c>
    </row>
    <row r="309" spans="1:13">
      <c r="A309" s="598">
        <v>0.1</v>
      </c>
      <c r="B309" s="601">
        <v>11.506</v>
      </c>
      <c r="C309" s="601">
        <v>11.506</v>
      </c>
      <c r="D309" s="601">
        <v>12.015000000000001</v>
      </c>
      <c r="E309" s="601">
        <v>12.015000000000001</v>
      </c>
      <c r="F309" s="601">
        <v>12.015000000000001</v>
      </c>
      <c r="G309" s="601">
        <v>11.118</v>
      </c>
      <c r="H309" s="601">
        <v>11.118</v>
      </c>
      <c r="I309" s="601">
        <v>10</v>
      </c>
      <c r="J309" s="601">
        <v>10</v>
      </c>
      <c r="K309" s="601">
        <v>10</v>
      </c>
      <c r="L309" s="601">
        <v>10</v>
      </c>
      <c r="M309" s="601">
        <v>10</v>
      </c>
    </row>
    <row r="310" spans="1:13">
      <c r="A310" s="598">
        <v>0.2</v>
      </c>
      <c r="B310" s="601">
        <v>5.7530000000000001</v>
      </c>
      <c r="C310" s="601">
        <v>5.7530000000000001</v>
      </c>
      <c r="D310" s="601">
        <v>6.0075000000000003</v>
      </c>
      <c r="E310" s="601">
        <v>6.0075000000000003</v>
      </c>
      <c r="F310" s="601">
        <v>6.0075000000000003</v>
      </c>
      <c r="G310" s="601">
        <v>5.5590000000000002</v>
      </c>
      <c r="H310" s="601">
        <v>5.5590000000000002</v>
      </c>
      <c r="I310" s="601">
        <v>5</v>
      </c>
      <c r="J310" s="601">
        <v>5</v>
      </c>
      <c r="K310" s="601">
        <v>5</v>
      </c>
      <c r="L310" s="601">
        <v>5</v>
      </c>
      <c r="M310" s="601">
        <v>5</v>
      </c>
    </row>
    <row r="311" spans="1:13">
      <c r="A311" s="598">
        <v>0.3</v>
      </c>
      <c r="B311" s="601">
        <v>3.8353000000000002</v>
      </c>
      <c r="C311" s="601">
        <v>3.8353000000000002</v>
      </c>
      <c r="D311" s="601">
        <v>4.0049999999999999</v>
      </c>
      <c r="E311" s="601">
        <v>4.0049999999999999</v>
      </c>
      <c r="F311" s="601">
        <v>4.0049999999999999</v>
      </c>
      <c r="G311" s="601">
        <v>3.706</v>
      </c>
      <c r="H311" s="601">
        <v>3.706</v>
      </c>
      <c r="I311" s="601">
        <v>3.3332999999999999</v>
      </c>
      <c r="J311" s="601">
        <v>3.3332999999999999</v>
      </c>
      <c r="K311" s="601">
        <v>3.3332999999999999</v>
      </c>
      <c r="L311" s="601">
        <v>3.3332999999999999</v>
      </c>
      <c r="M311" s="601">
        <v>3.3332999999999999</v>
      </c>
    </row>
    <row r="312" spans="1:13">
      <c r="A312" s="598">
        <v>0.4</v>
      </c>
      <c r="B312" s="601">
        <v>2.8765000000000001</v>
      </c>
      <c r="C312" s="601">
        <v>2.8765000000000001</v>
      </c>
      <c r="D312" s="601">
        <v>3.0038</v>
      </c>
      <c r="E312" s="601">
        <v>3.0038</v>
      </c>
      <c r="F312" s="601">
        <v>3.0038</v>
      </c>
      <c r="G312" s="601">
        <v>2.7795000000000001</v>
      </c>
      <c r="H312" s="601">
        <v>2.7795000000000001</v>
      </c>
      <c r="I312" s="601">
        <v>2.5</v>
      </c>
      <c r="J312" s="601">
        <v>2.5</v>
      </c>
      <c r="K312" s="601">
        <v>2.5</v>
      </c>
      <c r="L312" s="601">
        <v>2.5</v>
      </c>
      <c r="M312" s="601">
        <v>2.5</v>
      </c>
    </row>
    <row r="313" spans="1:13">
      <c r="A313" s="598">
        <v>0.5</v>
      </c>
      <c r="B313" s="601">
        <v>2.3012000000000001</v>
      </c>
      <c r="C313" s="601">
        <v>2.3012000000000001</v>
      </c>
      <c r="D313" s="601">
        <v>2.403</v>
      </c>
      <c r="E313" s="601">
        <v>2.403</v>
      </c>
      <c r="F313" s="601">
        <v>2.403</v>
      </c>
      <c r="G313" s="601">
        <v>2.2235999999999998</v>
      </c>
      <c r="H313" s="601">
        <v>2.2235999999999998</v>
      </c>
      <c r="I313" s="601">
        <v>2</v>
      </c>
      <c r="J313" s="601">
        <v>2</v>
      </c>
      <c r="K313" s="601">
        <v>2</v>
      </c>
      <c r="L313" s="601">
        <v>2</v>
      </c>
      <c r="M313" s="601">
        <v>2</v>
      </c>
    </row>
    <row r="314" spans="1:13">
      <c r="A314" s="598">
        <v>0.6</v>
      </c>
      <c r="B314" s="601">
        <v>1.9177</v>
      </c>
      <c r="C314" s="601">
        <v>1.9177</v>
      </c>
      <c r="D314" s="601">
        <v>2.0024999999999999</v>
      </c>
      <c r="E314" s="601">
        <v>2.0024999999999999</v>
      </c>
      <c r="F314" s="601">
        <v>2.0024999999999999</v>
      </c>
      <c r="G314" s="601">
        <v>1.853</v>
      </c>
      <c r="H314" s="601">
        <v>1.853</v>
      </c>
      <c r="I314" s="601">
        <v>1.6667000000000001</v>
      </c>
      <c r="J314" s="601">
        <v>1.6667000000000001</v>
      </c>
      <c r="K314" s="601">
        <v>1.6667000000000001</v>
      </c>
      <c r="L314" s="601">
        <v>1.6667000000000001</v>
      </c>
      <c r="M314" s="601">
        <v>1.6667000000000001</v>
      </c>
    </row>
    <row r="315" spans="1:13">
      <c r="A315" s="598">
        <v>0.7</v>
      </c>
      <c r="B315" s="601">
        <v>1.6436999999999999</v>
      </c>
      <c r="C315" s="601">
        <v>1.6436999999999999</v>
      </c>
      <c r="D315" s="601">
        <v>1.7163999999999999</v>
      </c>
      <c r="E315" s="601">
        <v>1.7163999999999999</v>
      </c>
      <c r="F315" s="601">
        <v>1.7163999999999999</v>
      </c>
      <c r="G315" s="601">
        <v>1.5883</v>
      </c>
      <c r="H315" s="601">
        <v>1.5883</v>
      </c>
      <c r="I315" s="601">
        <v>1.4286000000000001</v>
      </c>
      <c r="J315" s="601">
        <v>1.4286000000000001</v>
      </c>
      <c r="K315" s="601">
        <v>1.4286000000000001</v>
      </c>
      <c r="L315" s="601">
        <v>1.4286000000000001</v>
      </c>
      <c r="M315" s="601">
        <v>1.4286000000000001</v>
      </c>
    </row>
    <row r="316" spans="1:13">
      <c r="A316" s="598">
        <v>0.8</v>
      </c>
      <c r="B316" s="601">
        <v>1.4382999999999999</v>
      </c>
      <c r="C316" s="601">
        <v>1.4382999999999999</v>
      </c>
      <c r="D316" s="601">
        <v>1.5019</v>
      </c>
      <c r="E316" s="601">
        <v>1.5019</v>
      </c>
      <c r="F316" s="601">
        <v>1.5019</v>
      </c>
      <c r="G316" s="601">
        <v>1.3897999999999999</v>
      </c>
      <c r="H316" s="601">
        <v>1.3897999999999999</v>
      </c>
      <c r="I316" s="601">
        <v>1.25</v>
      </c>
      <c r="J316" s="601">
        <v>1.25</v>
      </c>
      <c r="K316" s="601">
        <v>1.25</v>
      </c>
      <c r="L316" s="601">
        <v>1.25</v>
      </c>
      <c r="M316" s="601">
        <v>1.25</v>
      </c>
    </row>
    <row r="317" spans="1:13">
      <c r="A317" s="598">
        <v>0.9</v>
      </c>
      <c r="B317" s="601">
        <v>1.2784</v>
      </c>
      <c r="C317" s="601">
        <v>1.2784</v>
      </c>
      <c r="D317" s="601">
        <v>1.335</v>
      </c>
      <c r="E317" s="601">
        <v>1.335</v>
      </c>
      <c r="F317" s="601">
        <v>1.335</v>
      </c>
      <c r="G317" s="601">
        <v>1.2353000000000001</v>
      </c>
      <c r="H317" s="601">
        <v>1.2353000000000001</v>
      </c>
      <c r="I317" s="601">
        <v>1.1111</v>
      </c>
      <c r="J317" s="601">
        <v>1.1111</v>
      </c>
      <c r="K317" s="601">
        <v>1.1111</v>
      </c>
      <c r="L317" s="601">
        <v>1.1111</v>
      </c>
      <c r="M317" s="601">
        <v>1.1111</v>
      </c>
    </row>
    <row r="318" spans="1:13">
      <c r="A318" s="598">
        <v>1</v>
      </c>
      <c r="B318" s="601">
        <v>1.1506000000000001</v>
      </c>
      <c r="C318" s="601">
        <v>1.1506000000000001</v>
      </c>
      <c r="D318" s="601">
        <v>1.2015</v>
      </c>
      <c r="E318" s="601">
        <v>1.2015</v>
      </c>
      <c r="F318" s="601">
        <v>1.2015</v>
      </c>
      <c r="G318" s="601">
        <v>1.1117999999999999</v>
      </c>
      <c r="H318" s="601">
        <v>1.1117999999999999</v>
      </c>
      <c r="I318" s="601">
        <v>1</v>
      </c>
      <c r="J318" s="601">
        <v>1</v>
      </c>
      <c r="K318" s="601">
        <v>1</v>
      </c>
      <c r="L318" s="601">
        <v>1</v>
      </c>
      <c r="M318" s="601">
        <v>1</v>
      </c>
    </row>
    <row r="319" spans="1:13">
      <c r="A319" s="598">
        <v>1.1000000000000001</v>
      </c>
      <c r="B319" s="601">
        <v>1.1158999999999999</v>
      </c>
      <c r="C319" s="601">
        <v>1.1158999999999999</v>
      </c>
      <c r="D319" s="601">
        <v>1.1440999999999999</v>
      </c>
      <c r="E319" s="601">
        <v>1.1440999999999999</v>
      </c>
      <c r="F319" s="601">
        <v>1.1440999999999999</v>
      </c>
      <c r="G319" s="601">
        <v>1.0492999999999999</v>
      </c>
      <c r="H319" s="601">
        <v>1.0492999999999999</v>
      </c>
      <c r="I319" s="601">
        <v>0.93730000000000002</v>
      </c>
      <c r="J319" s="601">
        <v>0.93730000000000002</v>
      </c>
      <c r="K319" s="601">
        <v>0.93730000000000002</v>
      </c>
      <c r="L319" s="601">
        <v>0.93730000000000002</v>
      </c>
      <c r="M319" s="601">
        <v>0.93730000000000002</v>
      </c>
    </row>
    <row r="320" spans="1:13">
      <c r="A320" s="598">
        <v>1.2</v>
      </c>
      <c r="B320" s="601">
        <v>1.0837000000000001</v>
      </c>
      <c r="C320" s="601">
        <v>1.0837000000000001</v>
      </c>
      <c r="D320" s="601">
        <v>1.0972999999999999</v>
      </c>
      <c r="E320" s="601">
        <v>1.0972999999999999</v>
      </c>
      <c r="F320" s="601">
        <v>1.0972999999999999</v>
      </c>
      <c r="G320" s="601">
        <v>1</v>
      </c>
      <c r="H320" s="601">
        <v>1</v>
      </c>
      <c r="I320" s="601">
        <v>0.88890000000000002</v>
      </c>
      <c r="J320" s="601">
        <v>0.88890000000000002</v>
      </c>
      <c r="K320" s="601">
        <v>0.88890000000000002</v>
      </c>
      <c r="L320" s="601">
        <v>0.88890000000000002</v>
      </c>
      <c r="M320" s="601">
        <v>0.88890000000000002</v>
      </c>
    </row>
    <row r="321" spans="1:13">
      <c r="A321" s="598">
        <v>1.3</v>
      </c>
      <c r="B321" s="601">
        <v>1.0538000000000001</v>
      </c>
      <c r="C321" s="601">
        <v>1.0538000000000001</v>
      </c>
      <c r="D321" s="601">
        <v>1.0589999999999999</v>
      </c>
      <c r="E321" s="601">
        <v>1.0589999999999999</v>
      </c>
      <c r="F321" s="601">
        <v>1.0589999999999999</v>
      </c>
      <c r="G321" s="601">
        <v>0.96140000000000003</v>
      </c>
      <c r="H321" s="601">
        <v>0.96140000000000003</v>
      </c>
      <c r="I321" s="601">
        <v>0.85209999999999997</v>
      </c>
      <c r="J321" s="601">
        <v>0.85209999999999997</v>
      </c>
      <c r="K321" s="601">
        <v>0.85209999999999997</v>
      </c>
      <c r="L321" s="601">
        <v>0.85209999999999997</v>
      </c>
      <c r="M321" s="601">
        <v>0.85209999999999997</v>
      </c>
    </row>
    <row r="322" spans="1:13">
      <c r="A322" s="598">
        <v>1.4</v>
      </c>
      <c r="B322" s="601">
        <v>1.026</v>
      </c>
      <c r="C322" s="601">
        <v>1.026</v>
      </c>
      <c r="D322" s="601">
        <v>1.0271999999999999</v>
      </c>
      <c r="E322" s="601">
        <v>1.0271999999999999</v>
      </c>
      <c r="F322" s="601">
        <v>1.0271999999999999</v>
      </c>
      <c r="G322" s="601">
        <v>0.93079999999999996</v>
      </c>
      <c r="H322" s="601">
        <v>0.93079999999999996</v>
      </c>
      <c r="I322" s="601">
        <v>0.82379999999999998</v>
      </c>
      <c r="J322" s="601">
        <v>0.82379999999999998</v>
      </c>
      <c r="K322" s="601">
        <v>0.82379999999999998</v>
      </c>
      <c r="L322" s="601">
        <v>0.82379999999999998</v>
      </c>
      <c r="M322" s="601">
        <v>0.82379999999999998</v>
      </c>
    </row>
    <row r="323" spans="1:13">
      <c r="A323" s="598">
        <v>1.5</v>
      </c>
      <c r="B323" s="601">
        <v>1</v>
      </c>
      <c r="C323" s="601">
        <v>1</v>
      </c>
      <c r="D323" s="601">
        <v>1</v>
      </c>
      <c r="E323" s="601">
        <v>1</v>
      </c>
      <c r="F323" s="601">
        <v>1</v>
      </c>
      <c r="G323" s="601">
        <v>0.90559999999999996</v>
      </c>
      <c r="H323" s="601">
        <v>0.90559999999999996</v>
      </c>
      <c r="I323" s="601">
        <v>0.80110000000000003</v>
      </c>
      <c r="J323" s="601">
        <v>0.80110000000000003</v>
      </c>
      <c r="K323" s="601">
        <v>0.80110000000000003</v>
      </c>
      <c r="L323" s="601">
        <v>0.80110000000000003</v>
      </c>
      <c r="M323" s="601">
        <v>0.80110000000000003</v>
      </c>
    </row>
    <row r="324" spans="1:13">
      <c r="A324" s="598">
        <v>1.6</v>
      </c>
      <c r="B324" s="601">
        <v>0.97570000000000001</v>
      </c>
      <c r="C324" s="601">
        <v>0.97570000000000001</v>
      </c>
      <c r="D324" s="601">
        <v>0.97519999999999996</v>
      </c>
      <c r="E324" s="601">
        <v>0.97519999999999996</v>
      </c>
      <c r="F324" s="601">
        <v>0.97519999999999996</v>
      </c>
      <c r="G324" s="601">
        <v>0.8831</v>
      </c>
      <c r="H324" s="601">
        <v>0.8831</v>
      </c>
      <c r="I324" s="601">
        <v>0.78100000000000003</v>
      </c>
      <c r="J324" s="601">
        <v>0.78100000000000003</v>
      </c>
      <c r="K324" s="601">
        <v>0.78100000000000003</v>
      </c>
      <c r="L324" s="601">
        <v>0.78100000000000003</v>
      </c>
      <c r="M324" s="601">
        <v>0.78100000000000003</v>
      </c>
    </row>
    <row r="325" spans="1:13">
      <c r="A325" s="598">
        <v>1.7</v>
      </c>
      <c r="B325" s="601">
        <v>0.95289999999999997</v>
      </c>
      <c r="C325" s="601">
        <v>0.95289999999999997</v>
      </c>
      <c r="D325" s="601">
        <v>0.95189999999999997</v>
      </c>
      <c r="E325" s="601">
        <v>0.95189999999999997</v>
      </c>
      <c r="F325" s="601">
        <v>0.95189999999999997</v>
      </c>
      <c r="G325" s="601">
        <v>0.86180000000000001</v>
      </c>
      <c r="H325" s="601">
        <v>0.86180000000000001</v>
      </c>
      <c r="I325" s="601">
        <v>0.7621</v>
      </c>
      <c r="J325" s="601">
        <v>0.7621</v>
      </c>
      <c r="K325" s="601">
        <v>0.7621</v>
      </c>
      <c r="L325" s="601">
        <v>0.7621</v>
      </c>
      <c r="M325" s="601">
        <v>0.7621</v>
      </c>
    </row>
    <row r="326" spans="1:13">
      <c r="A326" s="598">
        <v>1.8</v>
      </c>
      <c r="B326" s="601">
        <v>0.93149999999999999</v>
      </c>
      <c r="C326" s="601">
        <v>0.93149999999999999</v>
      </c>
      <c r="D326" s="601">
        <v>0.93</v>
      </c>
      <c r="E326" s="601">
        <v>0.93</v>
      </c>
      <c r="F326" s="601">
        <v>0.93</v>
      </c>
      <c r="G326" s="601">
        <v>0.84179999999999999</v>
      </c>
      <c r="H326" s="601">
        <v>0.84179999999999999</v>
      </c>
      <c r="I326" s="601">
        <v>0.74419999999999997</v>
      </c>
      <c r="J326" s="601">
        <v>0.74419999999999997</v>
      </c>
      <c r="K326" s="601">
        <v>0.74419999999999997</v>
      </c>
      <c r="L326" s="601">
        <v>0.74419999999999997</v>
      </c>
      <c r="M326" s="601">
        <v>0.74419999999999997</v>
      </c>
    </row>
    <row r="327" spans="1:13">
      <c r="A327" s="598">
        <v>1.9</v>
      </c>
      <c r="B327" s="601">
        <v>0.91139999999999999</v>
      </c>
      <c r="C327" s="601">
        <v>0.91139999999999999</v>
      </c>
      <c r="D327" s="601">
        <v>0.90939999999999999</v>
      </c>
      <c r="E327" s="601">
        <v>0.90939999999999999</v>
      </c>
      <c r="F327" s="601">
        <v>0.90939999999999999</v>
      </c>
      <c r="G327" s="601">
        <v>0.82289999999999996</v>
      </c>
      <c r="H327" s="601">
        <v>0.82289999999999996</v>
      </c>
      <c r="I327" s="601">
        <v>0.72740000000000005</v>
      </c>
      <c r="J327" s="601">
        <v>0.72740000000000005</v>
      </c>
      <c r="K327" s="601">
        <v>0.72740000000000005</v>
      </c>
      <c r="L327" s="601">
        <v>0.72740000000000005</v>
      </c>
      <c r="M327" s="601">
        <v>0.72740000000000005</v>
      </c>
    </row>
    <row r="328" spans="1:13">
      <c r="A328" s="598">
        <v>2</v>
      </c>
      <c r="B328" s="601">
        <v>0.89270000000000005</v>
      </c>
      <c r="C328" s="601">
        <v>0.89270000000000005</v>
      </c>
      <c r="D328" s="601">
        <v>0.8901</v>
      </c>
      <c r="E328" s="601">
        <v>0.8901</v>
      </c>
      <c r="F328" s="601">
        <v>0.8901</v>
      </c>
      <c r="G328" s="601">
        <v>0.80530000000000002</v>
      </c>
      <c r="H328" s="601">
        <v>0.80530000000000002</v>
      </c>
      <c r="I328" s="601">
        <v>0.71160000000000001</v>
      </c>
      <c r="J328" s="601">
        <v>0.71160000000000001</v>
      </c>
      <c r="K328" s="601">
        <v>0.71160000000000001</v>
      </c>
      <c r="L328" s="601">
        <v>0.71160000000000001</v>
      </c>
      <c r="M328" s="601">
        <v>0.71160000000000001</v>
      </c>
    </row>
    <row r="329" spans="1:13">
      <c r="A329" s="602">
        <v>2.1</v>
      </c>
      <c r="B329" s="601">
        <v>0.87519999999999998</v>
      </c>
      <c r="C329" s="601">
        <v>0.87519999999999998</v>
      </c>
      <c r="D329" s="601">
        <v>0.872</v>
      </c>
      <c r="E329" s="601">
        <v>0.872</v>
      </c>
      <c r="F329" s="601">
        <v>0.872</v>
      </c>
      <c r="G329" s="601">
        <v>0.78869999999999996</v>
      </c>
      <c r="H329" s="601">
        <v>0.78869999999999996</v>
      </c>
      <c r="I329" s="601">
        <v>0.69669999999999999</v>
      </c>
      <c r="J329" s="601">
        <v>0.69669999999999999</v>
      </c>
      <c r="K329" s="601">
        <v>0.69669999999999999</v>
      </c>
      <c r="L329" s="601">
        <v>0.69669999999999999</v>
      </c>
      <c r="M329" s="601">
        <v>0.69669999999999999</v>
      </c>
    </row>
    <row r="330" spans="1:13">
      <c r="A330" s="602">
        <v>2.2000000000000002</v>
      </c>
      <c r="B330" s="601">
        <v>0.85880000000000001</v>
      </c>
      <c r="C330" s="601">
        <v>0.85880000000000001</v>
      </c>
      <c r="D330" s="601">
        <v>0.85499999999999998</v>
      </c>
      <c r="E330" s="601">
        <v>0.85499999999999998</v>
      </c>
      <c r="F330" s="601">
        <v>0.85499999999999998</v>
      </c>
      <c r="G330" s="601">
        <v>0.77300000000000002</v>
      </c>
      <c r="H330" s="601">
        <v>0.77300000000000002</v>
      </c>
      <c r="I330" s="601">
        <v>0.68269999999999997</v>
      </c>
      <c r="J330" s="601">
        <v>0.68269999999999997</v>
      </c>
      <c r="K330" s="601">
        <v>0.68269999999999997</v>
      </c>
      <c r="L330" s="601">
        <v>0.68269999999999997</v>
      </c>
      <c r="M330" s="601">
        <v>0.68269999999999997</v>
      </c>
    </row>
    <row r="331" spans="1:13">
      <c r="A331" s="602">
        <v>2.2999999999999998</v>
      </c>
      <c r="B331" s="601">
        <v>0.84360000000000002</v>
      </c>
      <c r="C331" s="601">
        <v>0.84360000000000002</v>
      </c>
      <c r="D331" s="601">
        <v>0.83899999999999997</v>
      </c>
      <c r="E331" s="601">
        <v>0.83899999999999997</v>
      </c>
      <c r="F331" s="601">
        <v>0.83899999999999997</v>
      </c>
      <c r="G331" s="601">
        <v>0.75839999999999996</v>
      </c>
      <c r="H331" s="601">
        <v>0.75839999999999996</v>
      </c>
      <c r="I331" s="601">
        <v>0.66949999999999998</v>
      </c>
      <c r="J331" s="601">
        <v>0.66949999999999998</v>
      </c>
      <c r="K331" s="601">
        <v>0.66949999999999998</v>
      </c>
      <c r="L331" s="601">
        <v>0.66949999999999998</v>
      </c>
      <c r="M331" s="601">
        <v>0.66949999999999998</v>
      </c>
    </row>
    <row r="332" spans="1:13">
      <c r="A332" s="602">
        <v>2.4</v>
      </c>
      <c r="B332" s="601">
        <v>0.82940000000000003</v>
      </c>
      <c r="C332" s="601">
        <v>0.82940000000000003</v>
      </c>
      <c r="D332" s="601">
        <v>0.82410000000000005</v>
      </c>
      <c r="E332" s="601">
        <v>0.82410000000000005</v>
      </c>
      <c r="F332" s="601">
        <v>0.82410000000000005</v>
      </c>
      <c r="G332" s="601">
        <v>0.74460000000000004</v>
      </c>
      <c r="H332" s="601">
        <v>0.74460000000000004</v>
      </c>
      <c r="I332" s="601">
        <v>0.65710000000000002</v>
      </c>
      <c r="J332" s="601">
        <v>0.65710000000000002</v>
      </c>
      <c r="K332" s="601">
        <v>0.65710000000000002</v>
      </c>
      <c r="L332" s="601">
        <v>0.65710000000000002</v>
      </c>
      <c r="M332" s="601">
        <v>0.65710000000000002</v>
      </c>
    </row>
    <row r="333" spans="1:13">
      <c r="A333" s="602">
        <v>2.5</v>
      </c>
      <c r="B333" s="601">
        <v>0.81620000000000004</v>
      </c>
      <c r="C333" s="601">
        <v>0.81620000000000004</v>
      </c>
      <c r="D333" s="601">
        <v>0.81020000000000003</v>
      </c>
      <c r="E333" s="601">
        <v>0.81020000000000003</v>
      </c>
      <c r="F333" s="601">
        <v>0.81020000000000003</v>
      </c>
      <c r="G333" s="601">
        <v>0.73180000000000001</v>
      </c>
      <c r="H333" s="601">
        <v>0.73180000000000001</v>
      </c>
      <c r="I333" s="601">
        <v>0.64549999999999996</v>
      </c>
      <c r="J333" s="601">
        <v>0.64549999999999996</v>
      </c>
      <c r="K333" s="601">
        <v>0.64549999999999996</v>
      </c>
      <c r="L333" s="601">
        <v>0.64549999999999996</v>
      </c>
      <c r="M333" s="601">
        <v>0.64549999999999996</v>
      </c>
    </row>
    <row r="334" spans="1:13">
      <c r="A334" s="602">
        <v>2.6</v>
      </c>
      <c r="B334" s="601">
        <v>0.80389999999999995</v>
      </c>
      <c r="C334" s="601">
        <v>0.80389999999999995</v>
      </c>
      <c r="D334" s="601">
        <v>0.79710000000000003</v>
      </c>
      <c r="E334" s="601">
        <v>0.79710000000000003</v>
      </c>
      <c r="F334" s="601">
        <v>0.79710000000000003</v>
      </c>
      <c r="G334" s="601">
        <v>0.71970000000000001</v>
      </c>
      <c r="H334" s="601">
        <v>0.71970000000000001</v>
      </c>
      <c r="I334" s="601">
        <v>0.63460000000000005</v>
      </c>
      <c r="J334" s="601">
        <v>0.63460000000000005</v>
      </c>
      <c r="K334" s="601">
        <v>0.63460000000000005</v>
      </c>
      <c r="L334" s="601">
        <v>0.63460000000000005</v>
      </c>
      <c r="M334" s="601">
        <v>0.63460000000000005</v>
      </c>
    </row>
    <row r="335" spans="1:13">
      <c r="A335" s="602">
        <v>2.7</v>
      </c>
      <c r="B335" s="601">
        <v>0.79249999999999998</v>
      </c>
      <c r="C335" s="601">
        <v>0.79249999999999998</v>
      </c>
      <c r="D335" s="601">
        <v>0.78490000000000004</v>
      </c>
      <c r="E335" s="601">
        <v>0.78490000000000004</v>
      </c>
      <c r="F335" s="601">
        <v>0.78490000000000004</v>
      </c>
      <c r="G335" s="601">
        <v>0.70840000000000003</v>
      </c>
      <c r="H335" s="601">
        <v>0.70840000000000003</v>
      </c>
      <c r="I335" s="601">
        <v>0.62439999999999996</v>
      </c>
      <c r="J335" s="601">
        <v>0.62439999999999996</v>
      </c>
      <c r="K335" s="601">
        <v>0.62439999999999996</v>
      </c>
      <c r="L335" s="601">
        <v>0.62439999999999996</v>
      </c>
      <c r="M335" s="601">
        <v>0.62439999999999996</v>
      </c>
    </row>
    <row r="336" spans="1:13">
      <c r="A336" s="602">
        <v>2.8</v>
      </c>
      <c r="B336" s="601">
        <v>0.78190000000000004</v>
      </c>
      <c r="C336" s="601">
        <v>0.78190000000000004</v>
      </c>
      <c r="D336" s="601">
        <v>0.77359999999999995</v>
      </c>
      <c r="E336" s="601">
        <v>0.77359999999999995</v>
      </c>
      <c r="F336" s="601">
        <v>0.77359999999999995</v>
      </c>
      <c r="G336" s="601">
        <v>0.69789999999999996</v>
      </c>
      <c r="H336" s="601">
        <v>0.69789999999999996</v>
      </c>
      <c r="I336" s="601">
        <v>0.61480000000000001</v>
      </c>
      <c r="J336" s="601">
        <v>0.61480000000000001</v>
      </c>
      <c r="K336" s="601">
        <v>0.61480000000000001</v>
      </c>
      <c r="L336" s="601">
        <v>0.61480000000000001</v>
      </c>
      <c r="M336" s="601">
        <v>0.61480000000000001</v>
      </c>
    </row>
    <row r="337" spans="1:13">
      <c r="A337" s="602">
        <v>2.9</v>
      </c>
      <c r="B337" s="601">
        <v>0.77210000000000001</v>
      </c>
      <c r="C337" s="601">
        <v>0.77210000000000001</v>
      </c>
      <c r="D337" s="601">
        <v>0.76300000000000001</v>
      </c>
      <c r="E337" s="601">
        <v>0.76300000000000001</v>
      </c>
      <c r="F337" s="601">
        <v>0.76300000000000001</v>
      </c>
      <c r="G337" s="601">
        <v>0.68799999999999994</v>
      </c>
      <c r="H337" s="601">
        <v>0.68799999999999994</v>
      </c>
      <c r="I337" s="601">
        <v>0.60589999999999999</v>
      </c>
      <c r="J337" s="601">
        <v>0.60589999999999999</v>
      </c>
      <c r="K337" s="601">
        <v>0.60589999999999999</v>
      </c>
      <c r="L337" s="601">
        <v>0.60589999999999999</v>
      </c>
      <c r="M337" s="601">
        <v>0.60589999999999999</v>
      </c>
    </row>
    <row r="338" spans="1:13">
      <c r="A338" s="602">
        <v>3</v>
      </c>
      <c r="B338" s="601">
        <v>0.7631</v>
      </c>
      <c r="C338" s="601">
        <v>0.7631</v>
      </c>
      <c r="D338" s="601">
        <v>0.75309999999999999</v>
      </c>
      <c r="E338" s="601">
        <v>0.75309999999999999</v>
      </c>
      <c r="F338" s="601">
        <v>0.75309999999999999</v>
      </c>
      <c r="G338" s="601">
        <v>0.67879999999999996</v>
      </c>
      <c r="H338" s="601">
        <v>0.67879999999999996</v>
      </c>
      <c r="I338" s="601">
        <v>0.59750000000000003</v>
      </c>
      <c r="J338" s="601">
        <v>0.59750000000000003</v>
      </c>
      <c r="K338" s="601">
        <v>0.59750000000000003</v>
      </c>
      <c r="L338" s="601">
        <v>0.59750000000000003</v>
      </c>
      <c r="M338" s="601">
        <v>0.59750000000000003</v>
      </c>
    </row>
    <row r="339" spans="1:13">
      <c r="A339" s="602">
        <v>3.1</v>
      </c>
      <c r="B339" s="601">
        <v>0.75470000000000004</v>
      </c>
      <c r="C339" s="601">
        <v>0.75470000000000004</v>
      </c>
      <c r="D339" s="601">
        <v>0.74399999999999999</v>
      </c>
      <c r="E339" s="601">
        <v>0.74399999999999999</v>
      </c>
      <c r="F339" s="601">
        <v>0.74399999999999999</v>
      </c>
      <c r="G339" s="601">
        <v>0.67020000000000002</v>
      </c>
      <c r="H339" s="601">
        <v>0.67020000000000002</v>
      </c>
      <c r="I339" s="601">
        <v>0.5897</v>
      </c>
      <c r="J339" s="601">
        <v>0.5897</v>
      </c>
      <c r="K339" s="601">
        <v>0.5897</v>
      </c>
      <c r="L339" s="601">
        <v>0.5897</v>
      </c>
      <c r="M339" s="601">
        <v>0.5897</v>
      </c>
    </row>
    <row r="340" spans="1:13">
      <c r="A340" s="602">
        <v>3.2</v>
      </c>
      <c r="B340" s="601">
        <v>0.747</v>
      </c>
      <c r="C340" s="601">
        <v>0.747</v>
      </c>
      <c r="D340" s="601">
        <v>0.73540000000000005</v>
      </c>
      <c r="E340" s="601">
        <v>0.73540000000000005</v>
      </c>
      <c r="F340" s="601">
        <v>0.73540000000000005</v>
      </c>
      <c r="G340" s="601">
        <v>0.66220000000000001</v>
      </c>
      <c r="H340" s="601">
        <v>0.66220000000000001</v>
      </c>
      <c r="I340" s="601">
        <v>0.58230000000000004</v>
      </c>
      <c r="J340" s="601">
        <v>0.58230000000000004</v>
      </c>
      <c r="K340" s="601">
        <v>0.58230000000000004</v>
      </c>
      <c r="L340" s="601">
        <v>0.58230000000000004</v>
      </c>
      <c r="M340" s="601">
        <v>0.58230000000000004</v>
      </c>
    </row>
    <row r="341" spans="1:13">
      <c r="A341" s="602">
        <v>3.3</v>
      </c>
      <c r="B341" s="601">
        <v>0.7399</v>
      </c>
      <c r="C341" s="601">
        <v>0.7399</v>
      </c>
      <c r="D341" s="601">
        <v>0.72750000000000004</v>
      </c>
      <c r="E341" s="601">
        <v>0.72750000000000004</v>
      </c>
      <c r="F341" s="601">
        <v>0.72750000000000004</v>
      </c>
      <c r="G341" s="601">
        <v>0.65480000000000005</v>
      </c>
      <c r="H341" s="601">
        <v>0.65480000000000005</v>
      </c>
      <c r="I341" s="601">
        <v>0.57540000000000002</v>
      </c>
      <c r="J341" s="601">
        <v>0.57540000000000002</v>
      </c>
      <c r="K341" s="601">
        <v>0.57540000000000002</v>
      </c>
      <c r="L341" s="601">
        <v>0.57540000000000002</v>
      </c>
      <c r="M341" s="601">
        <v>0.57540000000000002</v>
      </c>
    </row>
    <row r="342" spans="1:13">
      <c r="A342" s="602">
        <v>3.4</v>
      </c>
      <c r="B342" s="601">
        <v>0.73340000000000005</v>
      </c>
      <c r="C342" s="601">
        <v>0.73340000000000005</v>
      </c>
      <c r="D342" s="601">
        <v>0.72009999999999996</v>
      </c>
      <c r="E342" s="601">
        <v>0.72009999999999996</v>
      </c>
      <c r="F342" s="601">
        <v>0.72009999999999996</v>
      </c>
      <c r="G342" s="601">
        <v>0.64780000000000004</v>
      </c>
      <c r="H342" s="601">
        <v>0.64780000000000004</v>
      </c>
      <c r="I342" s="601">
        <v>0.56899999999999995</v>
      </c>
      <c r="J342" s="601">
        <v>0.56899999999999995</v>
      </c>
      <c r="K342" s="601">
        <v>0.56899999999999995</v>
      </c>
      <c r="L342" s="601">
        <v>0.56899999999999995</v>
      </c>
      <c r="M342" s="601">
        <v>0.56899999999999995</v>
      </c>
    </row>
    <row r="343" spans="1:13">
      <c r="A343" s="602">
        <v>3.5</v>
      </c>
      <c r="B343" s="601">
        <v>0.72740000000000005</v>
      </c>
      <c r="C343" s="601">
        <v>0.72740000000000005</v>
      </c>
      <c r="D343" s="601">
        <v>0.71330000000000005</v>
      </c>
      <c r="E343" s="601">
        <v>0.71330000000000005</v>
      </c>
      <c r="F343" s="601">
        <v>0.71330000000000005</v>
      </c>
      <c r="G343" s="601">
        <v>0.64129999999999998</v>
      </c>
      <c r="H343" s="601">
        <v>0.64129999999999998</v>
      </c>
      <c r="I343" s="601">
        <v>0.56310000000000004</v>
      </c>
      <c r="J343" s="601">
        <v>0.56310000000000004</v>
      </c>
      <c r="K343" s="601">
        <v>0.56310000000000004</v>
      </c>
      <c r="L343" s="601">
        <v>0.56310000000000004</v>
      </c>
      <c r="M343" s="601">
        <v>0.56310000000000004</v>
      </c>
    </row>
    <row r="344" spans="1:13">
      <c r="A344" s="602">
        <v>3.6</v>
      </c>
      <c r="B344" s="601">
        <v>0.72189999999999999</v>
      </c>
      <c r="C344" s="601">
        <v>0.72189999999999999</v>
      </c>
      <c r="D344" s="601">
        <v>0.70699999999999996</v>
      </c>
      <c r="E344" s="601">
        <v>0.70699999999999996</v>
      </c>
      <c r="F344" s="601">
        <v>0.70699999999999996</v>
      </c>
      <c r="G344" s="601">
        <v>0.63529999999999998</v>
      </c>
      <c r="H344" s="601">
        <v>0.63529999999999998</v>
      </c>
      <c r="I344" s="601">
        <v>0.5575</v>
      </c>
      <c r="J344" s="601">
        <v>0.5575</v>
      </c>
      <c r="K344" s="601">
        <v>0.5575</v>
      </c>
      <c r="L344" s="601">
        <v>0.5575</v>
      </c>
      <c r="M344" s="601">
        <v>0.5575</v>
      </c>
    </row>
    <row r="345" spans="1:13">
      <c r="A345" s="602">
        <v>3.7</v>
      </c>
      <c r="B345" s="601">
        <v>0.71679999999999999</v>
      </c>
      <c r="C345" s="601">
        <v>0.71679999999999999</v>
      </c>
      <c r="D345" s="601">
        <v>0.70109999999999995</v>
      </c>
      <c r="E345" s="601">
        <v>0.70109999999999995</v>
      </c>
      <c r="F345" s="601">
        <v>0.70109999999999995</v>
      </c>
      <c r="G345" s="601">
        <v>0.62970000000000004</v>
      </c>
      <c r="H345" s="601">
        <v>0.62970000000000004</v>
      </c>
      <c r="I345" s="601">
        <v>0.55230000000000001</v>
      </c>
      <c r="J345" s="601">
        <v>0.55230000000000001</v>
      </c>
      <c r="K345" s="601">
        <v>0.55230000000000001</v>
      </c>
      <c r="L345" s="601">
        <v>0.55230000000000001</v>
      </c>
      <c r="M345" s="601">
        <v>0.55230000000000001</v>
      </c>
    </row>
    <row r="346" spans="1:13">
      <c r="A346" s="602">
        <v>3.8</v>
      </c>
      <c r="B346" s="601">
        <v>0.71220000000000006</v>
      </c>
      <c r="C346" s="601">
        <v>0.71220000000000006</v>
      </c>
      <c r="D346" s="601">
        <v>0.6956</v>
      </c>
      <c r="E346" s="601">
        <v>0.6956</v>
      </c>
      <c r="F346" s="601">
        <v>0.6956</v>
      </c>
      <c r="G346" s="601">
        <v>0.62439999999999996</v>
      </c>
      <c r="H346" s="601">
        <v>0.62439999999999996</v>
      </c>
      <c r="I346" s="601">
        <v>0.5474</v>
      </c>
      <c r="J346" s="601">
        <v>0.5474</v>
      </c>
      <c r="K346" s="601">
        <v>0.5474</v>
      </c>
      <c r="L346" s="601">
        <v>0.5474</v>
      </c>
      <c r="M346" s="601">
        <v>0.5474</v>
      </c>
    </row>
    <row r="347" spans="1:13">
      <c r="A347" s="602">
        <v>3.9</v>
      </c>
      <c r="B347" s="601">
        <v>0.70799999999999996</v>
      </c>
      <c r="C347" s="601">
        <v>0.70799999999999996</v>
      </c>
      <c r="D347" s="601">
        <v>0.69059999999999999</v>
      </c>
      <c r="E347" s="601">
        <v>0.69059999999999999</v>
      </c>
      <c r="F347" s="601">
        <v>0.69059999999999999</v>
      </c>
      <c r="G347" s="601">
        <v>0.61950000000000005</v>
      </c>
      <c r="H347" s="601">
        <v>0.61950000000000005</v>
      </c>
      <c r="I347" s="601">
        <v>0.54279999999999995</v>
      </c>
      <c r="J347" s="601">
        <v>0.54279999999999995</v>
      </c>
      <c r="K347" s="601">
        <v>0.54279999999999995</v>
      </c>
      <c r="L347" s="601">
        <v>0.54279999999999995</v>
      </c>
      <c r="M347" s="601">
        <v>0.54279999999999995</v>
      </c>
    </row>
    <row r="348" spans="1:13">
      <c r="A348" s="602">
        <v>4</v>
      </c>
      <c r="B348" s="601">
        <v>0.70409999999999995</v>
      </c>
      <c r="C348" s="601">
        <v>0.70409999999999995</v>
      </c>
      <c r="D348" s="601">
        <v>0.68589999999999995</v>
      </c>
      <c r="E348" s="601">
        <v>0.68589999999999995</v>
      </c>
      <c r="F348" s="601">
        <v>0.68589999999999995</v>
      </c>
      <c r="G348" s="601">
        <v>0.61499999999999999</v>
      </c>
      <c r="H348" s="601">
        <v>0.61499999999999999</v>
      </c>
      <c r="I348" s="601">
        <v>0.53859999999999997</v>
      </c>
      <c r="J348" s="601">
        <v>0.53859999999999997</v>
      </c>
      <c r="K348" s="601">
        <v>0.53859999999999997</v>
      </c>
      <c r="L348" s="601">
        <v>0.53859999999999997</v>
      </c>
      <c r="M348" s="601">
        <v>0.53859999999999997</v>
      </c>
    </row>
    <row r="349" spans="1:13">
      <c r="A349" s="602">
        <v>4.0999999999999996</v>
      </c>
      <c r="B349" s="601">
        <v>0.7006</v>
      </c>
      <c r="C349" s="601">
        <v>0.7006</v>
      </c>
      <c r="D349" s="601">
        <v>0.68159999999999998</v>
      </c>
      <c r="E349" s="601">
        <v>0.68159999999999998</v>
      </c>
      <c r="F349" s="601">
        <v>0.68159999999999998</v>
      </c>
      <c r="G349" s="601">
        <v>0.61080000000000001</v>
      </c>
      <c r="H349" s="601">
        <v>0.61080000000000001</v>
      </c>
      <c r="I349" s="601">
        <v>0.53459999999999996</v>
      </c>
      <c r="J349" s="601">
        <v>0.53459999999999996</v>
      </c>
      <c r="K349" s="601">
        <v>0.53459999999999996</v>
      </c>
      <c r="L349" s="601">
        <v>0.53459999999999996</v>
      </c>
      <c r="M349" s="601">
        <v>0.53459999999999996</v>
      </c>
    </row>
    <row r="350" spans="1:13">
      <c r="A350" s="602">
        <v>4.2</v>
      </c>
      <c r="B350" s="601">
        <v>0.69740000000000002</v>
      </c>
      <c r="C350" s="601">
        <v>0.69740000000000002</v>
      </c>
      <c r="D350" s="601">
        <v>0.67759999999999998</v>
      </c>
      <c r="E350" s="601">
        <v>0.67759999999999998</v>
      </c>
      <c r="F350" s="601">
        <v>0.67759999999999998</v>
      </c>
      <c r="G350" s="601">
        <v>0.60699999999999998</v>
      </c>
      <c r="H350" s="601">
        <v>0.60699999999999998</v>
      </c>
      <c r="I350" s="601">
        <v>0.53090000000000004</v>
      </c>
      <c r="J350" s="601">
        <v>0.53090000000000004</v>
      </c>
      <c r="K350" s="601">
        <v>0.53090000000000004</v>
      </c>
      <c r="L350" s="601">
        <v>0.53090000000000004</v>
      </c>
      <c r="M350" s="601">
        <v>0.53090000000000004</v>
      </c>
    </row>
    <row r="351" spans="1:13">
      <c r="A351" s="602">
        <v>4.3</v>
      </c>
      <c r="B351" s="601">
        <v>0.69450000000000001</v>
      </c>
      <c r="C351" s="601">
        <v>0.69450000000000001</v>
      </c>
      <c r="D351" s="601">
        <v>0.67390000000000005</v>
      </c>
      <c r="E351" s="601">
        <v>0.67390000000000005</v>
      </c>
      <c r="F351" s="601">
        <v>0.67390000000000005</v>
      </c>
      <c r="G351" s="601">
        <v>0.60329999999999995</v>
      </c>
      <c r="H351" s="601">
        <v>0.60329999999999995</v>
      </c>
      <c r="I351" s="601">
        <v>0.52739999999999998</v>
      </c>
      <c r="J351" s="601">
        <v>0.52739999999999998</v>
      </c>
      <c r="K351" s="601">
        <v>0.52739999999999998</v>
      </c>
      <c r="L351" s="601">
        <v>0.52739999999999998</v>
      </c>
      <c r="M351" s="601">
        <v>0.52739999999999998</v>
      </c>
    </row>
    <row r="352" spans="1:13">
      <c r="A352" s="602">
        <v>4.4000000000000004</v>
      </c>
      <c r="B352" s="601">
        <v>0.69179999999999997</v>
      </c>
      <c r="C352" s="601">
        <v>0.69179999999999997</v>
      </c>
      <c r="D352" s="601">
        <v>0.67049999999999998</v>
      </c>
      <c r="E352" s="601">
        <v>0.67049999999999998</v>
      </c>
      <c r="F352" s="601">
        <v>0.67049999999999998</v>
      </c>
      <c r="G352" s="601">
        <v>0.59989999999999999</v>
      </c>
      <c r="H352" s="601">
        <v>0.59989999999999999</v>
      </c>
      <c r="I352" s="601">
        <v>0.5242</v>
      </c>
      <c r="J352" s="601">
        <v>0.5242</v>
      </c>
      <c r="K352" s="601">
        <v>0.5242</v>
      </c>
      <c r="L352" s="601">
        <v>0.5242</v>
      </c>
      <c r="M352" s="601">
        <v>0.5242</v>
      </c>
    </row>
    <row r="353" spans="1:13">
      <c r="A353" s="602">
        <v>4.5</v>
      </c>
      <c r="B353" s="601">
        <v>0.68940000000000001</v>
      </c>
      <c r="C353" s="601">
        <v>0.68940000000000001</v>
      </c>
      <c r="D353" s="601">
        <v>0.6673</v>
      </c>
      <c r="E353" s="601">
        <v>0.6673</v>
      </c>
      <c r="F353" s="601">
        <v>0.6673</v>
      </c>
      <c r="G353" s="601">
        <v>0.59670000000000001</v>
      </c>
      <c r="H353" s="601">
        <v>0.59670000000000001</v>
      </c>
      <c r="I353" s="601">
        <v>0.52110000000000001</v>
      </c>
      <c r="J353" s="601">
        <v>0.52110000000000001</v>
      </c>
      <c r="K353" s="601">
        <v>0.52110000000000001</v>
      </c>
      <c r="L353" s="601">
        <v>0.52110000000000001</v>
      </c>
      <c r="M353" s="601">
        <v>0.52110000000000001</v>
      </c>
    </row>
    <row r="354" spans="1:13">
      <c r="A354" s="602">
        <v>4.5999999999999996</v>
      </c>
      <c r="B354" s="601">
        <v>0.68720000000000003</v>
      </c>
      <c r="C354" s="601">
        <v>0.68720000000000003</v>
      </c>
      <c r="D354" s="601">
        <v>0.6643</v>
      </c>
      <c r="E354" s="601">
        <v>0.6643</v>
      </c>
      <c r="F354" s="601">
        <v>0.6643</v>
      </c>
      <c r="G354" s="601">
        <v>0.59379999999999999</v>
      </c>
      <c r="H354" s="601">
        <v>0.59379999999999999</v>
      </c>
      <c r="I354" s="601">
        <v>0.51819999999999999</v>
      </c>
      <c r="J354" s="601">
        <v>0.51819999999999999</v>
      </c>
      <c r="K354" s="601">
        <v>0.51819999999999999</v>
      </c>
      <c r="L354" s="601">
        <v>0.51819999999999999</v>
      </c>
      <c r="M354" s="601">
        <v>0.51819999999999999</v>
      </c>
    </row>
    <row r="355" spans="1:13">
      <c r="A355" s="602">
        <v>4.7</v>
      </c>
      <c r="B355" s="601">
        <v>0.68520000000000003</v>
      </c>
      <c r="C355" s="601">
        <v>0.68520000000000003</v>
      </c>
      <c r="D355" s="601">
        <v>0.66149999999999998</v>
      </c>
      <c r="E355" s="601">
        <v>0.66149999999999998</v>
      </c>
      <c r="F355" s="601">
        <v>0.66149999999999998</v>
      </c>
      <c r="G355" s="601">
        <v>0.59109999999999996</v>
      </c>
      <c r="H355" s="601">
        <v>0.59109999999999996</v>
      </c>
      <c r="I355" s="601">
        <v>0.51559999999999995</v>
      </c>
      <c r="J355" s="601">
        <v>0.51559999999999995</v>
      </c>
      <c r="K355" s="601">
        <v>0.51559999999999995</v>
      </c>
      <c r="L355" s="601">
        <v>0.51559999999999995</v>
      </c>
      <c r="M355" s="601">
        <v>0.51559999999999995</v>
      </c>
    </row>
    <row r="356" spans="1:13">
      <c r="A356" s="602">
        <v>4.8</v>
      </c>
      <c r="B356" s="601">
        <v>0.68340000000000001</v>
      </c>
      <c r="C356" s="601">
        <v>0.68340000000000001</v>
      </c>
      <c r="D356" s="601">
        <v>0.65900000000000003</v>
      </c>
      <c r="E356" s="601">
        <v>0.65900000000000003</v>
      </c>
      <c r="F356" s="601">
        <v>0.65900000000000003</v>
      </c>
      <c r="G356" s="601">
        <v>0.58850000000000002</v>
      </c>
      <c r="H356" s="601">
        <v>0.58850000000000002</v>
      </c>
      <c r="I356" s="601">
        <v>0.51300000000000001</v>
      </c>
      <c r="J356" s="601">
        <v>0.51300000000000001</v>
      </c>
      <c r="K356" s="601">
        <v>0.51300000000000001</v>
      </c>
      <c r="L356" s="601">
        <v>0.51300000000000001</v>
      </c>
      <c r="M356" s="601">
        <v>0.51300000000000001</v>
      </c>
    </row>
    <row r="357" spans="1:13">
      <c r="A357" s="602">
        <v>4.9000000000000004</v>
      </c>
      <c r="B357" s="601">
        <v>0.68179999999999996</v>
      </c>
      <c r="C357" s="601">
        <v>0.68179999999999996</v>
      </c>
      <c r="D357" s="601">
        <v>0.65659999999999996</v>
      </c>
      <c r="E357" s="601">
        <v>0.65659999999999996</v>
      </c>
      <c r="F357" s="601">
        <v>0.65659999999999996</v>
      </c>
      <c r="G357" s="601">
        <v>0.58599999999999997</v>
      </c>
      <c r="H357" s="601">
        <v>0.58599999999999997</v>
      </c>
      <c r="I357" s="601">
        <v>0.51060000000000005</v>
      </c>
      <c r="J357" s="601">
        <v>0.51060000000000005</v>
      </c>
      <c r="K357" s="601">
        <v>0.51060000000000005</v>
      </c>
      <c r="L357" s="601">
        <v>0.51060000000000005</v>
      </c>
      <c r="M357" s="601">
        <v>0.51060000000000005</v>
      </c>
    </row>
    <row r="358" spans="1:13">
      <c r="A358" s="602">
        <v>5</v>
      </c>
      <c r="B358" s="601">
        <v>0.68030000000000002</v>
      </c>
      <c r="C358" s="601">
        <v>0.68030000000000002</v>
      </c>
      <c r="D358" s="601">
        <v>0.65439999999999998</v>
      </c>
      <c r="E358" s="601">
        <v>0.65439999999999998</v>
      </c>
      <c r="F358" s="601">
        <v>0.65439999999999998</v>
      </c>
      <c r="G358" s="601">
        <v>0.58379999999999999</v>
      </c>
      <c r="H358" s="601">
        <v>0.58379999999999999</v>
      </c>
      <c r="I358" s="601">
        <v>0.50839999999999996</v>
      </c>
      <c r="J358" s="601">
        <v>0.50839999999999996</v>
      </c>
      <c r="K358" s="601">
        <v>0.50839999999999996</v>
      </c>
      <c r="L358" s="601">
        <v>0.50839999999999996</v>
      </c>
      <c r="M358" s="601">
        <v>0.50839999999999996</v>
      </c>
    </row>
    <row r="359" spans="1:13">
      <c r="A359" s="598">
        <v>5.0999999999999996</v>
      </c>
      <c r="B359" s="601">
        <v>0.67889999999999995</v>
      </c>
      <c r="C359" s="601">
        <v>0.67889999999999995</v>
      </c>
      <c r="D359" s="601">
        <v>0.65229999999999999</v>
      </c>
      <c r="E359" s="601">
        <v>0.65229999999999999</v>
      </c>
      <c r="F359" s="601">
        <v>0.65229999999999999</v>
      </c>
      <c r="G359" s="601">
        <v>0.58160000000000001</v>
      </c>
      <c r="H359" s="601">
        <v>0.58160000000000001</v>
      </c>
      <c r="I359" s="601">
        <v>0.50629999999999997</v>
      </c>
      <c r="J359" s="601">
        <v>0.50629999999999997</v>
      </c>
      <c r="K359" s="601">
        <v>0.50629999999999997</v>
      </c>
      <c r="L359" s="601">
        <v>0.50629999999999997</v>
      </c>
      <c r="M359" s="601">
        <v>0.50629999999999997</v>
      </c>
    </row>
    <row r="360" spans="1:13">
      <c r="A360" s="598">
        <v>5.2</v>
      </c>
      <c r="B360" s="601">
        <v>0.67749999999999999</v>
      </c>
      <c r="C360" s="601">
        <v>0.67749999999999999</v>
      </c>
      <c r="D360" s="601">
        <v>0.65029999999999999</v>
      </c>
      <c r="E360" s="601">
        <v>0.65029999999999999</v>
      </c>
      <c r="F360" s="601">
        <v>0.65029999999999999</v>
      </c>
      <c r="G360" s="601">
        <v>0.57950000000000002</v>
      </c>
      <c r="H360" s="601">
        <v>0.57950000000000002</v>
      </c>
      <c r="I360" s="601">
        <v>0.50419999999999998</v>
      </c>
      <c r="J360" s="601">
        <v>0.50419999999999998</v>
      </c>
      <c r="K360" s="601">
        <v>0.50419999999999998</v>
      </c>
      <c r="L360" s="601">
        <v>0.50419999999999998</v>
      </c>
      <c r="M360" s="601">
        <v>0.50419999999999998</v>
      </c>
    </row>
    <row r="361" spans="1:13">
      <c r="A361" s="598">
        <v>5.3</v>
      </c>
      <c r="B361" s="601">
        <v>0.67620000000000002</v>
      </c>
      <c r="C361" s="601">
        <v>0.67620000000000002</v>
      </c>
      <c r="D361" s="601">
        <v>0.64839999999999998</v>
      </c>
      <c r="E361" s="601">
        <v>0.64839999999999998</v>
      </c>
      <c r="F361" s="601">
        <v>0.64839999999999998</v>
      </c>
      <c r="G361" s="601">
        <v>0.5776</v>
      </c>
      <c r="H361" s="601">
        <v>0.5776</v>
      </c>
      <c r="I361" s="601">
        <v>0.50229999999999997</v>
      </c>
      <c r="J361" s="601">
        <v>0.50229999999999997</v>
      </c>
      <c r="K361" s="601">
        <v>0.50229999999999997</v>
      </c>
      <c r="L361" s="601">
        <v>0.50229999999999997</v>
      </c>
      <c r="M361" s="601">
        <v>0.50229999999999997</v>
      </c>
    </row>
    <row r="362" spans="1:13">
      <c r="A362" s="598">
        <v>5.4</v>
      </c>
      <c r="B362" s="601">
        <v>0.67500000000000004</v>
      </c>
      <c r="C362" s="601">
        <v>0.67500000000000004</v>
      </c>
      <c r="D362" s="601">
        <v>0.64670000000000005</v>
      </c>
      <c r="E362" s="601">
        <v>0.64670000000000005</v>
      </c>
      <c r="F362" s="601">
        <v>0.64670000000000005</v>
      </c>
      <c r="G362" s="601">
        <v>0.57579999999999998</v>
      </c>
      <c r="H362" s="601">
        <v>0.57579999999999998</v>
      </c>
      <c r="I362" s="601">
        <v>0.50039999999999996</v>
      </c>
      <c r="J362" s="601">
        <v>0.50039999999999996</v>
      </c>
      <c r="K362" s="601">
        <v>0.50039999999999996</v>
      </c>
      <c r="L362" s="601">
        <v>0.50039999999999996</v>
      </c>
      <c r="M362" s="601">
        <v>0.50039999999999996</v>
      </c>
    </row>
    <row r="363" spans="1:13">
      <c r="A363" s="598">
        <v>5.5</v>
      </c>
      <c r="B363" s="601">
        <v>0.67379999999999995</v>
      </c>
      <c r="C363" s="601">
        <v>0.67379999999999995</v>
      </c>
      <c r="D363" s="601">
        <v>0.64500000000000002</v>
      </c>
      <c r="E363" s="601">
        <v>0.64500000000000002</v>
      </c>
      <c r="F363" s="601">
        <v>0.64500000000000002</v>
      </c>
      <c r="G363" s="601">
        <v>0.57399999999999995</v>
      </c>
      <c r="H363" s="601">
        <v>0.57399999999999995</v>
      </c>
      <c r="I363" s="601">
        <v>0.49869999999999998</v>
      </c>
      <c r="J363" s="601">
        <v>0.49869999999999998</v>
      </c>
      <c r="K363" s="601">
        <v>0.49869999999999998</v>
      </c>
      <c r="L363" s="601">
        <v>0.49869999999999998</v>
      </c>
      <c r="M363" s="601">
        <v>0.49869999999999998</v>
      </c>
    </row>
    <row r="364" spans="1:13">
      <c r="A364" s="598">
        <v>5.6</v>
      </c>
      <c r="B364" s="601">
        <v>0.67259999999999998</v>
      </c>
      <c r="C364" s="601">
        <v>0.67259999999999998</v>
      </c>
      <c r="D364" s="601">
        <v>0.64339999999999997</v>
      </c>
      <c r="E364" s="601">
        <v>0.64339999999999997</v>
      </c>
      <c r="F364" s="601">
        <v>0.64339999999999997</v>
      </c>
      <c r="G364" s="601">
        <v>0.57240000000000002</v>
      </c>
      <c r="H364" s="601">
        <v>0.57240000000000002</v>
      </c>
      <c r="I364" s="601">
        <v>0.49690000000000001</v>
      </c>
      <c r="J364" s="601">
        <v>0.49690000000000001</v>
      </c>
      <c r="K364" s="601">
        <v>0.49690000000000001</v>
      </c>
      <c r="L364" s="601">
        <v>0.49690000000000001</v>
      </c>
      <c r="M364" s="601">
        <v>0.49690000000000001</v>
      </c>
    </row>
    <row r="365" spans="1:13">
      <c r="A365" s="602">
        <v>5.7</v>
      </c>
      <c r="B365" s="601">
        <v>0.6714</v>
      </c>
      <c r="C365" s="601">
        <v>0.6714</v>
      </c>
      <c r="D365" s="601">
        <v>0.64190000000000003</v>
      </c>
      <c r="E365" s="601">
        <v>0.64190000000000003</v>
      </c>
      <c r="F365" s="601">
        <v>0.64190000000000003</v>
      </c>
      <c r="G365" s="601">
        <v>0.57069999999999999</v>
      </c>
      <c r="H365" s="601">
        <v>0.57069999999999999</v>
      </c>
      <c r="I365" s="601">
        <v>0.49519999999999997</v>
      </c>
      <c r="J365" s="601">
        <v>0.49519999999999997</v>
      </c>
      <c r="K365" s="601">
        <v>0.49519999999999997</v>
      </c>
      <c r="L365" s="601">
        <v>0.49519999999999997</v>
      </c>
      <c r="M365" s="601">
        <v>0.49519999999999997</v>
      </c>
    </row>
    <row r="366" spans="1:13">
      <c r="A366" s="598">
        <v>5.8</v>
      </c>
      <c r="B366" s="601">
        <v>0.67020000000000002</v>
      </c>
      <c r="C366" s="601">
        <v>0.67020000000000002</v>
      </c>
      <c r="D366" s="601">
        <v>0.64039999999999997</v>
      </c>
      <c r="E366" s="601">
        <v>0.64039999999999997</v>
      </c>
      <c r="F366" s="601">
        <v>0.64039999999999997</v>
      </c>
      <c r="G366" s="601">
        <v>0.56910000000000005</v>
      </c>
      <c r="H366" s="601">
        <v>0.56910000000000005</v>
      </c>
      <c r="I366" s="601">
        <v>0.49359999999999998</v>
      </c>
      <c r="J366" s="601">
        <v>0.49359999999999998</v>
      </c>
      <c r="K366" s="601">
        <v>0.49359999999999998</v>
      </c>
      <c r="L366" s="601">
        <v>0.49359999999999998</v>
      </c>
      <c r="M366" s="601">
        <v>0.49359999999999998</v>
      </c>
    </row>
    <row r="367" spans="1:13">
      <c r="A367" s="598">
        <v>5.9</v>
      </c>
      <c r="B367" s="601">
        <v>0.66910000000000003</v>
      </c>
      <c r="C367" s="601">
        <v>0.66910000000000003</v>
      </c>
      <c r="D367" s="601">
        <v>0.63890000000000002</v>
      </c>
      <c r="E367" s="601">
        <v>0.63890000000000002</v>
      </c>
      <c r="F367" s="601">
        <v>0.63890000000000002</v>
      </c>
      <c r="G367" s="601">
        <v>0.5675</v>
      </c>
      <c r="H367" s="601">
        <v>0.5675</v>
      </c>
      <c r="I367" s="601">
        <v>0.4919</v>
      </c>
      <c r="J367" s="601">
        <v>0.4919</v>
      </c>
      <c r="K367" s="601">
        <v>0.4919</v>
      </c>
      <c r="L367" s="601">
        <v>0.4919</v>
      </c>
      <c r="M367" s="601">
        <v>0.4919</v>
      </c>
    </row>
    <row r="368" spans="1:13">
      <c r="A368" s="598">
        <v>6</v>
      </c>
      <c r="B368" s="601">
        <v>0.66800000000000004</v>
      </c>
      <c r="C368" s="601">
        <v>0.66800000000000004</v>
      </c>
      <c r="D368" s="601">
        <v>0.63739999999999997</v>
      </c>
      <c r="E368" s="601">
        <v>0.63739999999999997</v>
      </c>
      <c r="F368" s="601">
        <v>0.63739999999999997</v>
      </c>
      <c r="G368" s="601">
        <v>0.56589999999999996</v>
      </c>
      <c r="H368" s="601">
        <v>0.56589999999999996</v>
      </c>
      <c r="I368" s="601">
        <v>0.49020000000000002</v>
      </c>
      <c r="J368" s="601">
        <v>0.49020000000000002</v>
      </c>
      <c r="K368" s="601">
        <v>0.49020000000000002</v>
      </c>
      <c r="L368" s="601">
        <v>0.49020000000000002</v>
      </c>
      <c r="M368" s="601">
        <v>0.49020000000000002</v>
      </c>
    </row>
    <row r="369" spans="1:13">
      <c r="A369" s="598">
        <v>6.1</v>
      </c>
      <c r="B369" s="601">
        <v>0.66690000000000005</v>
      </c>
      <c r="C369" s="601">
        <v>0.66690000000000005</v>
      </c>
      <c r="D369" s="601">
        <v>0.63590000000000002</v>
      </c>
      <c r="E369" s="601">
        <v>0.63590000000000002</v>
      </c>
      <c r="F369" s="601">
        <v>0.63590000000000002</v>
      </c>
      <c r="G369" s="601">
        <v>0.56440000000000001</v>
      </c>
      <c r="H369" s="601">
        <v>0.56440000000000001</v>
      </c>
      <c r="I369" s="601">
        <v>0.48849999999999999</v>
      </c>
      <c r="J369" s="601">
        <v>0.48849999999999999</v>
      </c>
      <c r="K369" s="601">
        <v>0.48849999999999999</v>
      </c>
      <c r="L369" s="601">
        <v>0.48849999999999999</v>
      </c>
      <c r="M369" s="601">
        <v>0.48849999999999999</v>
      </c>
    </row>
    <row r="370" spans="1:13">
      <c r="A370" s="598">
        <v>6.2</v>
      </c>
      <c r="B370" s="601">
        <v>0.66579999999999995</v>
      </c>
      <c r="C370" s="601">
        <v>0.66579999999999995</v>
      </c>
      <c r="D370" s="601">
        <v>0.63439999999999996</v>
      </c>
      <c r="E370" s="601">
        <v>0.63439999999999996</v>
      </c>
      <c r="F370" s="601">
        <v>0.63439999999999996</v>
      </c>
      <c r="G370" s="601">
        <v>0.56289999999999996</v>
      </c>
      <c r="H370" s="601">
        <v>0.56289999999999996</v>
      </c>
      <c r="I370" s="601">
        <v>0.48680000000000001</v>
      </c>
      <c r="J370" s="601">
        <v>0.48680000000000001</v>
      </c>
      <c r="K370" s="601">
        <v>0.48680000000000001</v>
      </c>
      <c r="L370" s="601">
        <v>0.48680000000000001</v>
      </c>
      <c r="M370" s="601">
        <v>0.48680000000000001</v>
      </c>
    </row>
    <row r="371" spans="1:13">
      <c r="A371" s="598">
        <v>6.3</v>
      </c>
      <c r="B371" s="601">
        <v>0.66469999999999996</v>
      </c>
      <c r="C371" s="601">
        <v>0.66469999999999996</v>
      </c>
      <c r="D371" s="601">
        <v>0.63290000000000002</v>
      </c>
      <c r="E371" s="601">
        <v>0.63290000000000002</v>
      </c>
      <c r="F371" s="601">
        <v>0.63290000000000002</v>
      </c>
      <c r="G371" s="601">
        <v>0.56130000000000002</v>
      </c>
      <c r="H371" s="601">
        <v>0.56130000000000002</v>
      </c>
      <c r="I371" s="601">
        <v>0.48509999999999998</v>
      </c>
      <c r="J371" s="601">
        <v>0.48509999999999998</v>
      </c>
      <c r="K371" s="601">
        <v>0.48509999999999998</v>
      </c>
      <c r="L371" s="601">
        <v>0.48509999999999998</v>
      </c>
      <c r="M371" s="601">
        <v>0.48509999999999998</v>
      </c>
    </row>
    <row r="372" spans="1:13">
      <c r="A372" s="598">
        <v>6.4</v>
      </c>
      <c r="B372" s="601">
        <v>0.66359999999999997</v>
      </c>
      <c r="C372" s="601">
        <v>0.66359999999999997</v>
      </c>
      <c r="D372" s="601">
        <v>0.63139999999999996</v>
      </c>
      <c r="E372" s="601">
        <v>0.63139999999999996</v>
      </c>
      <c r="F372" s="601">
        <v>0.63139999999999996</v>
      </c>
      <c r="G372" s="601">
        <v>0.55979999999999996</v>
      </c>
      <c r="H372" s="601">
        <v>0.55979999999999996</v>
      </c>
      <c r="I372" s="601">
        <v>0.48349999999999999</v>
      </c>
      <c r="J372" s="601">
        <v>0.48349999999999999</v>
      </c>
      <c r="K372" s="601">
        <v>0.48349999999999999</v>
      </c>
      <c r="L372" s="601">
        <v>0.48349999999999999</v>
      </c>
      <c r="M372" s="601">
        <v>0.48349999999999999</v>
      </c>
    </row>
    <row r="373" spans="1:13">
      <c r="A373" s="598">
        <v>6.5</v>
      </c>
      <c r="B373" s="601">
        <v>0.66249999999999998</v>
      </c>
      <c r="C373" s="601">
        <v>0.66249999999999998</v>
      </c>
      <c r="D373" s="601">
        <v>0.63</v>
      </c>
      <c r="E373" s="601">
        <v>0.63</v>
      </c>
      <c r="F373" s="601">
        <v>0.63</v>
      </c>
      <c r="G373" s="601">
        <v>0.55820000000000003</v>
      </c>
      <c r="H373" s="601">
        <v>0.55820000000000003</v>
      </c>
      <c r="I373" s="601">
        <v>0.4819</v>
      </c>
      <c r="J373" s="601">
        <v>0.4819</v>
      </c>
      <c r="K373" s="601">
        <v>0.4819</v>
      </c>
      <c r="L373" s="601">
        <v>0.4819</v>
      </c>
      <c r="M373" s="601">
        <v>0.4819</v>
      </c>
    </row>
    <row r="374" spans="1:13">
      <c r="A374" s="598">
        <v>6.6</v>
      </c>
      <c r="B374" s="601">
        <v>0.66149999999999998</v>
      </c>
      <c r="C374" s="601">
        <v>0.66149999999999998</v>
      </c>
      <c r="D374" s="601">
        <v>0.62860000000000005</v>
      </c>
      <c r="E374" s="601">
        <v>0.62860000000000005</v>
      </c>
      <c r="F374" s="601">
        <v>0.62860000000000005</v>
      </c>
      <c r="G374" s="601">
        <v>0.55669999999999997</v>
      </c>
      <c r="H374" s="601">
        <v>0.55669999999999997</v>
      </c>
      <c r="I374" s="601">
        <v>0.4803</v>
      </c>
      <c r="J374" s="601">
        <v>0.4803</v>
      </c>
      <c r="K374" s="601">
        <v>0.4803</v>
      </c>
      <c r="L374" s="601">
        <v>0.4803</v>
      </c>
      <c r="M374" s="601">
        <v>0.4803</v>
      </c>
    </row>
    <row r="375" spans="1:13">
      <c r="A375" s="598">
        <v>6.7</v>
      </c>
      <c r="B375" s="601">
        <v>0.66049999999999998</v>
      </c>
      <c r="C375" s="601">
        <v>0.66049999999999998</v>
      </c>
      <c r="D375" s="601">
        <v>0.62719999999999998</v>
      </c>
      <c r="E375" s="601">
        <v>0.62719999999999998</v>
      </c>
      <c r="F375" s="601">
        <v>0.62719999999999998</v>
      </c>
      <c r="G375" s="601">
        <v>0.55520000000000003</v>
      </c>
      <c r="H375" s="601">
        <v>0.55520000000000003</v>
      </c>
      <c r="I375" s="601">
        <v>0.47870000000000001</v>
      </c>
      <c r="J375" s="601">
        <v>0.47870000000000001</v>
      </c>
      <c r="K375" s="601">
        <v>0.47870000000000001</v>
      </c>
      <c r="L375" s="601">
        <v>0.47870000000000001</v>
      </c>
      <c r="M375" s="601">
        <v>0.47870000000000001</v>
      </c>
    </row>
    <row r="376" spans="1:13">
      <c r="A376" s="598">
        <v>6.8</v>
      </c>
      <c r="B376" s="601">
        <v>0.65949999999999998</v>
      </c>
      <c r="C376" s="601">
        <v>0.65949999999999998</v>
      </c>
      <c r="D376" s="601">
        <v>0.62580000000000002</v>
      </c>
      <c r="E376" s="601">
        <v>0.62580000000000002</v>
      </c>
      <c r="F376" s="601">
        <v>0.62580000000000002</v>
      </c>
      <c r="G376" s="601">
        <v>0.55359999999999998</v>
      </c>
      <c r="H376" s="601">
        <v>0.55359999999999998</v>
      </c>
      <c r="I376" s="601">
        <v>0.47710000000000002</v>
      </c>
      <c r="J376" s="601">
        <v>0.47710000000000002</v>
      </c>
      <c r="K376" s="601">
        <v>0.47710000000000002</v>
      </c>
      <c r="L376" s="601">
        <v>0.47710000000000002</v>
      </c>
      <c r="M376" s="601">
        <v>0.47710000000000002</v>
      </c>
    </row>
    <row r="377" spans="1:13">
      <c r="A377" s="598">
        <v>6.9</v>
      </c>
      <c r="B377" s="601">
        <v>0.65849999999999997</v>
      </c>
      <c r="C377" s="601">
        <v>0.65849999999999997</v>
      </c>
      <c r="D377" s="601">
        <v>0.62439999999999996</v>
      </c>
      <c r="E377" s="601">
        <v>0.62439999999999996</v>
      </c>
      <c r="F377" s="601">
        <v>0.62439999999999996</v>
      </c>
      <c r="G377" s="601">
        <v>0.55220000000000002</v>
      </c>
      <c r="H377" s="601">
        <v>0.55220000000000002</v>
      </c>
      <c r="I377" s="601">
        <v>0.47549999999999998</v>
      </c>
      <c r="J377" s="601">
        <v>0.47549999999999998</v>
      </c>
      <c r="K377" s="601">
        <v>0.47549999999999998</v>
      </c>
      <c r="L377" s="601">
        <v>0.47549999999999998</v>
      </c>
      <c r="M377" s="601">
        <v>0.47549999999999998</v>
      </c>
    </row>
    <row r="378" spans="1:13">
      <c r="A378" s="598">
        <v>7</v>
      </c>
      <c r="B378" s="601">
        <v>0.65749999999999997</v>
      </c>
      <c r="C378" s="601">
        <v>0.65749999999999997</v>
      </c>
      <c r="D378" s="601">
        <v>0.623</v>
      </c>
      <c r="E378" s="601">
        <v>0.623</v>
      </c>
      <c r="F378" s="601">
        <v>0.623</v>
      </c>
      <c r="G378" s="601">
        <v>0.55069999999999997</v>
      </c>
      <c r="H378" s="601">
        <v>0.55069999999999997</v>
      </c>
      <c r="I378" s="601">
        <v>0.47389999999999999</v>
      </c>
      <c r="J378" s="601">
        <v>0.47389999999999999</v>
      </c>
      <c r="K378" s="601">
        <v>0.47389999999999999</v>
      </c>
      <c r="L378" s="601">
        <v>0.47389999999999999</v>
      </c>
      <c r="M378" s="601">
        <v>0.47389999999999999</v>
      </c>
    </row>
    <row r="379" spans="1:13">
      <c r="A379" s="598">
        <v>7.1</v>
      </c>
      <c r="B379" s="601">
        <v>0.65649999999999997</v>
      </c>
      <c r="C379" s="601">
        <v>0.65649999999999997</v>
      </c>
      <c r="D379" s="601">
        <v>0.62160000000000004</v>
      </c>
      <c r="E379" s="601">
        <v>0.62160000000000004</v>
      </c>
      <c r="F379" s="601">
        <v>0.62160000000000004</v>
      </c>
      <c r="G379" s="601">
        <v>0.54930000000000001</v>
      </c>
      <c r="H379" s="601">
        <v>0.54930000000000001</v>
      </c>
      <c r="I379" s="601">
        <v>0.47239999999999999</v>
      </c>
      <c r="J379" s="601">
        <v>0.47239999999999999</v>
      </c>
      <c r="K379" s="601">
        <v>0.47239999999999999</v>
      </c>
      <c r="L379" s="601">
        <v>0.47239999999999999</v>
      </c>
      <c r="M379" s="601">
        <v>0.47239999999999999</v>
      </c>
    </row>
    <row r="380" spans="1:13">
      <c r="A380" s="598">
        <v>7.2</v>
      </c>
      <c r="B380" s="601">
        <v>0.65549999999999997</v>
      </c>
      <c r="C380" s="601">
        <v>0.65549999999999997</v>
      </c>
      <c r="D380" s="601">
        <v>0.62019999999999997</v>
      </c>
      <c r="E380" s="601">
        <v>0.62019999999999997</v>
      </c>
      <c r="F380" s="601">
        <v>0.62019999999999997</v>
      </c>
      <c r="G380" s="601">
        <v>0.54779999999999995</v>
      </c>
      <c r="H380" s="601">
        <v>0.54779999999999995</v>
      </c>
      <c r="I380" s="601">
        <v>0.47089999999999999</v>
      </c>
      <c r="J380" s="601">
        <v>0.47089999999999999</v>
      </c>
      <c r="K380" s="601">
        <v>0.47089999999999999</v>
      </c>
      <c r="L380" s="601">
        <v>0.47089999999999999</v>
      </c>
      <c r="M380" s="601">
        <v>0.47089999999999999</v>
      </c>
    </row>
    <row r="381" spans="1:13">
      <c r="A381" s="598">
        <v>7.3</v>
      </c>
      <c r="B381" s="601">
        <v>0.65449999999999997</v>
      </c>
      <c r="C381" s="601">
        <v>0.65449999999999997</v>
      </c>
      <c r="D381" s="601">
        <v>0.61880000000000002</v>
      </c>
      <c r="E381" s="601">
        <v>0.61880000000000002</v>
      </c>
      <c r="F381" s="601">
        <v>0.61880000000000002</v>
      </c>
      <c r="G381" s="601">
        <v>0.5464</v>
      </c>
      <c r="H381" s="601">
        <v>0.5464</v>
      </c>
      <c r="I381" s="601">
        <v>0.46939999999999998</v>
      </c>
      <c r="J381" s="601">
        <v>0.46939999999999998</v>
      </c>
      <c r="K381" s="601">
        <v>0.46939999999999998</v>
      </c>
      <c r="L381" s="601">
        <v>0.46939999999999998</v>
      </c>
      <c r="M381" s="601">
        <v>0.46939999999999998</v>
      </c>
    </row>
    <row r="382" spans="1:13">
      <c r="A382" s="598">
        <v>7.4</v>
      </c>
      <c r="B382" s="601">
        <v>0.65349999999999997</v>
      </c>
      <c r="C382" s="601">
        <v>0.65349999999999997</v>
      </c>
      <c r="D382" s="601">
        <v>0.61750000000000005</v>
      </c>
      <c r="E382" s="601">
        <v>0.61750000000000005</v>
      </c>
      <c r="F382" s="601">
        <v>0.61750000000000005</v>
      </c>
      <c r="G382" s="601">
        <v>0.54490000000000005</v>
      </c>
      <c r="H382" s="601">
        <v>0.54490000000000005</v>
      </c>
      <c r="I382" s="601">
        <v>0.46779999999999999</v>
      </c>
      <c r="J382" s="601">
        <v>0.46779999999999999</v>
      </c>
      <c r="K382" s="601">
        <v>0.46779999999999999</v>
      </c>
      <c r="L382" s="601">
        <v>0.46779999999999999</v>
      </c>
      <c r="M382" s="601">
        <v>0.46779999999999999</v>
      </c>
    </row>
    <row r="383" spans="1:13">
      <c r="A383" s="598">
        <v>7.5</v>
      </c>
      <c r="B383" s="601">
        <v>0.65249999999999997</v>
      </c>
      <c r="C383" s="601">
        <v>0.65249999999999997</v>
      </c>
      <c r="D383" s="601">
        <v>0.61619999999999997</v>
      </c>
      <c r="E383" s="601">
        <v>0.61619999999999997</v>
      </c>
      <c r="F383" s="601">
        <v>0.61619999999999997</v>
      </c>
      <c r="G383" s="601">
        <v>0.54349999999999998</v>
      </c>
      <c r="H383" s="601">
        <v>0.54349999999999998</v>
      </c>
      <c r="I383" s="601">
        <v>0.46629999999999999</v>
      </c>
      <c r="J383" s="601">
        <v>0.46629999999999999</v>
      </c>
      <c r="K383" s="601">
        <v>0.46629999999999999</v>
      </c>
      <c r="L383" s="601">
        <v>0.46629999999999999</v>
      </c>
      <c r="M383" s="601">
        <v>0.46629999999999999</v>
      </c>
    </row>
    <row r="384" spans="1:13">
      <c r="A384" s="598">
        <v>7.6</v>
      </c>
      <c r="B384" s="601">
        <v>0.65149999999999997</v>
      </c>
      <c r="C384" s="601">
        <v>0.65149999999999997</v>
      </c>
      <c r="D384" s="601">
        <v>0.6149</v>
      </c>
      <c r="E384" s="601">
        <v>0.6149</v>
      </c>
      <c r="F384" s="601">
        <v>0.6149</v>
      </c>
      <c r="G384" s="601">
        <v>0.54200000000000004</v>
      </c>
      <c r="H384" s="601">
        <v>0.54200000000000004</v>
      </c>
      <c r="I384" s="601">
        <v>0.46479999999999999</v>
      </c>
      <c r="J384" s="601">
        <v>0.46479999999999999</v>
      </c>
      <c r="K384" s="601">
        <v>0.46479999999999999</v>
      </c>
      <c r="L384" s="601">
        <v>0.46479999999999999</v>
      </c>
      <c r="M384" s="601">
        <v>0.46479999999999999</v>
      </c>
    </row>
    <row r="385" spans="1:13">
      <c r="A385" s="598">
        <v>7.7</v>
      </c>
      <c r="B385" s="601">
        <v>0.65049999999999997</v>
      </c>
      <c r="C385" s="601">
        <v>0.65049999999999997</v>
      </c>
      <c r="D385" s="601">
        <v>0.61360000000000003</v>
      </c>
      <c r="E385" s="601">
        <v>0.61360000000000003</v>
      </c>
      <c r="F385" s="601">
        <v>0.61360000000000003</v>
      </c>
      <c r="G385" s="601">
        <v>0.54059999999999997</v>
      </c>
      <c r="H385" s="601">
        <v>0.54059999999999997</v>
      </c>
      <c r="I385" s="601">
        <v>0.46329999999999999</v>
      </c>
      <c r="J385" s="601">
        <v>0.46329999999999999</v>
      </c>
      <c r="K385" s="601">
        <v>0.46329999999999999</v>
      </c>
      <c r="L385" s="601">
        <v>0.46329999999999999</v>
      </c>
      <c r="M385" s="601">
        <v>0.46329999999999999</v>
      </c>
    </row>
    <row r="386" spans="1:13">
      <c r="A386" s="598">
        <v>7.8</v>
      </c>
      <c r="B386" s="601">
        <v>0.64949999999999997</v>
      </c>
      <c r="C386" s="601">
        <v>0.64949999999999997</v>
      </c>
      <c r="D386" s="601">
        <v>0.61229999999999996</v>
      </c>
      <c r="E386" s="601">
        <v>0.61229999999999996</v>
      </c>
      <c r="F386" s="601">
        <v>0.61229999999999996</v>
      </c>
      <c r="G386" s="601">
        <v>0.53910000000000002</v>
      </c>
      <c r="H386" s="601">
        <v>0.53910000000000002</v>
      </c>
      <c r="I386" s="601">
        <v>0.4617</v>
      </c>
      <c r="J386" s="601">
        <v>0.4617</v>
      </c>
      <c r="K386" s="601">
        <v>0.4617</v>
      </c>
      <c r="L386" s="601">
        <v>0.4617</v>
      </c>
      <c r="M386" s="601">
        <v>0.4617</v>
      </c>
    </row>
    <row r="387" spans="1:13">
      <c r="A387" s="598">
        <v>7.9</v>
      </c>
      <c r="B387" s="601">
        <v>0.64849999999999997</v>
      </c>
      <c r="C387" s="601">
        <v>0.64849999999999997</v>
      </c>
      <c r="D387" s="601">
        <v>0.61099999999999999</v>
      </c>
      <c r="E387" s="601">
        <v>0.61099999999999999</v>
      </c>
      <c r="F387" s="601">
        <v>0.61099999999999999</v>
      </c>
      <c r="G387" s="601">
        <v>0.53769999999999996</v>
      </c>
      <c r="H387" s="601">
        <v>0.53769999999999996</v>
      </c>
      <c r="I387" s="601">
        <v>0.4602</v>
      </c>
      <c r="J387" s="601">
        <v>0.4602</v>
      </c>
      <c r="K387" s="601">
        <v>0.4602</v>
      </c>
      <c r="L387" s="601">
        <v>0.4602</v>
      </c>
      <c r="M387" s="601">
        <v>0.4602</v>
      </c>
    </row>
    <row r="388" spans="1:13">
      <c r="A388" s="598">
        <v>8</v>
      </c>
      <c r="B388" s="601">
        <v>0.64749999999999996</v>
      </c>
      <c r="C388" s="601">
        <v>0.64749999999999996</v>
      </c>
      <c r="D388" s="601">
        <v>0.60970000000000002</v>
      </c>
      <c r="E388" s="601">
        <v>0.60970000000000002</v>
      </c>
      <c r="F388" s="601">
        <v>0.60970000000000002</v>
      </c>
      <c r="G388" s="601">
        <v>0.53620000000000001</v>
      </c>
      <c r="H388" s="601">
        <v>0.53620000000000001</v>
      </c>
      <c r="I388" s="601">
        <v>0.4587</v>
      </c>
      <c r="J388" s="601">
        <v>0.4587</v>
      </c>
      <c r="K388" s="601">
        <v>0.4587</v>
      </c>
      <c r="L388" s="601">
        <v>0.4587</v>
      </c>
      <c r="M388" s="601">
        <v>0.4587</v>
      </c>
    </row>
    <row r="389" spans="1:13">
      <c r="A389" s="598">
        <v>8.1</v>
      </c>
      <c r="B389" s="601">
        <v>0.64649999999999996</v>
      </c>
      <c r="C389" s="601">
        <v>0.64649999999999996</v>
      </c>
      <c r="D389" s="601">
        <v>0.60840000000000005</v>
      </c>
      <c r="E389" s="601">
        <v>0.60840000000000005</v>
      </c>
      <c r="F389" s="601">
        <v>0.60840000000000005</v>
      </c>
      <c r="G389" s="601">
        <v>0.53480000000000005</v>
      </c>
      <c r="H389" s="601">
        <v>0.53480000000000005</v>
      </c>
      <c r="I389" s="601">
        <v>0.4572</v>
      </c>
      <c r="J389" s="601">
        <v>0.4572</v>
      </c>
      <c r="K389" s="601">
        <v>0.4572</v>
      </c>
      <c r="L389" s="601">
        <v>0.4572</v>
      </c>
      <c r="M389" s="601">
        <v>0.4572</v>
      </c>
    </row>
    <row r="390" spans="1:13">
      <c r="A390" s="598">
        <v>8.1999999999999993</v>
      </c>
      <c r="B390" s="601">
        <v>0.64549999999999996</v>
      </c>
      <c r="C390" s="601">
        <v>0.64549999999999996</v>
      </c>
      <c r="D390" s="601">
        <v>0.60709999999999997</v>
      </c>
      <c r="E390" s="601">
        <v>0.60709999999999997</v>
      </c>
      <c r="F390" s="601">
        <v>0.60709999999999997</v>
      </c>
      <c r="G390" s="601">
        <v>0.5333</v>
      </c>
      <c r="H390" s="601">
        <v>0.5333</v>
      </c>
      <c r="I390" s="601">
        <v>0.45569999999999999</v>
      </c>
      <c r="J390" s="601">
        <v>0.45569999999999999</v>
      </c>
      <c r="K390" s="601">
        <v>0.45569999999999999</v>
      </c>
      <c r="L390" s="601">
        <v>0.45569999999999999</v>
      </c>
      <c r="M390" s="601">
        <v>0.45569999999999999</v>
      </c>
    </row>
    <row r="391" spans="1:13">
      <c r="A391" s="598">
        <v>8.3000000000000007</v>
      </c>
      <c r="B391" s="601">
        <v>0.64449999999999996</v>
      </c>
      <c r="C391" s="601">
        <v>0.64449999999999996</v>
      </c>
      <c r="D391" s="601">
        <v>0.60580000000000001</v>
      </c>
      <c r="E391" s="601">
        <v>0.60580000000000001</v>
      </c>
      <c r="F391" s="601">
        <v>0.60580000000000001</v>
      </c>
      <c r="G391" s="601">
        <v>0.53190000000000004</v>
      </c>
      <c r="H391" s="601">
        <v>0.53190000000000004</v>
      </c>
      <c r="I391" s="601">
        <v>0.45429999999999998</v>
      </c>
      <c r="J391" s="601">
        <v>0.45429999999999998</v>
      </c>
      <c r="K391" s="601">
        <v>0.45429999999999998</v>
      </c>
      <c r="L391" s="601">
        <v>0.45429999999999998</v>
      </c>
      <c r="M391" s="601">
        <v>0.45429999999999998</v>
      </c>
    </row>
    <row r="392" spans="1:13">
      <c r="A392" s="598">
        <v>8.4</v>
      </c>
      <c r="B392" s="601">
        <v>0.64349999999999996</v>
      </c>
      <c r="C392" s="601">
        <v>0.64349999999999996</v>
      </c>
      <c r="D392" s="601">
        <v>0.60450000000000004</v>
      </c>
      <c r="E392" s="601">
        <v>0.60450000000000004</v>
      </c>
      <c r="F392" s="601">
        <v>0.60450000000000004</v>
      </c>
      <c r="G392" s="601">
        <v>0.53039999999999998</v>
      </c>
      <c r="H392" s="601">
        <v>0.53039999999999998</v>
      </c>
      <c r="I392" s="601">
        <v>0.45290000000000002</v>
      </c>
      <c r="J392" s="601">
        <v>0.45290000000000002</v>
      </c>
      <c r="K392" s="601">
        <v>0.45290000000000002</v>
      </c>
      <c r="L392" s="601">
        <v>0.45290000000000002</v>
      </c>
      <c r="M392" s="601">
        <v>0.45290000000000002</v>
      </c>
    </row>
    <row r="393" spans="1:13">
      <c r="A393" s="598">
        <v>8.5</v>
      </c>
      <c r="B393" s="601">
        <v>0.64249999999999996</v>
      </c>
      <c r="C393" s="601">
        <v>0.64249999999999996</v>
      </c>
      <c r="D393" s="601">
        <v>0.60319999999999996</v>
      </c>
      <c r="E393" s="601">
        <v>0.60319999999999996</v>
      </c>
      <c r="F393" s="601">
        <v>0.60319999999999996</v>
      </c>
      <c r="G393" s="601">
        <v>0.52900000000000003</v>
      </c>
      <c r="H393" s="601">
        <v>0.52900000000000003</v>
      </c>
      <c r="I393" s="601">
        <v>0.45140000000000002</v>
      </c>
      <c r="J393" s="601">
        <v>0.45140000000000002</v>
      </c>
      <c r="K393" s="601">
        <v>0.45140000000000002</v>
      </c>
      <c r="L393" s="601">
        <v>0.45140000000000002</v>
      </c>
      <c r="M393" s="601">
        <v>0.45140000000000002</v>
      </c>
    </row>
    <row r="394" spans="1:13">
      <c r="A394" s="598">
        <v>8.6</v>
      </c>
      <c r="B394" s="601">
        <v>0.64149999999999996</v>
      </c>
      <c r="C394" s="601">
        <v>0.64149999999999996</v>
      </c>
      <c r="D394" s="601">
        <v>0.60189999999999999</v>
      </c>
      <c r="E394" s="601">
        <v>0.60189999999999999</v>
      </c>
      <c r="F394" s="601">
        <v>0.60189999999999999</v>
      </c>
      <c r="G394" s="601">
        <v>0.52749999999999997</v>
      </c>
      <c r="H394" s="601">
        <v>0.52749999999999997</v>
      </c>
      <c r="I394" s="601">
        <v>0.45</v>
      </c>
      <c r="J394" s="601">
        <v>0.45</v>
      </c>
      <c r="K394" s="601">
        <v>0.45</v>
      </c>
      <c r="L394" s="601">
        <v>0.45</v>
      </c>
      <c r="M394" s="601">
        <v>0.45</v>
      </c>
    </row>
    <row r="395" spans="1:13">
      <c r="A395" s="598">
        <v>8.6999999999999993</v>
      </c>
      <c r="B395" s="601">
        <v>0.64049999999999996</v>
      </c>
      <c r="C395" s="601">
        <v>0.64049999999999996</v>
      </c>
      <c r="D395" s="601">
        <v>0.60060000000000002</v>
      </c>
      <c r="E395" s="601">
        <v>0.60060000000000002</v>
      </c>
      <c r="F395" s="601">
        <v>0.60060000000000002</v>
      </c>
      <c r="G395" s="601">
        <v>0.52610000000000001</v>
      </c>
      <c r="H395" s="601">
        <v>0.52610000000000001</v>
      </c>
      <c r="I395" s="601">
        <v>0.44850000000000001</v>
      </c>
      <c r="J395" s="601">
        <v>0.44850000000000001</v>
      </c>
      <c r="K395" s="601">
        <v>0.44850000000000001</v>
      </c>
      <c r="L395" s="601">
        <v>0.44850000000000001</v>
      </c>
      <c r="M395" s="601">
        <v>0.44850000000000001</v>
      </c>
    </row>
    <row r="396" spans="1:13">
      <c r="A396" s="598">
        <v>8.8000000000000007</v>
      </c>
      <c r="B396" s="601">
        <v>0.63949999999999996</v>
      </c>
      <c r="C396" s="601">
        <v>0.63949999999999996</v>
      </c>
      <c r="D396" s="601">
        <v>0.59930000000000005</v>
      </c>
      <c r="E396" s="601">
        <v>0.59930000000000005</v>
      </c>
      <c r="F396" s="601">
        <v>0.59930000000000005</v>
      </c>
      <c r="G396" s="601">
        <v>0.52459999999999996</v>
      </c>
      <c r="H396" s="601">
        <v>0.52459999999999996</v>
      </c>
      <c r="I396" s="601">
        <v>0.4471</v>
      </c>
      <c r="J396" s="601">
        <v>0.4471</v>
      </c>
      <c r="K396" s="601">
        <v>0.4471</v>
      </c>
      <c r="L396" s="601">
        <v>0.4471</v>
      </c>
      <c r="M396" s="601">
        <v>0.4471</v>
      </c>
    </row>
    <row r="397" spans="1:13">
      <c r="A397" s="598">
        <v>8.9</v>
      </c>
      <c r="B397" s="601">
        <v>0.63849999999999996</v>
      </c>
      <c r="C397" s="601">
        <v>0.63849999999999996</v>
      </c>
      <c r="D397" s="601">
        <v>0.59799999999999998</v>
      </c>
      <c r="E397" s="601">
        <v>0.59799999999999998</v>
      </c>
      <c r="F397" s="601">
        <v>0.59799999999999998</v>
      </c>
      <c r="G397" s="601">
        <v>0.5232</v>
      </c>
      <c r="H397" s="601">
        <v>0.5232</v>
      </c>
      <c r="I397" s="601">
        <v>0.4456</v>
      </c>
      <c r="J397" s="601">
        <v>0.4456</v>
      </c>
      <c r="K397" s="601">
        <v>0.4456</v>
      </c>
      <c r="L397" s="601">
        <v>0.4456</v>
      </c>
      <c r="M397" s="601">
        <v>0.4456</v>
      </c>
    </row>
    <row r="398" spans="1:13">
      <c r="A398" s="602">
        <v>9</v>
      </c>
      <c r="B398" s="601">
        <v>0.63749999999999996</v>
      </c>
      <c r="C398" s="601">
        <v>0.63749999999999996</v>
      </c>
      <c r="D398" s="601">
        <v>0.59670000000000001</v>
      </c>
      <c r="E398" s="601">
        <v>0.59670000000000001</v>
      </c>
      <c r="F398" s="601">
        <v>0.59670000000000001</v>
      </c>
      <c r="G398" s="601">
        <v>0.52170000000000005</v>
      </c>
      <c r="H398" s="601">
        <v>0.52170000000000005</v>
      </c>
      <c r="I398" s="601">
        <v>0.44429999999999997</v>
      </c>
      <c r="J398" s="601">
        <v>0.44429999999999997</v>
      </c>
      <c r="K398" s="601">
        <v>0.44429999999999997</v>
      </c>
      <c r="L398" s="601">
        <v>0.44429999999999997</v>
      </c>
      <c r="M398" s="601">
        <v>0.44429999999999997</v>
      </c>
    </row>
    <row r="399" spans="1:13">
      <c r="A399" s="602">
        <v>9.1</v>
      </c>
      <c r="B399" s="601">
        <v>0.63649999999999995</v>
      </c>
      <c r="C399" s="601">
        <v>0.63649999999999995</v>
      </c>
      <c r="D399" s="601">
        <v>0.59540000000000004</v>
      </c>
      <c r="E399" s="601">
        <v>0.59540000000000004</v>
      </c>
      <c r="F399" s="601">
        <v>0.59540000000000004</v>
      </c>
      <c r="G399" s="601">
        <v>0.52029999999999998</v>
      </c>
      <c r="H399" s="601">
        <v>0.52029999999999998</v>
      </c>
      <c r="I399" s="601">
        <v>0.44290000000000002</v>
      </c>
      <c r="J399" s="601">
        <v>0.44290000000000002</v>
      </c>
      <c r="K399" s="601">
        <v>0.44290000000000002</v>
      </c>
      <c r="L399" s="601">
        <v>0.44290000000000002</v>
      </c>
      <c r="M399" s="601">
        <v>0.44290000000000002</v>
      </c>
    </row>
    <row r="400" spans="1:13">
      <c r="A400" s="602">
        <v>9.1999999999999993</v>
      </c>
      <c r="B400" s="601">
        <v>0.63549999999999995</v>
      </c>
      <c r="C400" s="601">
        <v>0.63549999999999995</v>
      </c>
      <c r="D400" s="601">
        <v>0.59409999999999996</v>
      </c>
      <c r="E400" s="601">
        <v>0.59409999999999996</v>
      </c>
      <c r="F400" s="601">
        <v>0.59409999999999996</v>
      </c>
      <c r="G400" s="601">
        <v>0.51880000000000004</v>
      </c>
      <c r="H400" s="601">
        <v>0.51880000000000004</v>
      </c>
      <c r="I400" s="601">
        <v>0.44159999999999999</v>
      </c>
      <c r="J400" s="601">
        <v>0.44159999999999999</v>
      </c>
      <c r="K400" s="601">
        <v>0.44159999999999999</v>
      </c>
      <c r="L400" s="601">
        <v>0.44159999999999999</v>
      </c>
      <c r="M400" s="601">
        <v>0.44159999999999999</v>
      </c>
    </row>
    <row r="401" spans="1:13">
      <c r="A401" s="602">
        <v>9.3000000000000007</v>
      </c>
      <c r="B401" s="601">
        <v>0.63449999999999995</v>
      </c>
      <c r="C401" s="601">
        <v>0.63449999999999995</v>
      </c>
      <c r="D401" s="601">
        <v>0.59279999999999999</v>
      </c>
      <c r="E401" s="601">
        <v>0.59279999999999999</v>
      </c>
      <c r="F401" s="601">
        <v>0.59279999999999999</v>
      </c>
      <c r="G401" s="601">
        <v>0.51739999999999997</v>
      </c>
      <c r="H401" s="601">
        <v>0.51739999999999997</v>
      </c>
      <c r="I401" s="601">
        <v>0.44019999999999998</v>
      </c>
      <c r="J401" s="601">
        <v>0.44019999999999998</v>
      </c>
      <c r="K401" s="601">
        <v>0.44019999999999998</v>
      </c>
      <c r="L401" s="601">
        <v>0.44019999999999998</v>
      </c>
      <c r="M401" s="601">
        <v>0.44019999999999998</v>
      </c>
    </row>
    <row r="402" spans="1:13">
      <c r="A402" s="602">
        <v>9.4</v>
      </c>
      <c r="B402" s="601">
        <v>0.63349999999999995</v>
      </c>
      <c r="C402" s="601">
        <v>0.63349999999999995</v>
      </c>
      <c r="D402" s="601">
        <v>0.59150000000000003</v>
      </c>
      <c r="E402" s="601">
        <v>0.59150000000000003</v>
      </c>
      <c r="F402" s="601">
        <v>0.59150000000000003</v>
      </c>
      <c r="G402" s="601">
        <v>0.51600000000000001</v>
      </c>
      <c r="H402" s="601">
        <v>0.51600000000000001</v>
      </c>
      <c r="I402" s="601">
        <v>0.43880000000000002</v>
      </c>
      <c r="J402" s="601">
        <v>0.43880000000000002</v>
      </c>
      <c r="K402" s="601">
        <v>0.43880000000000002</v>
      </c>
      <c r="L402" s="601">
        <v>0.43880000000000002</v>
      </c>
      <c r="M402" s="601">
        <v>0.43880000000000002</v>
      </c>
    </row>
    <row r="403" spans="1:13">
      <c r="A403" s="602">
        <v>9.5</v>
      </c>
      <c r="B403" s="601">
        <v>0.63249999999999995</v>
      </c>
      <c r="C403" s="601">
        <v>0.63249999999999995</v>
      </c>
      <c r="D403" s="601">
        <v>0.59030000000000005</v>
      </c>
      <c r="E403" s="601">
        <v>0.59030000000000005</v>
      </c>
      <c r="F403" s="601">
        <v>0.59030000000000005</v>
      </c>
      <c r="G403" s="601">
        <v>0.51470000000000005</v>
      </c>
      <c r="H403" s="601">
        <v>0.51470000000000005</v>
      </c>
      <c r="I403" s="601">
        <v>0.4375</v>
      </c>
      <c r="J403" s="601">
        <v>0.4375</v>
      </c>
      <c r="K403" s="601">
        <v>0.4375</v>
      </c>
      <c r="L403" s="601">
        <v>0.4375</v>
      </c>
      <c r="M403" s="601">
        <v>0.4375</v>
      </c>
    </row>
    <row r="404" spans="1:13">
      <c r="A404" s="602">
        <v>9.6</v>
      </c>
      <c r="B404" s="601">
        <v>0.63149999999999995</v>
      </c>
      <c r="C404" s="601">
        <v>0.63149999999999995</v>
      </c>
      <c r="D404" s="601">
        <v>0.58909999999999996</v>
      </c>
      <c r="E404" s="601">
        <v>0.58909999999999996</v>
      </c>
      <c r="F404" s="601">
        <v>0.58909999999999996</v>
      </c>
      <c r="G404" s="601">
        <v>0.51329999999999998</v>
      </c>
      <c r="H404" s="601">
        <v>0.51329999999999998</v>
      </c>
      <c r="I404" s="601">
        <v>0.43609999999999999</v>
      </c>
      <c r="J404" s="601">
        <v>0.43609999999999999</v>
      </c>
      <c r="K404" s="601">
        <v>0.43609999999999999</v>
      </c>
      <c r="L404" s="601">
        <v>0.43609999999999999</v>
      </c>
      <c r="M404" s="601">
        <v>0.43609999999999999</v>
      </c>
    </row>
    <row r="405" spans="1:13">
      <c r="A405" s="602">
        <v>9.6999999999999993</v>
      </c>
      <c r="B405" s="601">
        <v>0.63049999999999995</v>
      </c>
      <c r="C405" s="601">
        <v>0.63049999999999995</v>
      </c>
      <c r="D405" s="601">
        <v>0.58789999999999998</v>
      </c>
      <c r="E405" s="601">
        <v>0.58789999999999998</v>
      </c>
      <c r="F405" s="601">
        <v>0.58789999999999998</v>
      </c>
      <c r="G405" s="601">
        <v>0.51200000000000001</v>
      </c>
      <c r="H405" s="601">
        <v>0.51200000000000001</v>
      </c>
      <c r="I405" s="601">
        <v>0.43480000000000002</v>
      </c>
      <c r="J405" s="601">
        <v>0.43480000000000002</v>
      </c>
      <c r="K405" s="601">
        <v>0.43480000000000002</v>
      </c>
      <c r="L405" s="601">
        <v>0.43480000000000002</v>
      </c>
      <c r="M405" s="601">
        <v>0.43480000000000002</v>
      </c>
    </row>
    <row r="406" spans="1:13">
      <c r="A406" s="602">
        <v>9.8000000000000007</v>
      </c>
      <c r="B406" s="601">
        <v>0.62949999999999995</v>
      </c>
      <c r="C406" s="601">
        <v>0.62949999999999995</v>
      </c>
      <c r="D406" s="601">
        <v>0.5867</v>
      </c>
      <c r="E406" s="601">
        <v>0.5867</v>
      </c>
      <c r="F406" s="601">
        <v>0.5867</v>
      </c>
      <c r="G406" s="601">
        <v>0.51060000000000005</v>
      </c>
      <c r="H406" s="601">
        <v>0.51060000000000005</v>
      </c>
      <c r="I406" s="601">
        <v>0.43340000000000001</v>
      </c>
      <c r="J406" s="601">
        <v>0.43340000000000001</v>
      </c>
      <c r="K406" s="601">
        <v>0.43340000000000001</v>
      </c>
      <c r="L406" s="601">
        <v>0.43340000000000001</v>
      </c>
      <c r="M406" s="601">
        <v>0.43340000000000001</v>
      </c>
    </row>
    <row r="407" spans="1:13">
      <c r="A407" s="602">
        <v>9.9</v>
      </c>
      <c r="B407" s="601">
        <v>0.62849999999999995</v>
      </c>
      <c r="C407" s="601">
        <v>0.62849999999999995</v>
      </c>
      <c r="D407" s="601">
        <v>0.58550000000000002</v>
      </c>
      <c r="E407" s="601">
        <v>0.58550000000000002</v>
      </c>
      <c r="F407" s="601">
        <v>0.58550000000000002</v>
      </c>
      <c r="G407" s="601">
        <v>0.50919999999999999</v>
      </c>
      <c r="H407" s="601">
        <v>0.50919999999999999</v>
      </c>
      <c r="I407" s="601">
        <v>0.432</v>
      </c>
      <c r="J407" s="601">
        <v>0.432</v>
      </c>
      <c r="K407" s="601">
        <v>0.432</v>
      </c>
      <c r="L407" s="601">
        <v>0.432</v>
      </c>
      <c r="M407" s="601">
        <v>0.432</v>
      </c>
    </row>
    <row r="408" spans="1:13">
      <c r="A408" s="602">
        <v>10</v>
      </c>
      <c r="B408" s="601">
        <v>0.62749999999999995</v>
      </c>
      <c r="C408" s="601">
        <v>0.62749999999999995</v>
      </c>
      <c r="D408" s="601">
        <v>0.58430000000000004</v>
      </c>
      <c r="E408" s="601">
        <v>0.58430000000000004</v>
      </c>
      <c r="F408" s="601">
        <v>0.58430000000000004</v>
      </c>
      <c r="G408" s="601">
        <v>0.50790000000000002</v>
      </c>
      <c r="H408" s="601">
        <v>0.50790000000000002</v>
      </c>
      <c r="I408" s="601">
        <v>0.43070000000000003</v>
      </c>
      <c r="J408" s="601">
        <v>0.43070000000000003</v>
      </c>
      <c r="K408" s="601">
        <v>0.43070000000000003</v>
      </c>
      <c r="L408" s="601">
        <v>0.43070000000000003</v>
      </c>
      <c r="M408" s="601">
        <v>0.43070000000000003</v>
      </c>
    </row>
  </sheetData>
  <sheetProtection password="C66D"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581" customWidth="1"/>
    <col min="2" max="2" width="12.5" style="581" customWidth="1"/>
    <col min="3" max="3" width="12.125" style="581" customWidth="1"/>
    <col min="4" max="4" width="14.125" style="581" customWidth="1"/>
    <col min="5" max="5" width="12.5" style="581" customWidth="1"/>
    <col min="6" max="16384" width="9" style="581"/>
  </cols>
  <sheetData>
    <row r="1" spans="1:16" ht="21">
      <c r="A1" s="582" t="s">
        <v>1974</v>
      </c>
      <c r="B1" s="583"/>
      <c r="C1" s="583"/>
      <c r="D1" s="583"/>
      <c r="E1" s="583"/>
      <c r="F1" s="584"/>
      <c r="G1" s="584"/>
      <c r="H1" s="584"/>
      <c r="I1" s="584"/>
      <c r="J1" s="584"/>
      <c r="K1" s="584"/>
      <c r="L1" s="584"/>
      <c r="M1" s="584"/>
      <c r="N1" s="584"/>
      <c r="O1" s="584"/>
      <c r="P1" s="584"/>
    </row>
    <row r="2" spans="1:16" ht="15.75">
      <c r="A2" s="585" t="s">
        <v>97</v>
      </c>
      <c r="B2" s="586" t="e">
        <f ca="1">SUMIF(B6:B13,"&lt;&gt;#ref!",B6:B13)</f>
        <v>#DIV/0!</v>
      </c>
      <c r="C2" s="585" t="s">
        <v>1975</v>
      </c>
      <c r="D2" s="585" t="s">
        <v>1976</v>
      </c>
      <c r="E2" s="587">
        <f ca="1">SUMIF(E6:E13,"&lt;&gt;#ref!",E6:E13)</f>
        <v>0</v>
      </c>
      <c r="F2" s="584"/>
      <c r="G2" s="584"/>
      <c r="H2" s="584"/>
      <c r="I2" s="584"/>
      <c r="J2" s="584"/>
      <c r="K2" s="584"/>
      <c r="L2" s="584"/>
      <c r="M2" s="584"/>
      <c r="N2" s="584"/>
      <c r="O2" s="584"/>
      <c r="P2" s="584"/>
    </row>
    <row r="3" spans="1:16" ht="15.75">
      <c r="A3" s="585" t="s">
        <v>1977</v>
      </c>
      <c r="B3" s="586" t="e">
        <f ca="1">ROUND(B2*10000/E2,0)</f>
        <v>#DIV/0!</v>
      </c>
      <c r="C3" s="585" t="s">
        <v>1978</v>
      </c>
      <c r="D3" s="584"/>
      <c r="E3" s="584"/>
      <c r="F3" s="584"/>
      <c r="G3" s="584"/>
      <c r="H3" s="584"/>
      <c r="I3" s="584"/>
      <c r="J3" s="584"/>
      <c r="K3" s="584"/>
      <c r="L3" s="584"/>
      <c r="M3" s="584"/>
      <c r="N3" s="584"/>
      <c r="O3" s="584"/>
      <c r="P3" s="584"/>
    </row>
    <row r="4" spans="1:16" ht="15.75">
      <c r="A4" s="588"/>
      <c r="B4" s="584"/>
      <c r="C4" s="584"/>
      <c r="D4" s="584"/>
      <c r="E4" s="584"/>
      <c r="F4" s="584"/>
      <c r="G4" s="584"/>
      <c r="H4" s="584"/>
      <c r="I4" s="584"/>
      <c r="J4" s="584"/>
      <c r="K4" s="584"/>
      <c r="L4" s="584"/>
      <c r="M4" s="584"/>
      <c r="N4" s="584"/>
      <c r="O4" s="584"/>
      <c r="P4" s="584"/>
    </row>
    <row r="5" spans="1:16" ht="28.5">
      <c r="A5" s="589" t="s">
        <v>1979</v>
      </c>
      <c r="B5" s="590" t="s">
        <v>1980</v>
      </c>
      <c r="C5" s="591"/>
      <c r="D5" s="584"/>
      <c r="E5" s="592" t="s">
        <v>1981</v>
      </c>
      <c r="F5" s="584"/>
      <c r="G5" s="584"/>
      <c r="H5" s="584"/>
      <c r="I5" s="584"/>
      <c r="J5" s="584"/>
      <c r="K5" s="584"/>
      <c r="L5" s="584"/>
      <c r="M5" s="584"/>
      <c r="N5" s="584"/>
      <c r="O5" s="584"/>
      <c r="P5" s="584"/>
    </row>
    <row r="6" spans="1:16" ht="15.75">
      <c r="A6" s="593" t="s">
        <v>1982</v>
      </c>
      <c r="B6" s="586" t="e">
        <f ca="1">SUMIF(INDIRECT("'"&amp;A6&amp;"'"&amp;"!A:A"),"总价",INDIRECT("'"&amp;A6&amp;"'"&amp;"!B:B"))</f>
        <v>#DIV/0!</v>
      </c>
      <c r="C6" s="585" t="s">
        <v>1975</v>
      </c>
      <c r="D6" s="584"/>
      <c r="E6" s="587">
        <f ca="1">SUMIF(INDIRECT("'"&amp;A6&amp;"'"&amp;"!C:C"),"建筑面积",INDIRECT("'"&amp;A6&amp;"'"&amp;"!D:D"))</f>
        <v>0</v>
      </c>
      <c r="F6" s="584"/>
      <c r="G6" s="584"/>
      <c r="H6" s="584"/>
      <c r="I6" s="584"/>
      <c r="J6" s="584"/>
      <c r="K6" s="584"/>
      <c r="L6" s="584"/>
      <c r="M6" s="584"/>
      <c r="N6" s="584"/>
      <c r="O6" s="584"/>
      <c r="P6" s="584"/>
    </row>
    <row r="7" spans="1:16" ht="15.75">
      <c r="A7" s="593"/>
      <c r="B7" s="586" t="e">
        <f ca="1">SUMIF(INDIRECT("'"&amp;A7&amp;"'"&amp;"!A:A"),"总价",INDIRECT("'"&amp;A7&amp;"'"&amp;"!B:B"))</f>
        <v>#REF!</v>
      </c>
      <c r="C7" s="585" t="s">
        <v>1975</v>
      </c>
      <c r="D7" s="584"/>
      <c r="E7" s="587" t="e">
        <f t="shared" ref="E7:E13" ca="1" si="0">SUMIF(INDIRECT("'"&amp;A7&amp;"'"&amp;"!C:C"),"建筑面积",INDIRECT("'"&amp;A7&amp;"'"&amp;"!D:D"))</f>
        <v>#REF!</v>
      </c>
      <c r="F7" s="584"/>
      <c r="G7" s="584"/>
      <c r="H7" s="584"/>
      <c r="I7" s="584"/>
      <c r="J7" s="584"/>
      <c r="K7" s="584"/>
      <c r="L7" s="584"/>
      <c r="M7" s="584"/>
      <c r="N7" s="584"/>
      <c r="O7" s="584"/>
      <c r="P7" s="584"/>
    </row>
    <row r="8" spans="1:16" ht="15.75">
      <c r="A8" s="593"/>
      <c r="B8" s="586" t="e">
        <f t="shared" ref="B8:B13" ca="1" si="1">SUMIF(INDIRECT("'"&amp;A8&amp;"'"&amp;"!A:A"),"总价",INDIRECT("'"&amp;A8&amp;"'"&amp;"!B:B"))</f>
        <v>#REF!</v>
      </c>
      <c r="C8" s="585" t="s">
        <v>1975</v>
      </c>
      <c r="D8" s="584"/>
      <c r="E8" s="587" t="e">
        <f t="shared" ca="1" si="0"/>
        <v>#REF!</v>
      </c>
      <c r="F8" s="584"/>
      <c r="G8" s="584"/>
      <c r="H8" s="584"/>
      <c r="I8" s="584"/>
      <c r="J8" s="584"/>
      <c r="K8" s="584"/>
      <c r="L8" s="584"/>
      <c r="M8" s="584"/>
      <c r="N8" s="584"/>
      <c r="O8" s="584"/>
      <c r="P8" s="584"/>
    </row>
    <row r="9" spans="1:16" ht="15.75">
      <c r="A9" s="593"/>
      <c r="B9" s="586" t="e">
        <f t="shared" ca="1" si="1"/>
        <v>#REF!</v>
      </c>
      <c r="C9" s="585" t="s">
        <v>1975</v>
      </c>
      <c r="D9" s="584"/>
      <c r="E9" s="587" t="e">
        <f t="shared" ca="1" si="0"/>
        <v>#REF!</v>
      </c>
      <c r="F9" s="584"/>
      <c r="G9" s="584"/>
      <c r="H9" s="584"/>
      <c r="I9" s="584"/>
      <c r="J9" s="584"/>
      <c r="K9" s="584"/>
      <c r="L9" s="584"/>
      <c r="M9" s="584"/>
      <c r="N9" s="584"/>
      <c r="O9" s="584"/>
      <c r="P9" s="584"/>
    </row>
    <row r="10" spans="1:16" ht="15.75">
      <c r="A10" s="593"/>
      <c r="B10" s="586" t="e">
        <f t="shared" ca="1" si="1"/>
        <v>#REF!</v>
      </c>
      <c r="C10" s="585" t="s">
        <v>1975</v>
      </c>
      <c r="D10" s="584"/>
      <c r="E10" s="587" t="e">
        <f t="shared" ca="1" si="0"/>
        <v>#REF!</v>
      </c>
      <c r="F10" s="584"/>
      <c r="G10" s="584"/>
      <c r="H10" s="584"/>
      <c r="I10" s="584"/>
      <c r="J10" s="584"/>
      <c r="K10" s="584"/>
      <c r="L10" s="584"/>
      <c r="M10" s="584"/>
      <c r="N10" s="584"/>
      <c r="O10" s="584"/>
      <c r="P10" s="584"/>
    </row>
    <row r="11" spans="1:16" ht="15.75">
      <c r="A11" s="593"/>
      <c r="B11" s="586" t="e">
        <f t="shared" ca="1" si="1"/>
        <v>#REF!</v>
      </c>
      <c r="C11" s="585" t="s">
        <v>1975</v>
      </c>
      <c r="D11" s="584"/>
      <c r="E11" s="587" t="e">
        <f t="shared" ca="1" si="0"/>
        <v>#REF!</v>
      </c>
      <c r="F11" s="584"/>
      <c r="G11" s="584"/>
      <c r="H11" s="584"/>
      <c r="I11" s="584"/>
      <c r="J11" s="584"/>
      <c r="K11" s="584"/>
      <c r="L11" s="584"/>
      <c r="M11" s="584"/>
      <c r="N11" s="584"/>
      <c r="O11" s="584"/>
      <c r="P11" s="584"/>
    </row>
    <row r="12" spans="1:16" ht="15.75">
      <c r="A12" s="593"/>
      <c r="B12" s="586" t="e">
        <f t="shared" ca="1" si="1"/>
        <v>#REF!</v>
      </c>
      <c r="C12" s="585" t="s">
        <v>1975</v>
      </c>
      <c r="D12" s="584"/>
      <c r="E12" s="587" t="e">
        <f t="shared" ca="1" si="0"/>
        <v>#REF!</v>
      </c>
      <c r="F12" s="584"/>
      <c r="G12" s="584"/>
      <c r="H12" s="584"/>
      <c r="I12" s="584"/>
      <c r="J12" s="584"/>
      <c r="K12" s="584"/>
      <c r="L12" s="584"/>
      <c r="M12" s="584"/>
      <c r="N12" s="584"/>
      <c r="O12" s="584"/>
      <c r="P12" s="584"/>
    </row>
    <row r="13" spans="1:16" ht="15.75">
      <c r="A13" s="593"/>
      <c r="B13" s="586" t="e">
        <f t="shared" ca="1" si="1"/>
        <v>#REF!</v>
      </c>
      <c r="C13" s="585" t="s">
        <v>1975</v>
      </c>
      <c r="D13" s="584"/>
      <c r="E13" s="587" t="e">
        <f t="shared" ca="1" si="0"/>
        <v>#REF!</v>
      </c>
      <c r="F13" s="584"/>
      <c r="G13" s="584"/>
      <c r="H13" s="584"/>
      <c r="I13" s="584"/>
      <c r="J13" s="584"/>
      <c r="K13" s="584"/>
      <c r="L13" s="584"/>
      <c r="M13" s="584"/>
      <c r="N13" s="584"/>
      <c r="O13" s="584"/>
      <c r="P13" s="584"/>
    </row>
    <row r="14" spans="1:16">
      <c r="A14" s="584"/>
      <c r="B14" s="584"/>
      <c r="C14" s="584"/>
      <c r="D14" s="584"/>
      <c r="E14" s="584"/>
      <c r="F14" s="584"/>
      <c r="G14" s="584"/>
      <c r="H14" s="584"/>
      <c r="I14" s="584"/>
      <c r="J14" s="584"/>
      <c r="K14" s="584"/>
      <c r="L14" s="584"/>
      <c r="M14" s="584"/>
      <c r="N14" s="584"/>
      <c r="O14" s="584"/>
      <c r="P14" s="584"/>
    </row>
    <row r="15" spans="1:16">
      <c r="A15" s="584"/>
      <c r="B15" s="584"/>
      <c r="C15" s="584"/>
      <c r="D15" s="584"/>
      <c r="E15" s="584"/>
      <c r="F15" s="584"/>
      <c r="G15" s="584"/>
      <c r="H15" s="584"/>
      <c r="I15" s="584"/>
      <c r="J15" s="584"/>
      <c r="K15" s="584"/>
      <c r="L15" s="584"/>
      <c r="M15" s="584"/>
      <c r="N15" s="584"/>
      <c r="O15" s="584"/>
      <c r="P15" s="584"/>
    </row>
    <row r="16" spans="1:16">
      <c r="A16" s="584"/>
      <c r="B16" s="584"/>
      <c r="C16" s="584"/>
      <c r="D16" s="584"/>
      <c r="E16" s="584"/>
      <c r="F16" s="584"/>
      <c r="G16" s="584"/>
      <c r="H16" s="584"/>
      <c r="I16" s="584"/>
      <c r="J16" s="584"/>
      <c r="K16" s="584"/>
      <c r="L16" s="584"/>
      <c r="M16" s="584"/>
      <c r="N16" s="584"/>
      <c r="O16" s="584"/>
      <c r="P16" s="584"/>
    </row>
    <row r="17" spans="1:16">
      <c r="A17" s="584"/>
      <c r="B17" s="584"/>
      <c r="C17" s="584"/>
      <c r="D17" s="584"/>
      <c r="E17" s="584"/>
      <c r="F17" s="584"/>
      <c r="G17" s="584"/>
      <c r="H17" s="584"/>
      <c r="I17" s="584"/>
      <c r="J17" s="584"/>
      <c r="K17" s="584"/>
      <c r="L17" s="584"/>
      <c r="M17" s="584"/>
      <c r="N17" s="584"/>
      <c r="O17" s="584"/>
      <c r="P17" s="584"/>
    </row>
    <row r="18" spans="1:16">
      <c r="A18" s="584"/>
      <c r="B18" s="584"/>
      <c r="C18" s="584"/>
      <c r="D18" s="584"/>
      <c r="E18" s="584"/>
      <c r="F18" s="584"/>
      <c r="G18" s="584"/>
      <c r="H18" s="584"/>
      <c r="I18" s="584"/>
      <c r="J18" s="584"/>
      <c r="K18" s="584"/>
      <c r="L18" s="584"/>
      <c r="M18" s="584"/>
      <c r="N18" s="584"/>
      <c r="O18" s="584"/>
      <c r="P18" s="584"/>
    </row>
    <row r="19" spans="1:16">
      <c r="A19" s="584"/>
      <c r="B19" s="584"/>
      <c r="C19" s="584"/>
      <c r="D19" s="584"/>
      <c r="E19" s="584"/>
      <c r="F19" s="584"/>
      <c r="G19" s="584"/>
      <c r="H19" s="584"/>
      <c r="I19" s="584"/>
      <c r="J19" s="584"/>
      <c r="K19" s="584"/>
      <c r="L19" s="584"/>
      <c r="M19" s="584"/>
      <c r="N19" s="584"/>
      <c r="O19" s="584"/>
      <c r="P19" s="584"/>
    </row>
    <row r="20" spans="1:16">
      <c r="A20" s="584"/>
      <c r="B20" s="584"/>
      <c r="C20" s="584"/>
      <c r="D20" s="584"/>
      <c r="E20" s="584"/>
      <c r="F20" s="584"/>
      <c r="G20" s="584"/>
      <c r="H20" s="584"/>
      <c r="I20" s="584"/>
      <c r="J20" s="584"/>
      <c r="K20" s="584"/>
      <c r="L20" s="584"/>
      <c r="M20" s="584"/>
      <c r="N20" s="584"/>
      <c r="O20" s="584"/>
      <c r="P20" s="584"/>
    </row>
    <row r="21" spans="1:16">
      <c r="A21" s="584"/>
      <c r="B21" s="584"/>
      <c r="C21" s="584"/>
      <c r="D21" s="584"/>
      <c r="E21" s="584"/>
      <c r="F21" s="584"/>
      <c r="G21" s="584"/>
      <c r="H21" s="584"/>
      <c r="I21" s="584"/>
      <c r="J21" s="584"/>
      <c r="K21" s="584"/>
      <c r="L21" s="584"/>
      <c r="M21" s="584"/>
      <c r="N21" s="584"/>
      <c r="O21" s="584"/>
      <c r="P21" s="584"/>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7" sqref="C7:Q43"/>
    </sheetView>
  </sheetViews>
  <sheetFormatPr defaultColWidth="9" defaultRowHeight="12.75"/>
  <cols>
    <col min="1" max="1" width="9" style="456"/>
    <col min="2" max="6" width="9" style="456" customWidth="1"/>
    <col min="7" max="7" width="9" style="457"/>
    <col min="8" max="8" width="9" style="456"/>
    <col min="9" max="12" width="9" style="456" customWidth="1"/>
    <col min="13" max="13" width="2.25" style="456" customWidth="1"/>
    <col min="14" max="14" width="9" style="457" customWidth="1"/>
    <col min="15" max="17" width="9" style="456" customWidth="1"/>
    <col min="18" max="18" width="2.375" style="456" customWidth="1"/>
    <col min="19" max="19" width="7.125" style="457" customWidth="1"/>
    <col min="20" max="22" width="7.125" style="456" customWidth="1"/>
    <col min="23" max="23" width="24.25" style="456" customWidth="1"/>
    <col min="24" max="25" width="9" style="456"/>
    <col min="26" max="27" width="11.625" style="456" customWidth="1"/>
    <col min="28" max="28" width="9" style="456"/>
    <col min="29" max="29" width="2" style="456" customWidth="1"/>
    <col min="30" max="16384" width="9" style="456"/>
  </cols>
  <sheetData>
    <row r="1" spans="1:34" s="447" customFormat="1">
      <c r="B1" s="3541" t="s">
        <v>1983</v>
      </c>
      <c r="C1" s="3541"/>
      <c r="D1" s="3541"/>
      <c r="E1" s="3541"/>
      <c r="F1" s="3541"/>
      <c r="G1" s="3542" t="s">
        <v>1984</v>
      </c>
      <c r="H1" s="3542"/>
      <c r="I1" s="3542"/>
      <c r="J1" s="3542"/>
      <c r="K1" s="3542"/>
      <c r="L1" s="3542"/>
      <c r="N1" s="3542" t="s">
        <v>1985</v>
      </c>
      <c r="O1" s="3542"/>
      <c r="P1" s="3542"/>
      <c r="Q1" s="3542"/>
      <c r="S1" s="3542" t="s">
        <v>1986</v>
      </c>
      <c r="T1" s="3542"/>
      <c r="U1" s="3542"/>
      <c r="V1" s="3542"/>
      <c r="X1" s="3543" t="s">
        <v>1987</v>
      </c>
      <c r="Y1" s="3542"/>
      <c r="Z1" s="3542"/>
      <c r="AA1" s="3542"/>
      <c r="AB1" s="3542"/>
      <c r="AD1" s="3543" t="s">
        <v>1988</v>
      </c>
      <c r="AE1" s="3542"/>
      <c r="AF1" s="3542"/>
      <c r="AG1" s="3542"/>
      <c r="AH1" s="3542"/>
    </row>
    <row r="2" spans="1:34" s="448" customFormat="1" ht="13.5">
      <c r="B2" s="458" t="s">
        <v>1989</v>
      </c>
      <c r="C2" s="458" t="s">
        <v>1990</v>
      </c>
      <c r="D2" s="459" t="s">
        <v>1766</v>
      </c>
      <c r="E2" s="459" t="s">
        <v>457</v>
      </c>
      <c r="F2" s="458" t="s">
        <v>1991</v>
      </c>
      <c r="G2" s="460"/>
      <c r="I2" s="458" t="s">
        <v>1989</v>
      </c>
      <c r="J2" s="459" t="s">
        <v>1992</v>
      </c>
      <c r="K2" s="459" t="s">
        <v>457</v>
      </c>
      <c r="L2" s="458" t="s">
        <v>1991</v>
      </c>
      <c r="N2" s="458" t="s">
        <v>1989</v>
      </c>
      <c r="O2" s="459" t="s">
        <v>1992</v>
      </c>
      <c r="P2" s="459" t="s">
        <v>457</v>
      </c>
      <c r="Q2" s="458" t="s">
        <v>1991</v>
      </c>
      <c r="S2" s="458" t="s">
        <v>1989</v>
      </c>
      <c r="T2" s="459" t="s">
        <v>1992</v>
      </c>
      <c r="U2" s="459" t="s">
        <v>457</v>
      </c>
      <c r="V2" s="458" t="s">
        <v>1991</v>
      </c>
      <c r="X2" s="458" t="s">
        <v>1989</v>
      </c>
      <c r="Y2" s="458" t="s">
        <v>1990</v>
      </c>
      <c r="Z2" s="459" t="s">
        <v>1766</v>
      </c>
      <c r="AA2" s="459" t="s">
        <v>457</v>
      </c>
      <c r="AB2" s="458" t="s">
        <v>1991</v>
      </c>
      <c r="AD2" s="458" t="s">
        <v>1989</v>
      </c>
      <c r="AE2" s="458" t="s">
        <v>1990</v>
      </c>
      <c r="AF2" s="459" t="s">
        <v>1766</v>
      </c>
      <c r="AG2" s="459" t="s">
        <v>457</v>
      </c>
      <c r="AH2" s="458" t="s">
        <v>1991</v>
      </c>
    </row>
    <row r="3" spans="1:34" s="449" customFormat="1" ht="14.25">
      <c r="A3" s="461" t="s">
        <v>1993</v>
      </c>
      <c r="B3" s="462"/>
      <c r="C3" s="462"/>
      <c r="D3" s="463"/>
      <c r="E3" s="463"/>
      <c r="F3" s="462"/>
      <c r="G3" s="464"/>
      <c r="H3" s="465"/>
      <c r="I3" s="498">
        <f>ROUND(AVERAGE($I4:$I35),2)</f>
        <v>1.7</v>
      </c>
      <c r="J3" s="498">
        <f>ROUND(AVERAGE($J4:$J35),2)</f>
        <v>1.07</v>
      </c>
      <c r="K3" s="498">
        <f>ROUND(AVERAGE($K4:$K35),2)</f>
        <v>1.87</v>
      </c>
      <c r="L3" s="498">
        <f>ROUND(AVERAGE($L4:$L35),2)</f>
        <v>1.24</v>
      </c>
      <c r="N3" s="464"/>
      <c r="S3" s="464"/>
      <c r="W3" s="529"/>
      <c r="X3" s="530">
        <f>ROUND(SUMPRODUCT(PRODUCT(1+N3:N$34)),4)</f>
        <v>1.6338999999999999</v>
      </c>
      <c r="Y3" s="530">
        <f>ROUND(SUMPRODUCT(PRODUCT(1+O3:O$34)),4)</f>
        <v>1.3588</v>
      </c>
      <c r="Z3" s="530">
        <f t="shared" ref="Z3:Z32" si="0">Y3</f>
        <v>1.3588</v>
      </c>
      <c r="AA3" s="530">
        <f>ROUND(SUMPRODUCT(PRODUCT(1+P3:P$34)),4)</f>
        <v>1.7150000000000001</v>
      </c>
      <c r="AB3" s="530">
        <f>ROUND(SUMPRODUCT(PRODUCT(1+Q3:Q$34)),4)</f>
        <v>1.446</v>
      </c>
      <c r="AD3" s="547">
        <f>ROUND(AVERAGE(I3:I$35)/100,4)</f>
        <v>1.7000000000000001E-2</v>
      </c>
      <c r="AE3" s="547">
        <f>ROUND(AVERAGE(J3:J$35)/100,4)</f>
        <v>1.0699999999999999E-2</v>
      </c>
      <c r="AF3" s="547">
        <f t="shared" ref="AF3:AF33" si="1">AE3</f>
        <v>1.0699999999999999E-2</v>
      </c>
      <c r="AG3" s="547">
        <f>ROUND(AVERAGE(K3:K$35)/100,4)</f>
        <v>1.8700000000000001E-2</v>
      </c>
      <c r="AH3" s="547">
        <f>ROUND(AVERAGE(L3:L$35)/100,4)</f>
        <v>1.24E-2</v>
      </c>
    </row>
    <row r="4" spans="1:34" s="450" customFormat="1" ht="14.25">
      <c r="B4" s="466"/>
      <c r="C4" s="466"/>
      <c r="D4" s="467"/>
      <c r="E4" s="467"/>
      <c r="F4" s="466"/>
      <c r="G4" s="468"/>
      <c r="H4" s="469"/>
      <c r="I4" s="499"/>
      <c r="J4" s="499"/>
      <c r="K4" s="499"/>
      <c r="L4" s="499"/>
      <c r="N4" s="468"/>
      <c r="S4" s="468"/>
      <c r="X4" s="456"/>
      <c r="Y4" s="456"/>
      <c r="Z4" s="456"/>
      <c r="AA4" s="456"/>
      <c r="AB4" s="456"/>
      <c r="AD4" s="505"/>
      <c r="AE4" s="505"/>
      <c r="AF4" s="505"/>
      <c r="AG4" s="505"/>
      <c r="AH4" s="505"/>
    </row>
    <row r="5" spans="1:34" s="451" customFormat="1">
      <c r="A5" s="470" t="s">
        <v>1994</v>
      </c>
      <c r="B5" s="471">
        <f t="shared" ref="B5" si="2">B6*(1+N5)</f>
        <v>502.508936096502</v>
      </c>
      <c r="C5" s="471">
        <f t="shared" ref="C5" si="3">C6*(1+O5)</f>
        <v>350.27569313914898</v>
      </c>
      <c r="D5" s="471">
        <f t="shared" ref="D5" si="4">C5</f>
        <v>350.27569313914898</v>
      </c>
      <c r="E5" s="471">
        <f t="shared" ref="E5" si="5">E6*(1+P5)</f>
        <v>725.27220201394096</v>
      </c>
      <c r="F5" s="471">
        <f t="shared" ref="F5" si="6">F6*(1+Q5)</f>
        <v>332.45017846012797</v>
      </c>
      <c r="G5" s="472">
        <v>2021</v>
      </c>
      <c r="H5" s="473">
        <v>3</v>
      </c>
      <c r="I5" s="500">
        <v>0</v>
      </c>
      <c r="J5" s="500">
        <v>0</v>
      </c>
      <c r="K5" s="500">
        <v>0</v>
      </c>
      <c r="L5" s="500">
        <v>0</v>
      </c>
      <c r="N5" s="501">
        <f t="shared" ref="N5" si="7">I5/100</f>
        <v>0</v>
      </c>
      <c r="O5" s="501">
        <f t="shared" ref="O5" si="8">J5/100</f>
        <v>0</v>
      </c>
      <c r="P5" s="501">
        <f t="shared" ref="P5" si="9">K5/100</f>
        <v>0</v>
      </c>
      <c r="Q5" s="501">
        <f t="shared" ref="Q5" si="10">L5/100</f>
        <v>0</v>
      </c>
      <c r="S5" s="531"/>
      <c r="W5" s="532" t="s">
        <v>1995</v>
      </c>
      <c r="X5" s="533">
        <f>ROUND(IF(项目基本情况!B3="出让",SUMPRODUCT(PRODUCT(1+N5:N$35)),SUMPRODUCT(PRODUCT(1+N5:N$34))),4)</f>
        <v>1.6338999999999999</v>
      </c>
      <c r="Y5" s="533">
        <f>ROUND(IF(项目基本情况!B3="出让",SUMPRODUCT(PRODUCT(1+O5:O$35)),SUMPRODUCT(PRODUCT(1+O5:O$34))),4)</f>
        <v>1.3588</v>
      </c>
      <c r="Z5" s="533">
        <f t="shared" ref="Z5" si="11">Y5</f>
        <v>1.3588</v>
      </c>
      <c r="AA5" s="533">
        <f>ROUND(IF(项目基本情况!B3="出让",SUMPRODUCT(PRODUCT(1+P5:P$35)),SUMPRODUCT(PRODUCT(1+P5:P$34))),4)</f>
        <v>1.7150000000000001</v>
      </c>
      <c r="AB5" s="533">
        <f>ROUND(IF(项目基本情况!B3="出让",SUMPRODUCT(PRODUCT(1+Q5:Q$35)),SUMPRODUCT(PRODUCT(1+Q5:Q$34))),4)</f>
        <v>1.446</v>
      </c>
      <c r="AD5" s="548">
        <f>ROUND(AVERAGE(I5:I$35)/100,4)</f>
        <v>1.7000000000000001E-2</v>
      </c>
      <c r="AE5" s="548">
        <f>ROUND(AVERAGE(J5:J$35)/100,4)</f>
        <v>1.0699999999999999E-2</v>
      </c>
      <c r="AF5" s="548">
        <f t="shared" ref="AF5" si="12">AE5</f>
        <v>1.0699999999999999E-2</v>
      </c>
      <c r="AG5" s="548">
        <f>ROUND(AVERAGE(K5:K$35)/100,4)</f>
        <v>1.8700000000000001E-2</v>
      </c>
      <c r="AH5" s="548">
        <f>ROUND(AVERAGE(L5:L$35)/100,4)</f>
        <v>1.24E-2</v>
      </c>
    </row>
    <row r="6" spans="1:34" s="452" customFormat="1">
      <c r="A6" s="474" t="s">
        <v>1996</v>
      </c>
      <c r="B6" s="475">
        <f t="shared" ref="B6" si="13">B7*(1+N6)</f>
        <v>502.508936096502</v>
      </c>
      <c r="C6" s="475">
        <f t="shared" ref="C6" si="14">C7*(1+O6)</f>
        <v>350.27569313914898</v>
      </c>
      <c r="D6" s="475">
        <f t="shared" ref="D6" si="15">C6</f>
        <v>350.27569313914898</v>
      </c>
      <c r="E6" s="475">
        <f t="shared" ref="E6" si="16">E7*(1+P6)</f>
        <v>725.27220201394096</v>
      </c>
      <c r="F6" s="475">
        <f t="shared" ref="F6" si="17">F7*(1+Q6)</f>
        <v>332.45017846012797</v>
      </c>
      <c r="G6" s="472">
        <v>2021</v>
      </c>
      <c r="H6" s="476">
        <v>2</v>
      </c>
      <c r="I6" s="502">
        <v>0.92</v>
      </c>
      <c r="J6" s="502">
        <v>0.72</v>
      </c>
      <c r="K6" s="502">
        <v>0.95</v>
      </c>
      <c r="L6" s="503">
        <v>1.01</v>
      </c>
      <c r="M6" s="456"/>
      <c r="N6" s="504">
        <f t="shared" ref="N6" si="18">I6/100</f>
        <v>9.1999999999999998E-3</v>
      </c>
      <c r="O6" s="505">
        <f t="shared" ref="O6" si="19">J6/100</f>
        <v>7.1999999999999998E-3</v>
      </c>
      <c r="P6" s="505">
        <f t="shared" ref="P6" si="20">K6/100</f>
        <v>9.4999999999999998E-3</v>
      </c>
      <c r="Q6" s="505">
        <f t="shared" ref="Q6" si="21">L6/100</f>
        <v>1.01E-2</v>
      </c>
      <c r="R6" s="534"/>
      <c r="S6" s="504"/>
      <c r="T6" s="505"/>
      <c r="U6" s="505"/>
      <c r="V6" s="505"/>
      <c r="W6" s="535"/>
      <c r="X6" s="535">
        <f>ROUND(IF(项目基本情况!B4="出让",SUMPRODUCT(PRODUCT(1+N6:N$35)),SUMPRODUCT(PRODUCT(1+N6:N$34))),4)</f>
        <v>1.6338999999999999</v>
      </c>
      <c r="Y6" s="535">
        <f>ROUND(IF(项目基本情况!B4="出让",SUMPRODUCT(PRODUCT(1+O6:O$35)),SUMPRODUCT(PRODUCT(1+O6:O$34))),4)</f>
        <v>1.3588</v>
      </c>
      <c r="Z6" s="535">
        <f t="shared" ref="Z6" si="22">Y6</f>
        <v>1.3588</v>
      </c>
      <c r="AA6" s="535">
        <f>ROUND(IF(项目基本情况!B4="出让",SUMPRODUCT(PRODUCT(1+P6:P$35)),SUMPRODUCT(PRODUCT(1+P6:P$34))),4)</f>
        <v>1.7150000000000001</v>
      </c>
      <c r="AB6" s="535">
        <f>ROUND(IF(项目基本情况!B4="出让",SUMPRODUCT(PRODUCT(1+Q6:Q$35)),SUMPRODUCT(PRODUCT(1+Q6:Q$34))),4)</f>
        <v>1.446</v>
      </c>
      <c r="AC6" s="535"/>
      <c r="AD6" s="549">
        <f>ROUND(AVERAGE(I6:I$35)/100,4)</f>
        <v>1.7600000000000001E-2</v>
      </c>
      <c r="AE6" s="549">
        <f>ROUND(AVERAGE(J6:J$35)/100,4)</f>
        <v>1.11E-2</v>
      </c>
      <c r="AF6" s="549">
        <f t="shared" ref="AF6" si="23">AE6</f>
        <v>1.11E-2</v>
      </c>
      <c r="AG6" s="549">
        <f>ROUND(AVERAGE(K6:K$35)/100,4)</f>
        <v>1.9400000000000001E-2</v>
      </c>
      <c r="AH6" s="549">
        <f>ROUND(AVERAGE(L6:L$35)/100,4)</f>
        <v>1.2800000000000001E-2</v>
      </c>
    </row>
    <row r="7" spans="1:34" s="452" customFormat="1">
      <c r="A7" s="474" t="s">
        <v>1997</v>
      </c>
      <c r="B7" s="475">
        <f t="shared" ref="B7" si="24">B8*(1+N7)</f>
        <v>497.927998510208</v>
      </c>
      <c r="C7" s="475">
        <f t="shared" ref="C7" si="25">C8*(1+O7)</f>
        <v>347.771736635374</v>
      </c>
      <c r="D7" s="475">
        <f t="shared" ref="D7" si="26">C7</f>
        <v>347.771736635374</v>
      </c>
      <c r="E7" s="475">
        <f t="shared" ref="E7" si="27">E8*(1+P7)</f>
        <v>718.446955932582</v>
      </c>
      <c r="F7" s="475">
        <f t="shared" ref="F7" si="28">F8*(1+Q7)</f>
        <v>329.12600580153202</v>
      </c>
      <c r="G7" s="472">
        <v>2021</v>
      </c>
      <c r="H7" s="476">
        <v>1</v>
      </c>
      <c r="I7" s="502">
        <v>0.97</v>
      </c>
      <c r="J7" s="502">
        <v>0.16</v>
      </c>
      <c r="K7" s="502">
        <v>1.1100000000000001</v>
      </c>
      <c r="L7" s="503">
        <v>0.36</v>
      </c>
      <c r="M7" s="456"/>
      <c r="N7" s="504">
        <f t="shared" ref="N7" si="29">I7/100</f>
        <v>9.7000000000000003E-3</v>
      </c>
      <c r="O7" s="505">
        <f t="shared" ref="O7" si="30">J7/100</f>
        <v>1.6000000000000001E-3</v>
      </c>
      <c r="P7" s="505">
        <f t="shared" ref="P7" si="31">K7/100</f>
        <v>1.11E-2</v>
      </c>
      <c r="Q7" s="505">
        <f t="shared" ref="Q7" si="32">L7/100</f>
        <v>3.5999999999999999E-3</v>
      </c>
      <c r="R7" s="534"/>
      <c r="S7" s="504">
        <f>B7/B8-1</f>
        <v>9.7000000000000402E-3</v>
      </c>
      <c r="T7" s="505">
        <f t="shared" ref="T7" si="33">C7/C8-1</f>
        <v>1.6000000000000499E-3</v>
      </c>
      <c r="U7" s="505">
        <f t="shared" ref="U7" si="34">D7/D8-1</f>
        <v>1.6000000000000499E-3</v>
      </c>
      <c r="V7" s="505">
        <f t="shared" ref="V7" si="35">E7/E8-1</f>
        <v>1.1100000000000099E-2</v>
      </c>
      <c r="W7" s="535"/>
      <c r="X7" s="535">
        <f>ROUND(IF(项目基本情况!B5="出让",SUMPRODUCT(PRODUCT(1+N7:N$35)),SUMPRODUCT(PRODUCT(1+N7:N$34))),4)</f>
        <v>1.619</v>
      </c>
      <c r="Y7" s="535">
        <f>ROUND(IF(项目基本情况!B5="出让",SUMPRODUCT(PRODUCT(1+O7:O$35)),SUMPRODUCT(PRODUCT(1+O7:O$34))),4)</f>
        <v>1.3491</v>
      </c>
      <c r="Z7" s="535">
        <f t="shared" ref="Z7" si="36">Y7</f>
        <v>1.3491</v>
      </c>
      <c r="AA7" s="535">
        <f>ROUND(IF(项目基本情况!B5="出让",SUMPRODUCT(PRODUCT(1+P7:P$35)),SUMPRODUCT(PRODUCT(1+P7:P$34))),4)</f>
        <v>1.6988000000000001</v>
      </c>
      <c r="AB7" s="535">
        <f>ROUND(IF(项目基本情况!B5="出让",SUMPRODUCT(PRODUCT(1+Q7:Q$35)),SUMPRODUCT(PRODUCT(1+Q7:Q$34))),4)</f>
        <v>1.4315</v>
      </c>
      <c r="AC7" s="535"/>
      <c r="AD7" s="549">
        <f>ROUND(AVERAGE(I7:I$35)/100,4)</f>
        <v>1.7899999999999999E-2</v>
      </c>
      <c r="AE7" s="549">
        <f>ROUND(AVERAGE(J7:J$35)/100,4)</f>
        <v>1.12E-2</v>
      </c>
      <c r="AF7" s="549">
        <f t="shared" ref="AF7" si="37">AE7</f>
        <v>1.12E-2</v>
      </c>
      <c r="AG7" s="549">
        <f>ROUND(AVERAGE(K7:K$35)/100,4)</f>
        <v>1.9699999999999999E-2</v>
      </c>
      <c r="AH7" s="549">
        <f>ROUND(AVERAGE(L7:L$35)/100,4)</f>
        <v>1.29E-2</v>
      </c>
    </row>
    <row r="8" spans="1:34" s="452" customFormat="1">
      <c r="A8" s="474" t="s">
        <v>1998</v>
      </c>
      <c r="B8" s="475">
        <f t="shared" ref="B8" si="38">B9*(1+N8)</f>
        <v>493.14449689037201</v>
      </c>
      <c r="C8" s="475">
        <f t="shared" ref="C8" si="39">C9*(1+O8)</f>
        <v>347.21619073020599</v>
      </c>
      <c r="D8" s="475">
        <f t="shared" ref="D8" si="40">C8</f>
        <v>347.21619073020599</v>
      </c>
      <c r="E8" s="475">
        <f t="shared" ref="E8" si="41">E9*(1+P8)</f>
        <v>710.55974278763904</v>
      </c>
      <c r="F8" s="475">
        <f t="shared" ref="F8" si="42">F9*(1+Q8)</f>
        <v>327.94540235306101</v>
      </c>
      <c r="G8" s="472">
        <v>2020</v>
      </c>
      <c r="H8" s="476">
        <v>4</v>
      </c>
      <c r="I8" s="502">
        <v>2.0699999999999998</v>
      </c>
      <c r="J8" s="502">
        <v>0.37</v>
      </c>
      <c r="K8" s="502">
        <v>2.35</v>
      </c>
      <c r="L8" s="503">
        <v>2.69</v>
      </c>
      <c r="M8" s="456"/>
      <c r="N8" s="504">
        <f t="shared" ref="N8" si="43">I8/100</f>
        <v>2.07E-2</v>
      </c>
      <c r="O8" s="505">
        <f t="shared" ref="O8" si="44">J8/100</f>
        <v>3.7000000000000002E-3</v>
      </c>
      <c r="P8" s="505">
        <f t="shared" ref="P8" si="45">K8/100</f>
        <v>2.35E-2</v>
      </c>
      <c r="Q8" s="505">
        <f t="shared" ref="Q8" si="46">L8/100</f>
        <v>2.69E-2</v>
      </c>
      <c r="R8" s="534"/>
      <c r="S8" s="504"/>
      <c r="T8" s="505"/>
      <c r="U8" s="505"/>
      <c r="V8" s="505"/>
      <c r="W8" s="535"/>
      <c r="X8" s="535">
        <f>ROUND(IF(项目基本情况!B6="出让",SUMPRODUCT(PRODUCT(1+N8:N$35)),SUMPRODUCT(PRODUCT(1+N8:N$34))),4)</f>
        <v>1.6034999999999999</v>
      </c>
      <c r="Y8" s="535">
        <f>ROUND(IF(项目基本情况!B6="出让",SUMPRODUCT(PRODUCT(1+O8:O$35)),SUMPRODUCT(PRODUCT(1+O8:O$34))),4)</f>
        <v>1.3469</v>
      </c>
      <c r="Z8" s="535">
        <f t="shared" ref="Z8" si="47">Y8</f>
        <v>1.3469</v>
      </c>
      <c r="AA8" s="535">
        <f>ROUND(IF(项目基本情况!B6="出让",SUMPRODUCT(PRODUCT(1+P8:P$35)),SUMPRODUCT(PRODUCT(1+P8:P$34))),4)</f>
        <v>1.6801999999999999</v>
      </c>
      <c r="AB8" s="535">
        <f>ROUND(IF(项目基本情况!B6="出让",SUMPRODUCT(PRODUCT(1+Q8:Q$35)),SUMPRODUCT(PRODUCT(1+Q8:Q$34))),4)</f>
        <v>1.4263999999999999</v>
      </c>
      <c r="AC8" s="535"/>
      <c r="AD8" s="549">
        <f>ROUND(AVERAGE(I8:I$35)/100,4)</f>
        <v>1.8200000000000001E-2</v>
      </c>
      <c r="AE8" s="549">
        <f>ROUND(AVERAGE(J8:J$35)/100,4)</f>
        <v>1.1599999999999999E-2</v>
      </c>
      <c r="AF8" s="549">
        <f t="shared" ref="AF8" si="48">AE8</f>
        <v>1.1599999999999999E-2</v>
      </c>
      <c r="AG8" s="549">
        <f>ROUND(AVERAGE(K8:K$35)/100,4)</f>
        <v>0.02</v>
      </c>
      <c r="AH8" s="549">
        <f>ROUND(AVERAGE(L8:L$35)/100,4)</f>
        <v>1.3299999999999999E-2</v>
      </c>
    </row>
    <row r="9" spans="1:34" s="452" customFormat="1">
      <c r="A9" s="474" t="s">
        <v>1999</v>
      </c>
      <c r="B9" s="475">
        <f t="shared" ref="B9" si="49">B10*(1+N9)</f>
        <v>483.143427932176</v>
      </c>
      <c r="C9" s="475">
        <f t="shared" ref="C9" si="50">C10*(1+O9)</f>
        <v>345.93622669144798</v>
      </c>
      <c r="D9" s="475">
        <f t="shared" ref="D9" si="51">C9</f>
        <v>345.93622669144798</v>
      </c>
      <c r="E9" s="475">
        <f t="shared" ref="E9" si="52">E10*(1+P9)</f>
        <v>694.24498562544102</v>
      </c>
      <c r="F9" s="475">
        <f t="shared" ref="F9" si="53">F10*(1+Q9)</f>
        <v>319.35475932716099</v>
      </c>
      <c r="G9" s="472">
        <v>2020</v>
      </c>
      <c r="H9" s="476">
        <v>3</v>
      </c>
      <c r="I9" s="502">
        <v>0.36</v>
      </c>
      <c r="J9" s="502">
        <v>-0.39</v>
      </c>
      <c r="K9" s="502">
        <v>0.49</v>
      </c>
      <c r="L9" s="503">
        <v>7.0000000000000007E-2</v>
      </c>
      <c r="M9" s="456"/>
      <c r="N9" s="504">
        <f t="shared" ref="N9" si="54">I9/100</f>
        <v>3.5999999999999999E-3</v>
      </c>
      <c r="O9" s="505">
        <f t="shared" ref="O9" si="55">J9/100</f>
        <v>-3.8999999999999998E-3</v>
      </c>
      <c r="P9" s="505">
        <f t="shared" ref="P9" si="56">K9/100</f>
        <v>4.8999999999999998E-3</v>
      </c>
      <c r="Q9" s="505">
        <f t="shared" ref="Q9" si="57">L9/100</f>
        <v>6.9999999999999999E-4</v>
      </c>
      <c r="R9" s="534"/>
      <c r="S9" s="504"/>
      <c r="T9" s="505"/>
      <c r="U9" s="505"/>
      <c r="V9" s="505"/>
      <c r="W9" s="535"/>
      <c r="X9" s="535">
        <f>ROUND(IF(项目基本情况!B7="出让",SUMPRODUCT(PRODUCT(1+N9:N$35)),SUMPRODUCT(PRODUCT(1+N9:N$34))),4)</f>
        <v>1.571</v>
      </c>
      <c r="Y9" s="535">
        <f>ROUND(IF(项目基本情况!B7="出让",SUMPRODUCT(PRODUCT(1+O9:O$35)),SUMPRODUCT(PRODUCT(1+O9:O$34))),4)</f>
        <v>1.3420000000000001</v>
      </c>
      <c r="Z9" s="535">
        <f t="shared" ref="Z9" si="58">Y9</f>
        <v>1.3420000000000001</v>
      </c>
      <c r="AA9" s="535">
        <f>ROUND(IF(项目基本情况!B7="出让",SUMPRODUCT(PRODUCT(1+P9:P$35)),SUMPRODUCT(PRODUCT(1+P9:P$34))),4)</f>
        <v>1.6415999999999999</v>
      </c>
      <c r="AB9" s="535">
        <f>ROUND(IF(项目基本情况!B7="出让",SUMPRODUCT(PRODUCT(1+Q9:Q$35)),SUMPRODUCT(PRODUCT(1+Q9:Q$34))),4)</f>
        <v>1.389</v>
      </c>
      <c r="AC9" s="535"/>
      <c r="AD9" s="549">
        <f>ROUND(AVERAGE(I9:I$35)/100,4)</f>
        <v>1.8100000000000002E-2</v>
      </c>
      <c r="AE9" s="549">
        <f>ROUND(AVERAGE(J9:J$35)/100,4)</f>
        <v>1.1900000000000001E-2</v>
      </c>
      <c r="AF9" s="549">
        <f t="shared" ref="AF9" si="59">AE9</f>
        <v>1.1900000000000001E-2</v>
      </c>
      <c r="AG9" s="549">
        <f>ROUND(AVERAGE(K9:K$35)/100,4)</f>
        <v>1.9900000000000001E-2</v>
      </c>
      <c r="AH9" s="549">
        <f>ROUND(AVERAGE(L9:L$35)/100,4)</f>
        <v>1.2800000000000001E-2</v>
      </c>
    </row>
    <row r="10" spans="1:34" s="452" customFormat="1">
      <c r="A10" s="474" t="s">
        <v>2000</v>
      </c>
      <c r="B10" s="475">
        <f t="shared" ref="B10" si="60">B11*(1+N10)</f>
        <v>481.410350669764</v>
      </c>
      <c r="C10" s="475">
        <f t="shared" ref="C10" si="61">C11*(1+O10)</f>
        <v>347.29066026648701</v>
      </c>
      <c r="D10" s="475">
        <f t="shared" ref="D10" si="62">C10</f>
        <v>347.29066026648701</v>
      </c>
      <c r="E10" s="475">
        <f t="shared" ref="E10" si="63">E11*(1+P10)</f>
        <v>690.85977273901995</v>
      </c>
      <c r="F10" s="475">
        <f t="shared" ref="F10" si="64">F11*(1+Q10)</f>
        <v>319.13136737000201</v>
      </c>
      <c r="G10" s="472">
        <v>2020</v>
      </c>
      <c r="H10" s="476">
        <v>2</v>
      </c>
      <c r="I10" s="502">
        <v>0.31</v>
      </c>
      <c r="J10" s="502">
        <v>-0.78</v>
      </c>
      <c r="K10" s="502">
        <v>0.5</v>
      </c>
      <c r="L10" s="503">
        <v>0.47</v>
      </c>
      <c r="M10" s="456"/>
      <c r="N10" s="504">
        <f t="shared" ref="N10" si="65">I10/100</f>
        <v>3.0999999999999999E-3</v>
      </c>
      <c r="O10" s="505">
        <f t="shared" ref="O10" si="66">J10/100</f>
        <v>-7.7999999999999996E-3</v>
      </c>
      <c r="P10" s="505">
        <f t="shared" ref="P10" si="67">K10/100</f>
        <v>5.0000000000000001E-3</v>
      </c>
      <c r="Q10" s="505">
        <f t="shared" ref="Q10" si="68">L10/100</f>
        <v>4.7000000000000002E-3</v>
      </c>
      <c r="R10" s="534"/>
      <c r="S10" s="504"/>
      <c r="T10" s="505"/>
      <c r="U10" s="505"/>
      <c r="V10" s="505"/>
      <c r="W10" s="535"/>
      <c r="X10" s="535">
        <f>ROUND(IF(项目基本情况!B8="出让",SUMPRODUCT(PRODUCT(1+N10:N$35)),SUMPRODUCT(PRODUCT(1+N10:N$34))),4)</f>
        <v>1.5652999999999999</v>
      </c>
      <c r="Y10" s="535">
        <f>ROUND(IF(项目基本情况!B8="出让",SUMPRODUCT(PRODUCT(1+O10:O$35)),SUMPRODUCT(PRODUCT(1+O10:O$34))),4)</f>
        <v>1.3472</v>
      </c>
      <c r="Z10" s="535">
        <f t="shared" ref="Z10" si="69">Y10</f>
        <v>1.3472</v>
      </c>
      <c r="AA10" s="535">
        <f>ROUND(IF(项目基本情况!B8="出让",SUMPRODUCT(PRODUCT(1+P10:P$35)),SUMPRODUCT(PRODUCT(1+P10:P$34))),4)</f>
        <v>1.6335999999999999</v>
      </c>
      <c r="AB10" s="535">
        <f>ROUND(IF(项目基本情况!B8="出让",SUMPRODUCT(PRODUCT(1+Q10:Q$35)),SUMPRODUCT(PRODUCT(1+Q10:Q$34))),4)</f>
        <v>1.3880999999999999</v>
      </c>
      <c r="AC10" s="535"/>
      <c r="AD10" s="549">
        <f>ROUND(AVERAGE(I10:I$35)/100,4)</f>
        <v>1.8599999999999998E-2</v>
      </c>
      <c r="AE10" s="549">
        <f>ROUND(AVERAGE(J10:J$35)/100,4)</f>
        <v>1.2500000000000001E-2</v>
      </c>
      <c r="AF10" s="549">
        <f t="shared" ref="AF10" si="70">AE10</f>
        <v>1.2500000000000001E-2</v>
      </c>
      <c r="AG10" s="549">
        <f>ROUND(AVERAGE(K10:K$35)/100,4)</f>
        <v>2.0400000000000001E-2</v>
      </c>
      <c r="AH10" s="549">
        <f>ROUND(AVERAGE(L10:L$35)/100,4)</f>
        <v>1.32E-2</v>
      </c>
    </row>
    <row r="11" spans="1:34" s="452" customFormat="1">
      <c r="A11" s="474" t="s">
        <v>2001</v>
      </c>
      <c r="B11" s="475">
        <f t="shared" ref="B11" si="71">B12*(1+N11)</f>
        <v>479.92259063878402</v>
      </c>
      <c r="C11" s="475">
        <f t="shared" ref="C11" si="72">C12*(1+O11)</f>
        <v>350.02082268341798</v>
      </c>
      <c r="D11" s="475">
        <f t="shared" ref="D11" si="73">C11</f>
        <v>350.02082268341798</v>
      </c>
      <c r="E11" s="475">
        <f t="shared" ref="E11" si="74">E12*(1+P11)</f>
        <v>687.42265944181099</v>
      </c>
      <c r="F11" s="475">
        <f t="shared" ref="F11" si="75">F12*(1+Q11)</f>
        <v>317.63846657709001</v>
      </c>
      <c r="G11" s="472">
        <v>2020</v>
      </c>
      <c r="H11" s="476">
        <v>1</v>
      </c>
      <c r="I11" s="502">
        <v>0.12</v>
      </c>
      <c r="J11" s="502">
        <v>-0.4</v>
      </c>
      <c r="K11" s="502">
        <v>0.21</v>
      </c>
      <c r="L11" s="503">
        <v>0.27</v>
      </c>
      <c r="M11" s="456"/>
      <c r="N11" s="504">
        <f t="shared" ref="N11" si="76">I11/100</f>
        <v>1.1999999999999999E-3</v>
      </c>
      <c r="O11" s="505">
        <f t="shared" ref="O11" si="77">J11/100</f>
        <v>-4.0000000000000001E-3</v>
      </c>
      <c r="P11" s="505">
        <f t="shared" ref="P11" si="78">K11/100</f>
        <v>2.0999999999999999E-3</v>
      </c>
      <c r="Q11" s="505">
        <f t="shared" ref="Q11" si="79">L11/100</f>
        <v>2.7000000000000001E-3</v>
      </c>
      <c r="R11" s="534"/>
      <c r="S11" s="504">
        <f>B11/B12-1</f>
        <v>1.2000000000000901E-3</v>
      </c>
      <c r="T11" s="505">
        <f t="shared" ref="T11" si="80">C11/C12-1</f>
        <v>-4.0000000000000001E-3</v>
      </c>
      <c r="U11" s="505">
        <f t="shared" ref="U11" si="81">D11/D12-1</f>
        <v>-4.0000000000000001E-3</v>
      </c>
      <c r="V11" s="505">
        <f t="shared" ref="V11" si="82">E11/E12-1</f>
        <v>2.0999999999999899E-3</v>
      </c>
      <c r="W11" s="535"/>
      <c r="X11" s="535">
        <f>ROUND(IF(项目基本情况!B8="出让",SUMPRODUCT(PRODUCT(1+N11:N$35)),SUMPRODUCT(PRODUCT(1+N11:N$34))),4)</f>
        <v>1.5605</v>
      </c>
      <c r="Y11" s="535">
        <f>ROUND(IF(项目基本情况!B8="出让",SUMPRODUCT(PRODUCT(1+O11:O$35)),SUMPRODUCT(PRODUCT(1+O11:O$34))),4)</f>
        <v>1.3577999999999999</v>
      </c>
      <c r="Z11" s="535">
        <f t="shared" ref="Z11" si="83">Y11</f>
        <v>1.3577999999999999</v>
      </c>
      <c r="AA11" s="535">
        <f>ROUND(IF(项目基本情况!B8="出让",SUMPRODUCT(PRODUCT(1+P11:P$35)),SUMPRODUCT(PRODUCT(1+P11:P$34))),4)</f>
        <v>1.6254999999999999</v>
      </c>
      <c r="AB11" s="535">
        <f>ROUND(IF(项目基本情况!B8="出让",SUMPRODUCT(PRODUCT(1+Q11:Q$35)),SUMPRODUCT(PRODUCT(1+Q11:Q$34))),4)</f>
        <v>1.3815999999999999</v>
      </c>
      <c r="AC11" s="535"/>
      <c r="AD11" s="549">
        <f>ROUND(AVERAGE(I11:I$35)/100,4)</f>
        <v>1.9199999999999998E-2</v>
      </c>
      <c r="AE11" s="549">
        <f>ROUND(AVERAGE(J11:J$35)/100,4)</f>
        <v>1.3299999999999999E-2</v>
      </c>
      <c r="AF11" s="549">
        <f t="shared" ref="AF11" si="84">AE11</f>
        <v>1.3299999999999999E-2</v>
      </c>
      <c r="AG11" s="549">
        <f>ROUND(AVERAGE(K11:K$35)/100,4)</f>
        <v>2.1100000000000001E-2</v>
      </c>
      <c r="AH11" s="549">
        <f>ROUND(AVERAGE(L11:L$35)/100,4)</f>
        <v>1.3599999999999999E-2</v>
      </c>
    </row>
    <row r="12" spans="1:34" s="452" customFormat="1">
      <c r="A12" s="474" t="s">
        <v>2002</v>
      </c>
      <c r="B12" s="475">
        <f t="shared" ref="B12" si="85">B13*(1+N12)</f>
        <v>479.34737379023602</v>
      </c>
      <c r="C12" s="475">
        <f t="shared" ref="C12" si="86">C13*(1+O12)</f>
        <v>351.42652879861203</v>
      </c>
      <c r="D12" s="475">
        <f t="shared" ref="D12" si="87">C12</f>
        <v>351.42652879861203</v>
      </c>
      <c r="E12" s="475">
        <f t="shared" ref="E12" si="88">E13*(1+P12)</f>
        <v>685.98209703803104</v>
      </c>
      <c r="F12" s="475">
        <f t="shared" ref="F12" si="89">F13*(1+Q12)</f>
        <v>316.78315206651001</v>
      </c>
      <c r="G12" s="472">
        <v>2019</v>
      </c>
      <c r="H12" s="476">
        <v>4</v>
      </c>
      <c r="I12" s="476">
        <v>0.45</v>
      </c>
      <c r="J12" s="476">
        <v>-0.12</v>
      </c>
      <c r="K12" s="476">
        <v>0.54</v>
      </c>
      <c r="L12" s="506">
        <v>0.48</v>
      </c>
      <c r="M12" s="456"/>
      <c r="N12" s="504">
        <f t="shared" ref="N12:N17" si="90">I12/100</f>
        <v>4.4999999999999997E-3</v>
      </c>
      <c r="O12" s="505">
        <f t="shared" ref="O12" si="91">J12/100</f>
        <v>-1.1999999999999999E-3</v>
      </c>
      <c r="P12" s="505">
        <f t="shared" ref="P12" si="92">K12/100</f>
        <v>5.4000000000000003E-3</v>
      </c>
      <c r="Q12" s="505">
        <f t="shared" ref="Q12" si="93">L12/100</f>
        <v>4.7999999999999996E-3</v>
      </c>
      <c r="R12" s="534"/>
      <c r="S12" s="504"/>
      <c r="T12" s="505"/>
      <c r="U12" s="505"/>
      <c r="V12" s="505"/>
      <c r="W12" s="535"/>
      <c r="X12" s="535">
        <f>ROUND(IF(项目基本情况!B8="出让",SUMPRODUCT(PRODUCT(1+N12:N$35)),SUMPRODUCT(PRODUCT(1+N12:N$34))),4)</f>
        <v>1.5586</v>
      </c>
      <c r="Y12" s="535">
        <f>ROUND(IF(项目基本情况!B8="出让",SUMPRODUCT(PRODUCT(1+O12:O$35)),SUMPRODUCT(PRODUCT(1+O12:O$34))),4)</f>
        <v>1.3633</v>
      </c>
      <c r="Z12" s="535">
        <f t="shared" ref="Z12" si="94">Y12</f>
        <v>1.3633</v>
      </c>
      <c r="AA12" s="535">
        <f>ROUND(IF(项目基本情况!B8="出让",SUMPRODUCT(PRODUCT(1+P12:P$35)),SUMPRODUCT(PRODUCT(1+P12:P$34))),4)</f>
        <v>1.6221000000000001</v>
      </c>
      <c r="AB12" s="535">
        <f>ROUND(IF(项目基本情况!B8="出让",SUMPRODUCT(PRODUCT(1+Q12:Q$35)),SUMPRODUCT(PRODUCT(1+Q12:Q$34))),4)</f>
        <v>1.3777999999999999</v>
      </c>
      <c r="AC12" s="535"/>
      <c r="AD12" s="549">
        <f>ROUND(AVERAGE(I12:I$35)/100,4)</f>
        <v>0.02</v>
      </c>
      <c r="AE12" s="549">
        <f>ROUND(AVERAGE(J12:J$35)/100,4)</f>
        <v>1.4E-2</v>
      </c>
      <c r="AF12" s="549">
        <f t="shared" ref="AF12" si="95">AE12</f>
        <v>1.4E-2</v>
      </c>
      <c r="AG12" s="549">
        <f>ROUND(AVERAGE(K12:K$35)/100,4)</f>
        <v>2.1899999999999999E-2</v>
      </c>
      <c r="AH12" s="549">
        <f>ROUND(AVERAGE(L12:L$35)/100,4)</f>
        <v>1.4E-2</v>
      </c>
    </row>
    <row r="13" spans="1:34" s="452" customFormat="1">
      <c r="A13" s="474" t="s">
        <v>2003</v>
      </c>
      <c r="B13" s="475">
        <f t="shared" ref="B13" si="96">B14*(1+N13)</f>
        <v>477.19997390765099</v>
      </c>
      <c r="C13" s="475">
        <f t="shared" ref="C13" si="97">C14*(1+O13)</f>
        <v>351.84874729536699</v>
      </c>
      <c r="D13" s="475">
        <f t="shared" ref="D13" si="98">C13</f>
        <v>351.84874729536699</v>
      </c>
      <c r="E13" s="475">
        <f t="shared" ref="E13" si="99">E14*(1+P13)</f>
        <v>682.29768951465201</v>
      </c>
      <c r="F13" s="475">
        <f t="shared" ref="F13" si="100">F14*(1+Q13)</f>
        <v>315.26985675408997</v>
      </c>
      <c r="G13" s="472">
        <v>2019</v>
      </c>
      <c r="H13" s="476">
        <v>3</v>
      </c>
      <c r="I13" s="476">
        <v>0.61</v>
      </c>
      <c r="J13" s="476">
        <v>0.67</v>
      </c>
      <c r="K13" s="476">
        <v>0.6</v>
      </c>
      <c r="L13" s="506">
        <v>1.03</v>
      </c>
      <c r="M13" s="456"/>
      <c r="N13" s="504">
        <f t="shared" si="90"/>
        <v>6.1000000000000004E-3</v>
      </c>
      <c r="O13" s="505">
        <f t="shared" ref="O13" si="101">J13/100</f>
        <v>6.7000000000000002E-3</v>
      </c>
      <c r="P13" s="505">
        <f t="shared" ref="P13" si="102">K13/100</f>
        <v>6.0000000000000001E-3</v>
      </c>
      <c r="Q13" s="505">
        <f t="shared" ref="Q13" si="103">L13/100</f>
        <v>1.03E-2</v>
      </c>
      <c r="R13" s="534"/>
      <c r="S13" s="504"/>
      <c r="T13" s="505"/>
      <c r="U13" s="505"/>
      <c r="V13" s="505"/>
      <c r="W13" s="535"/>
      <c r="X13" s="535">
        <f>ROUND(IF(项目基本情况!B8="出让",SUMPRODUCT(PRODUCT(1+N13:N$35)),SUMPRODUCT(PRODUCT(1+N13:N$34))),4)</f>
        <v>1.5516000000000001</v>
      </c>
      <c r="Y13" s="535">
        <f>ROUND(IF(项目基本情况!B8="出让",SUMPRODUCT(PRODUCT(1+O13:O$35)),SUMPRODUCT(PRODUCT(1+O13:O$34))),4)</f>
        <v>1.3649</v>
      </c>
      <c r="Z13" s="535">
        <f t="shared" ref="Z13" si="104">Y13</f>
        <v>1.3649</v>
      </c>
      <c r="AA13" s="535">
        <f>ROUND(IF(项目基本情况!B8="出让",SUMPRODUCT(PRODUCT(1+P13:P$35)),SUMPRODUCT(PRODUCT(1+P13:P$34))),4)</f>
        <v>1.6133999999999999</v>
      </c>
      <c r="AB13" s="535">
        <f>ROUND(IF(项目基本情况!B8="出让",SUMPRODUCT(PRODUCT(1+Q13:Q$35)),SUMPRODUCT(PRODUCT(1+Q13:Q$34))),4)</f>
        <v>1.3713</v>
      </c>
      <c r="AC13" s="535"/>
      <c r="AD13" s="549">
        <f>ROUND(AVERAGE(I13:I$35)/100,4)</f>
        <v>2.07E-2</v>
      </c>
      <c r="AE13" s="549">
        <f>ROUND(AVERAGE(J13:J$35)/100,4)</f>
        <v>1.47E-2</v>
      </c>
      <c r="AF13" s="549">
        <f t="shared" ref="AF13" si="105">AE13</f>
        <v>1.47E-2</v>
      </c>
      <c r="AG13" s="549">
        <f>ROUND(AVERAGE(K13:K$35)/100,4)</f>
        <v>2.2599999999999999E-2</v>
      </c>
      <c r="AH13" s="549">
        <f>ROUND(AVERAGE(L13:L$35)/100,4)</f>
        <v>1.44E-2</v>
      </c>
    </row>
    <row r="14" spans="1:34" s="452" customFormat="1">
      <c r="A14" s="474" t="s">
        <v>2004</v>
      </c>
      <c r="B14" s="475">
        <f t="shared" ref="B14" si="106">B15*(1+N14)</f>
        <v>474.30670301923402</v>
      </c>
      <c r="C14" s="475">
        <f t="shared" ref="C14" si="107">C15*(1+O14)</f>
        <v>349.50705005996502</v>
      </c>
      <c r="D14" s="475">
        <f t="shared" ref="D14" si="108">C14</f>
        <v>349.50705005996502</v>
      </c>
      <c r="E14" s="475">
        <f t="shared" ref="E14" si="109">E15*(1+P14)</f>
        <v>678.22831959707003</v>
      </c>
      <c r="F14" s="475">
        <f t="shared" ref="F14" si="110">F15*(1+Q14)</f>
        <v>312.05568321695603</v>
      </c>
      <c r="G14" s="472">
        <v>2019</v>
      </c>
      <c r="H14" s="477">
        <v>2</v>
      </c>
      <c r="I14" s="477">
        <v>1.53</v>
      </c>
      <c r="J14" s="477">
        <v>1.01</v>
      </c>
      <c r="K14" s="477">
        <v>1.62</v>
      </c>
      <c r="L14" s="507">
        <v>1.25</v>
      </c>
      <c r="M14" s="456"/>
      <c r="N14" s="504">
        <f t="shared" si="90"/>
        <v>1.5299999999999999E-2</v>
      </c>
      <c r="O14" s="505">
        <f t="shared" ref="O14" si="111">J14/100</f>
        <v>1.01E-2</v>
      </c>
      <c r="P14" s="505">
        <f t="shared" ref="P14" si="112">K14/100</f>
        <v>1.6199999999999999E-2</v>
      </c>
      <c r="Q14" s="505">
        <f t="shared" ref="Q14" si="113">L14/100</f>
        <v>1.2500000000000001E-2</v>
      </c>
      <c r="R14" s="534"/>
      <c r="S14" s="504"/>
      <c r="T14" s="505"/>
      <c r="U14" s="505"/>
      <c r="V14" s="505"/>
      <c r="W14" s="535"/>
      <c r="X14" s="535">
        <f>ROUND(IF(项目基本情况!B8="出让",SUMPRODUCT(PRODUCT(1+N14:N$35)),SUMPRODUCT(PRODUCT(1+N14:N$34))),4)</f>
        <v>1.5422</v>
      </c>
      <c r="Y14" s="535">
        <f>ROUND(IF(项目基本情况!B8="出让",SUMPRODUCT(PRODUCT(1+O14:O$35)),SUMPRODUCT(PRODUCT(1+O14:O$34))),4)</f>
        <v>1.3557999999999999</v>
      </c>
      <c r="Z14" s="535">
        <f t="shared" ref="Z14" si="114">Y14</f>
        <v>1.3557999999999999</v>
      </c>
      <c r="AA14" s="535">
        <f>ROUND(IF(项目基本情况!B8="出让",SUMPRODUCT(PRODUCT(1+P14:P$35)),SUMPRODUCT(PRODUCT(1+P14:P$34))),4)</f>
        <v>1.6036999999999999</v>
      </c>
      <c r="AB14" s="535">
        <f>ROUND(IF(项目基本情况!B8="出让",SUMPRODUCT(PRODUCT(1+Q14:Q$35)),SUMPRODUCT(PRODUCT(1+Q14:Q$34))),4)</f>
        <v>1.3573</v>
      </c>
      <c r="AC14" s="535"/>
      <c r="AD14" s="549">
        <f>ROUND(AVERAGE(I14:I$35)/100,4)</f>
        <v>2.1299999999999999E-2</v>
      </c>
      <c r="AE14" s="549">
        <f>ROUND(AVERAGE(J14:J$35)/100,4)</f>
        <v>1.4999999999999999E-2</v>
      </c>
      <c r="AF14" s="549">
        <f t="shared" ref="AF14" si="115">AE14</f>
        <v>1.4999999999999999E-2</v>
      </c>
      <c r="AG14" s="549">
        <f>ROUND(AVERAGE(K14:K$35)/100,4)</f>
        <v>2.3300000000000001E-2</v>
      </c>
      <c r="AH14" s="549">
        <f>ROUND(AVERAGE(L14:L$35)/100,4)</f>
        <v>1.46E-2</v>
      </c>
    </row>
    <row r="15" spans="1:34" s="452" customFormat="1">
      <c r="A15" s="474" t="s">
        <v>2005</v>
      </c>
      <c r="B15" s="475">
        <f t="shared" ref="B15" si="116">B16*(1+N15)</f>
        <v>467.159167752619</v>
      </c>
      <c r="C15" s="475">
        <f t="shared" ref="C15" si="117">C16*(1+O15)</f>
        <v>346.01232557169101</v>
      </c>
      <c r="D15" s="475">
        <f t="shared" ref="D15" si="118">C15</f>
        <v>346.01232557169101</v>
      </c>
      <c r="E15" s="475">
        <f t="shared" ref="E15" si="119">E16*(1+P15)</f>
        <v>667.41617752122602</v>
      </c>
      <c r="F15" s="475">
        <f t="shared" ref="F15" si="120">F16*(1+Q15)</f>
        <v>308.20314391798098</v>
      </c>
      <c r="G15" s="472">
        <v>2019</v>
      </c>
      <c r="H15" s="476">
        <v>1</v>
      </c>
      <c r="I15" s="476">
        <v>0.6</v>
      </c>
      <c r="J15" s="476">
        <v>0.37</v>
      </c>
      <c r="K15" s="476">
        <v>0.63</v>
      </c>
      <c r="L15" s="506">
        <v>1.1299999999999999</v>
      </c>
      <c r="M15" s="456"/>
      <c r="N15" s="504">
        <f t="shared" si="90"/>
        <v>6.0000000000000001E-3</v>
      </c>
      <c r="O15" s="505">
        <f t="shared" ref="O15" si="121">J15/100</f>
        <v>3.7000000000000002E-3</v>
      </c>
      <c r="P15" s="505">
        <f t="shared" ref="P15" si="122">K15/100</f>
        <v>6.3E-3</v>
      </c>
      <c r="Q15" s="505">
        <f t="shared" ref="Q15" si="123">L15/100</f>
        <v>1.1299999999999999E-2</v>
      </c>
      <c r="R15" s="534"/>
      <c r="S15" s="504">
        <f>B15/B16-1</f>
        <v>6.0000000000000097E-3</v>
      </c>
      <c r="T15" s="505">
        <f t="shared" ref="T15" si="124">C15/C16-1</f>
        <v>3.7000000000000401E-3</v>
      </c>
      <c r="U15" s="505">
        <f t="shared" ref="U15" si="125">D15/D16-1</f>
        <v>3.7000000000000401E-3</v>
      </c>
      <c r="V15" s="505">
        <f t="shared" ref="V15" si="126">E15/E16-1</f>
        <v>6.2999999999999697E-3</v>
      </c>
      <c r="W15" s="535"/>
      <c r="X15" s="535">
        <f>ROUND(IF(项目基本情况!B8="出让",SUMPRODUCT(PRODUCT(1+N15:N$35)),SUMPRODUCT(PRODUCT(1+N15:N$34))),4)</f>
        <v>1.5189999999999999</v>
      </c>
      <c r="Y15" s="535">
        <f>ROUND(IF(项目基本情况!B8="出让",SUMPRODUCT(PRODUCT(1+O15:O$35)),SUMPRODUCT(PRODUCT(1+O15:O$34))),4)</f>
        <v>1.3423</v>
      </c>
      <c r="Z15" s="535">
        <f t="shared" ref="Z15" si="127">Y15</f>
        <v>1.3423</v>
      </c>
      <c r="AA15" s="535">
        <f>ROUND(IF(项目基本情况!B8="出让",SUMPRODUCT(PRODUCT(1+P15:P$35)),SUMPRODUCT(PRODUCT(1+P15:P$34))),4)</f>
        <v>1.5782</v>
      </c>
      <c r="AB15" s="535">
        <f>ROUND(IF(项目基本情况!B8="出让",SUMPRODUCT(PRODUCT(1+Q15:Q$35)),SUMPRODUCT(PRODUCT(1+Q15:Q$34))),4)</f>
        <v>1.3405</v>
      </c>
      <c r="AC15" s="535"/>
      <c r="AD15" s="549">
        <f>ROUND(AVERAGE(I15:I$35)/100,4)</f>
        <v>2.1600000000000001E-2</v>
      </c>
      <c r="AE15" s="549">
        <f>ROUND(AVERAGE(J15:J$35)/100,4)</f>
        <v>1.5299999999999999E-2</v>
      </c>
      <c r="AF15" s="549">
        <f t="shared" ref="AF15" si="128">AE15</f>
        <v>1.5299999999999999E-2</v>
      </c>
      <c r="AG15" s="549">
        <f>ROUND(AVERAGE(K15:K$35)/100,4)</f>
        <v>2.3699999999999999E-2</v>
      </c>
      <c r="AH15" s="549">
        <f>ROUND(AVERAGE(L15:L$35)/100,4)</f>
        <v>1.47E-2</v>
      </c>
    </row>
    <row r="16" spans="1:34" s="452" customFormat="1">
      <c r="A16" s="474" t="s">
        <v>2006</v>
      </c>
      <c r="B16" s="478">
        <f t="shared" ref="B16" si="129">B17*(1+N16)</f>
        <v>464.37293017158902</v>
      </c>
      <c r="C16" s="478">
        <f t="shared" ref="C16" si="130">C17*(1+O16)</f>
        <v>344.73679941386001</v>
      </c>
      <c r="D16" s="478">
        <f t="shared" ref="D16" si="131">C16</f>
        <v>344.73679941386001</v>
      </c>
      <c r="E16" s="478">
        <f t="shared" ref="E16" si="132">E17*(1+P16)</f>
        <v>663.23777951031104</v>
      </c>
      <c r="F16" s="479">
        <f t="shared" ref="F16" si="133">F17*(1+Q16)</f>
        <v>304.75936311478398</v>
      </c>
      <c r="G16" s="3544">
        <v>2018</v>
      </c>
      <c r="H16" s="477">
        <v>4</v>
      </c>
      <c r="I16" s="477">
        <v>0.96</v>
      </c>
      <c r="J16" s="477">
        <v>1.03</v>
      </c>
      <c r="K16" s="477">
        <v>0.92</v>
      </c>
      <c r="L16" s="507">
        <v>1.29</v>
      </c>
      <c r="M16" s="456"/>
      <c r="N16" s="504">
        <f t="shared" si="90"/>
        <v>9.5999999999999992E-3</v>
      </c>
      <c r="O16" s="505">
        <f t="shared" ref="O16" si="134">J16/100</f>
        <v>1.03E-2</v>
      </c>
      <c r="P16" s="505">
        <f t="shared" ref="P16" si="135">K16/100</f>
        <v>9.1999999999999998E-3</v>
      </c>
      <c r="Q16" s="505">
        <f t="shared" ref="Q16" si="136">L16/100</f>
        <v>1.29E-2</v>
      </c>
      <c r="R16" s="534"/>
      <c r="S16" s="504"/>
      <c r="T16" s="505"/>
      <c r="U16" s="505"/>
      <c r="V16" s="505"/>
      <c r="W16" s="535"/>
      <c r="X16" s="535">
        <f>ROUND(SUMPRODUCT(PRODUCT(1+N16:N$34)),4)</f>
        <v>1.5099</v>
      </c>
      <c r="Y16" s="535">
        <f>ROUND(SUMPRODUCT(PRODUCT(1+O16:O$34)),4)</f>
        <v>1.3372999999999999</v>
      </c>
      <c r="Z16" s="535">
        <f t="shared" ref="Z16" si="137">Y16</f>
        <v>1.3372999999999999</v>
      </c>
      <c r="AA16" s="535">
        <f>ROUND(SUMPRODUCT(PRODUCT(1+P16:P$34)),4)</f>
        <v>1.5683</v>
      </c>
      <c r="AB16" s="535">
        <f>ROUND(SUMPRODUCT(PRODUCT(1+Q16:Q$34)),4)</f>
        <v>1.3255999999999999</v>
      </c>
      <c r="AC16" s="535"/>
      <c r="AD16" s="549">
        <f>ROUND(AVERAGE(I16:I$35)/100,4)</f>
        <v>2.24E-2</v>
      </c>
      <c r="AE16" s="549">
        <f>ROUND(AVERAGE(J16:J$35)/100,4)</f>
        <v>1.5800000000000002E-2</v>
      </c>
      <c r="AF16" s="549">
        <f t="shared" ref="AF16" si="138">AE16</f>
        <v>1.5800000000000002E-2</v>
      </c>
      <c r="AG16" s="549">
        <f>ROUND(AVERAGE(K16:K$35)/100,4)</f>
        <v>2.4500000000000001E-2</v>
      </c>
      <c r="AH16" s="549">
        <f>ROUND(AVERAGE(L16:L$35)/100,4)</f>
        <v>1.49E-2</v>
      </c>
    </row>
    <row r="17" spans="1:34" s="452" customFormat="1" ht="14.45" customHeight="1">
      <c r="A17" s="474" t="s">
        <v>2007</v>
      </c>
      <c r="B17" s="475">
        <f t="shared" ref="B17" si="139">B18*(1+N17)</f>
        <v>459.95733971036998</v>
      </c>
      <c r="C17" s="475">
        <f t="shared" ref="C17" si="140">C18*(1+O17)</f>
        <v>341.22221064422399</v>
      </c>
      <c r="D17" s="475">
        <f t="shared" ref="D17" si="141">C17</f>
        <v>341.22221064422399</v>
      </c>
      <c r="E17" s="475">
        <f t="shared" ref="E17" si="142">E18*(1+P17)</f>
        <v>657.19161663724799</v>
      </c>
      <c r="F17" s="475">
        <f t="shared" ref="F17" si="143">F18*(1+Q17)</f>
        <v>300.87803644464799</v>
      </c>
      <c r="G17" s="3544"/>
      <c r="H17" s="476">
        <v>3</v>
      </c>
      <c r="I17" s="476">
        <v>1.51</v>
      </c>
      <c r="J17" s="476">
        <v>1.41</v>
      </c>
      <c r="K17" s="476">
        <v>1.52</v>
      </c>
      <c r="L17" s="506">
        <v>1.74</v>
      </c>
      <c r="M17" s="456"/>
      <c r="N17" s="504">
        <f t="shared" si="90"/>
        <v>1.5100000000000001E-2</v>
      </c>
      <c r="O17" s="505">
        <f t="shared" ref="O17" si="144">J17/100</f>
        <v>1.41E-2</v>
      </c>
      <c r="P17" s="505">
        <f t="shared" ref="P17" si="145">K17/100</f>
        <v>1.52E-2</v>
      </c>
      <c r="Q17" s="505">
        <f t="shared" ref="Q17" si="146">L17/100</f>
        <v>1.7399999999999999E-2</v>
      </c>
      <c r="R17" s="534"/>
      <c r="S17" s="504"/>
      <c r="T17" s="505"/>
      <c r="U17" s="505"/>
      <c r="V17" s="505"/>
      <c r="W17" s="535"/>
      <c r="X17" s="535">
        <f>ROUND(SUMPRODUCT(PRODUCT(1+N17:N$34)),4)</f>
        <v>1.4956</v>
      </c>
      <c r="Y17" s="535">
        <f>ROUND(SUMPRODUCT(PRODUCT(1+O17:O$34)),4)</f>
        <v>1.3237000000000001</v>
      </c>
      <c r="Z17" s="535">
        <f t="shared" ref="Z17" si="147">Y17</f>
        <v>1.3237000000000001</v>
      </c>
      <c r="AA17" s="535">
        <f>ROUND(SUMPRODUCT(PRODUCT(1+P17:P$34)),4)</f>
        <v>1.554</v>
      </c>
      <c r="AB17" s="535">
        <f>ROUND(SUMPRODUCT(PRODUCT(1+Q17:Q$34)),4)</f>
        <v>1.3087</v>
      </c>
      <c r="AC17" s="535"/>
      <c r="AD17" s="549">
        <f>ROUND(AVERAGE(I17:I$35)/100,4)</f>
        <v>2.3099999999999999E-2</v>
      </c>
      <c r="AE17" s="549">
        <f>ROUND(AVERAGE(J17:J$35)/100,4)</f>
        <v>1.61E-2</v>
      </c>
      <c r="AF17" s="549">
        <f t="shared" ref="AF17" si="148">AE17</f>
        <v>1.61E-2</v>
      </c>
      <c r="AG17" s="549">
        <f>ROUND(AVERAGE(K17:K$35)/100,4)</f>
        <v>2.53E-2</v>
      </c>
      <c r="AH17" s="549">
        <f>ROUND(AVERAGE(L17:L$35)/100,4)</f>
        <v>1.4999999999999999E-2</v>
      </c>
    </row>
    <row r="18" spans="1:34" s="452" customFormat="1" ht="14.45" customHeight="1">
      <c r="A18" s="474" t="s">
        <v>2008</v>
      </c>
      <c r="B18" s="475">
        <f t="shared" ref="B18" si="149">B19*(1+N18)</f>
        <v>453.11529869999998</v>
      </c>
      <c r="C18" s="475">
        <f t="shared" ref="C18" si="150">C19*(1+O18)</f>
        <v>336.47787263999999</v>
      </c>
      <c r="D18" s="475">
        <f t="shared" ref="D18" si="151">C18</f>
        <v>336.47787263999999</v>
      </c>
      <c r="E18" s="475">
        <f t="shared" ref="E18" si="152">E19*(1+P18)</f>
        <v>647.35186824000004</v>
      </c>
      <c r="F18" s="475">
        <f t="shared" ref="F18" si="153">F19*(1+Q18)</f>
        <v>295.73229451999998</v>
      </c>
      <c r="G18" s="3544"/>
      <c r="H18" s="480">
        <v>2</v>
      </c>
      <c r="I18" s="480">
        <v>1.49</v>
      </c>
      <c r="J18" s="480">
        <v>0.96</v>
      </c>
      <c r="K18" s="480">
        <v>1.58</v>
      </c>
      <c r="L18" s="508">
        <v>2.44</v>
      </c>
      <c r="M18" s="456"/>
      <c r="N18" s="504">
        <f t="shared" ref="N18" si="154">I18/100</f>
        <v>1.49E-2</v>
      </c>
      <c r="O18" s="505">
        <f t="shared" ref="O18" si="155">J18/100</f>
        <v>9.5999999999999992E-3</v>
      </c>
      <c r="P18" s="505">
        <f t="shared" ref="P18" si="156">K18/100</f>
        <v>1.5800000000000002E-2</v>
      </c>
      <c r="Q18" s="505">
        <f t="shared" ref="Q18" si="157">L18/100</f>
        <v>2.4400000000000002E-2</v>
      </c>
      <c r="R18" s="534"/>
      <c r="S18" s="504"/>
      <c r="T18" s="505"/>
      <c r="U18" s="505"/>
      <c r="V18" s="505"/>
      <c r="W18" s="535"/>
      <c r="X18" s="535">
        <f>ROUND(SUMPRODUCT(PRODUCT(1+N18:N$34)),4)</f>
        <v>1.4733000000000001</v>
      </c>
      <c r="Y18" s="535">
        <f>ROUND(SUMPRODUCT(PRODUCT(1+O18:O$34)),4)</f>
        <v>1.3052999999999999</v>
      </c>
      <c r="Z18" s="535">
        <f t="shared" ref="Z18" si="158">Y18</f>
        <v>1.3052999999999999</v>
      </c>
      <c r="AA18" s="535">
        <f>ROUND(SUMPRODUCT(PRODUCT(1+P18:P$34)),4)</f>
        <v>1.5306999999999999</v>
      </c>
      <c r="AB18" s="535">
        <f>ROUND(SUMPRODUCT(PRODUCT(1+Q18:Q$34)),4)</f>
        <v>1.2863</v>
      </c>
      <c r="AC18" s="535"/>
      <c r="AD18" s="549">
        <f>ROUND(AVERAGE(I18:I$35)/100,4)</f>
        <v>2.35E-2</v>
      </c>
      <c r="AE18" s="549">
        <f>ROUND(AVERAGE(J18:J$35)/100,4)</f>
        <v>1.6199999999999999E-2</v>
      </c>
      <c r="AF18" s="549">
        <f t="shared" ref="AF18" si="159">AE18</f>
        <v>1.6199999999999999E-2</v>
      </c>
      <c r="AG18" s="549">
        <f>ROUND(AVERAGE(K18:K$35)/100,4)</f>
        <v>2.5899999999999999E-2</v>
      </c>
      <c r="AH18" s="549">
        <f>ROUND(AVERAGE(L18:L$35)/100,4)</f>
        <v>1.49E-2</v>
      </c>
    </row>
    <row r="19" spans="1:34" s="452" customFormat="1" ht="15" customHeight="1">
      <c r="A19" s="474" t="s">
        <v>1553</v>
      </c>
      <c r="B19" s="475">
        <f t="shared" ref="B19" si="160">B20*(1+N19)</f>
        <v>446.46300000000002</v>
      </c>
      <c r="C19" s="475">
        <f t="shared" ref="C19" si="161">C20*(1+O19)</f>
        <v>333.27839999999998</v>
      </c>
      <c r="D19" s="475">
        <f t="shared" ref="D19:D20" si="162">C19</f>
        <v>333.27839999999998</v>
      </c>
      <c r="E19" s="475">
        <f t="shared" ref="E19" si="163">E20*(1+P19)</f>
        <v>637.28279999999995</v>
      </c>
      <c r="F19" s="475">
        <f t="shared" ref="F19" si="164">F20*(1+Q19)</f>
        <v>288.68830000000003</v>
      </c>
      <c r="G19" s="3545"/>
      <c r="H19" s="476">
        <v>1</v>
      </c>
      <c r="I19" s="476">
        <v>1.7</v>
      </c>
      <c r="J19" s="476">
        <v>1.92</v>
      </c>
      <c r="K19" s="476">
        <v>1.64</v>
      </c>
      <c r="L19" s="506">
        <v>2.0099999999999998</v>
      </c>
      <c r="M19" s="456"/>
      <c r="N19" s="504">
        <f t="shared" ref="N19:N24" si="165">I19/100</f>
        <v>1.7000000000000001E-2</v>
      </c>
      <c r="O19" s="505">
        <f t="shared" ref="O19" si="166">J19/100</f>
        <v>1.9199999999999998E-2</v>
      </c>
      <c r="P19" s="505">
        <f t="shared" ref="P19" si="167">K19/100</f>
        <v>1.6400000000000001E-2</v>
      </c>
      <c r="Q19" s="505">
        <f t="shared" ref="Q19" si="168">L19/100</f>
        <v>2.01E-2</v>
      </c>
      <c r="R19" s="534"/>
      <c r="S19" s="504">
        <f>B19/B20-1</f>
        <v>1.6999999999999901E-2</v>
      </c>
      <c r="T19" s="505">
        <f t="shared" ref="T19" si="169">C19/C20-1</f>
        <v>1.9200000000000099E-2</v>
      </c>
      <c r="U19" s="505">
        <f t="shared" ref="U19" si="170">D19/D20-1</f>
        <v>1.9200000000000099E-2</v>
      </c>
      <c r="V19" s="505">
        <f t="shared" ref="V19" si="171">E19/E20-1</f>
        <v>1.6400000000000001E-2</v>
      </c>
      <c r="W19" s="535"/>
      <c r="X19" s="535">
        <f>ROUND(SUMPRODUCT(PRODUCT(1+N19:N$34)),4)</f>
        <v>1.4517</v>
      </c>
      <c r="Y19" s="535">
        <f>ROUND(SUMPRODUCT(PRODUCT(1+O19:O$34)),4)</f>
        <v>1.2928999999999999</v>
      </c>
      <c r="Z19" s="535">
        <f t="shared" ref="Z19" si="172">Y19</f>
        <v>1.2928999999999999</v>
      </c>
      <c r="AA19" s="535">
        <f>ROUND(SUMPRODUCT(PRODUCT(1+P19:P$34)),4)</f>
        <v>1.5068999999999999</v>
      </c>
      <c r="AB19" s="535">
        <f>ROUND(SUMPRODUCT(PRODUCT(1+Q19:Q$34)),4)</f>
        <v>1.2557</v>
      </c>
      <c r="AC19" s="535"/>
      <c r="AD19" s="549">
        <f>ROUND(AVERAGE(I19:I$35)/100,4)</f>
        <v>2.4E-2</v>
      </c>
      <c r="AE19" s="549">
        <f>ROUND(AVERAGE(J19:J$35)/100,4)</f>
        <v>1.66E-2</v>
      </c>
      <c r="AF19" s="549">
        <f t="shared" ref="AF19" si="173">AE19</f>
        <v>1.66E-2</v>
      </c>
      <c r="AG19" s="549">
        <f>ROUND(AVERAGE(K19:K$35)/100,4)</f>
        <v>2.6499999999999999E-2</v>
      </c>
      <c r="AH19" s="549">
        <f>ROUND(AVERAGE(L19:L$35)/100,4)</f>
        <v>1.43E-2</v>
      </c>
    </row>
    <row r="20" spans="1:34">
      <c r="A20" s="474" t="s">
        <v>2009</v>
      </c>
      <c r="B20" s="481">
        <v>439</v>
      </c>
      <c r="C20" s="481">
        <v>327</v>
      </c>
      <c r="D20" s="481">
        <f t="shared" si="162"/>
        <v>327</v>
      </c>
      <c r="E20" s="481">
        <v>627</v>
      </c>
      <c r="F20" s="482">
        <v>283</v>
      </c>
      <c r="G20" s="3546">
        <v>2017</v>
      </c>
      <c r="H20" s="477">
        <v>4</v>
      </c>
      <c r="I20" s="477">
        <v>1.71</v>
      </c>
      <c r="J20" s="477">
        <v>1.78</v>
      </c>
      <c r="K20" s="477">
        <v>1.71</v>
      </c>
      <c r="L20" s="507">
        <v>1.43</v>
      </c>
      <c r="N20" s="504">
        <f t="shared" si="165"/>
        <v>1.7100000000000001E-2</v>
      </c>
      <c r="O20" s="505">
        <f t="shared" ref="O20" si="174">J20/100</f>
        <v>1.78E-2</v>
      </c>
      <c r="P20" s="505">
        <f t="shared" ref="P20" si="175">K20/100</f>
        <v>1.7100000000000001E-2</v>
      </c>
      <c r="Q20" s="505">
        <f t="shared" ref="Q20" si="176">L20/100</f>
        <v>1.43E-2</v>
      </c>
      <c r="R20" s="534"/>
      <c r="S20" s="536"/>
      <c r="T20" s="537"/>
      <c r="U20" s="537"/>
      <c r="V20" s="537"/>
      <c r="X20" s="456">
        <f>ROUND(SUMPRODUCT(PRODUCT(1+N20:N$34)),4)</f>
        <v>1.4274</v>
      </c>
      <c r="Y20" s="456">
        <f>ROUND(SUMPRODUCT(PRODUCT(1+O20:O$34)),4)</f>
        <v>1.2685</v>
      </c>
      <c r="Z20" s="456">
        <f t="shared" si="0"/>
        <v>1.2685</v>
      </c>
      <c r="AA20" s="456">
        <f>ROUND(SUMPRODUCT(PRODUCT(1+P20:P$34)),4)</f>
        <v>1.4825999999999999</v>
      </c>
      <c r="AB20" s="456">
        <f>ROUND(SUMPRODUCT(PRODUCT(1+Q20:Q$34)),4)</f>
        <v>1.2309000000000001</v>
      </c>
      <c r="AD20" s="505">
        <f>ROUND(AVERAGE(I20:I$35)/100,4)</f>
        <v>2.4500000000000001E-2</v>
      </c>
      <c r="AE20" s="505">
        <f>ROUND(AVERAGE(J20:J$35)/100,4)</f>
        <v>1.6500000000000001E-2</v>
      </c>
      <c r="AF20" s="505">
        <f t="shared" si="1"/>
        <v>1.6500000000000001E-2</v>
      </c>
      <c r="AG20" s="505">
        <f>ROUND(AVERAGE(K20:K$35)/100,4)</f>
        <v>2.7099999999999999E-2</v>
      </c>
      <c r="AH20" s="505">
        <f>ROUND(AVERAGE(L20:L$35)/100,4)</f>
        <v>1.3899999999999999E-2</v>
      </c>
    </row>
    <row r="21" spans="1:34" s="452" customFormat="1" ht="14.45" customHeight="1">
      <c r="A21" s="474" t="s">
        <v>2010</v>
      </c>
      <c r="B21" s="475">
        <f t="shared" ref="B21:B23" si="177">B22*(1+N21)</f>
        <v>431.80730811680002</v>
      </c>
      <c r="C21" s="475">
        <f t="shared" ref="C21:C23" si="178">C22*(1+O21)</f>
        <v>320.57880516479997</v>
      </c>
      <c r="D21" s="475">
        <f t="shared" ref="D21:D24" si="179">C21</f>
        <v>320.57880516479997</v>
      </c>
      <c r="E21" s="475">
        <f t="shared" ref="E21:E23" si="180">E22*(1+P21)</f>
        <v>615.96110553196797</v>
      </c>
      <c r="F21" s="475">
        <f t="shared" ref="F21:F23" si="181">F22*(1+Q21)</f>
        <v>279.46777300108801</v>
      </c>
      <c r="G21" s="3544"/>
      <c r="H21" s="476">
        <v>3</v>
      </c>
      <c r="I21" s="476">
        <v>2.98</v>
      </c>
      <c r="J21" s="476">
        <v>2.11</v>
      </c>
      <c r="K21" s="476">
        <v>3.24</v>
      </c>
      <c r="L21" s="506">
        <v>1.72</v>
      </c>
      <c r="M21" s="456"/>
      <c r="N21" s="504">
        <f t="shared" si="165"/>
        <v>2.98E-2</v>
      </c>
      <c r="O21" s="505">
        <f t="shared" ref="O21" si="182">J21/100</f>
        <v>2.1100000000000001E-2</v>
      </c>
      <c r="P21" s="505">
        <f t="shared" ref="P21" si="183">K21/100</f>
        <v>3.2399999999999998E-2</v>
      </c>
      <c r="Q21" s="505">
        <f t="shared" ref="Q21" si="184">L21/100</f>
        <v>1.72E-2</v>
      </c>
      <c r="R21" s="534"/>
      <c r="S21" s="504"/>
      <c r="T21" s="505"/>
      <c r="U21" s="505"/>
      <c r="V21" s="505"/>
      <c r="W21" s="535"/>
      <c r="X21" s="535">
        <f>ROUND(SUMPRODUCT(PRODUCT(1+N21:N$34)),4)</f>
        <v>1.4034</v>
      </c>
      <c r="Y21" s="535">
        <f>ROUND(SUMPRODUCT(PRODUCT(1+O21:O$34)),4)</f>
        <v>1.2463</v>
      </c>
      <c r="Z21" s="535">
        <f t="shared" si="0"/>
        <v>1.2463</v>
      </c>
      <c r="AA21" s="535">
        <f>ROUND(SUMPRODUCT(PRODUCT(1+P21:P$34)),4)</f>
        <v>1.4577</v>
      </c>
      <c r="AB21" s="535">
        <f>ROUND(SUMPRODUCT(PRODUCT(1+Q21:Q$34)),4)</f>
        <v>1.2136</v>
      </c>
      <c r="AC21" s="535"/>
      <c r="AD21" s="549">
        <f>ROUND(AVERAGE(I21:I$35)/100,4)</f>
        <v>2.4899999999999999E-2</v>
      </c>
      <c r="AE21" s="549">
        <f>ROUND(AVERAGE(J21:J$35)/100,4)</f>
        <v>1.6400000000000001E-2</v>
      </c>
      <c r="AF21" s="549">
        <f t="shared" si="1"/>
        <v>1.6400000000000001E-2</v>
      </c>
      <c r="AG21" s="549">
        <f>ROUND(AVERAGE(K21:K$35)/100,4)</f>
        <v>2.7799999999999998E-2</v>
      </c>
      <c r="AH21" s="549">
        <f>ROUND(AVERAGE(L21:L$35)/100,4)</f>
        <v>1.3899999999999999E-2</v>
      </c>
    </row>
    <row r="22" spans="1:34" s="451" customFormat="1" ht="14.45" customHeight="1">
      <c r="A22" s="474" t="s">
        <v>2011</v>
      </c>
      <c r="B22" s="475">
        <f t="shared" si="177"/>
        <v>419.31181600000002</v>
      </c>
      <c r="C22" s="475">
        <f t="shared" si="178"/>
        <v>313.95436799999999</v>
      </c>
      <c r="D22" s="475">
        <f t="shared" si="179"/>
        <v>313.95436799999999</v>
      </c>
      <c r="E22" s="475">
        <f t="shared" si="180"/>
        <v>596.63028431999999</v>
      </c>
      <c r="F22" s="475">
        <f t="shared" si="181"/>
        <v>274.74220703999998</v>
      </c>
      <c r="G22" s="3544"/>
      <c r="H22" s="480">
        <v>2</v>
      </c>
      <c r="I22" s="480">
        <v>3.4</v>
      </c>
      <c r="J22" s="480">
        <v>2</v>
      </c>
      <c r="K22" s="480">
        <v>3.82</v>
      </c>
      <c r="L22" s="508">
        <v>1.68</v>
      </c>
      <c r="M22" s="456"/>
      <c r="N22" s="504">
        <f t="shared" si="165"/>
        <v>3.4000000000000002E-2</v>
      </c>
      <c r="O22" s="505">
        <f t="shared" ref="O22" si="185">J22/100</f>
        <v>0.02</v>
      </c>
      <c r="P22" s="505">
        <f t="shared" ref="P22" si="186">K22/100</f>
        <v>3.8199999999999998E-2</v>
      </c>
      <c r="Q22" s="505">
        <f t="shared" ref="Q22" si="187">L22/100</f>
        <v>1.6799999999999999E-2</v>
      </c>
      <c r="R22" s="534"/>
      <c r="S22" s="536"/>
      <c r="T22" s="537"/>
      <c r="U22" s="537"/>
      <c r="V22" s="537"/>
      <c r="W22" s="450"/>
      <c r="X22" s="535">
        <f>ROUND(SUMPRODUCT(PRODUCT(1+N22:N$34)),4)</f>
        <v>1.3628</v>
      </c>
      <c r="Y22" s="535">
        <f>ROUND(SUMPRODUCT(PRODUCT(1+O22:O$34)),4)</f>
        <v>1.2205999999999999</v>
      </c>
      <c r="Z22" s="535">
        <f t="shared" si="0"/>
        <v>1.2205999999999999</v>
      </c>
      <c r="AA22" s="535">
        <f>ROUND(SUMPRODUCT(PRODUCT(1+P22:P$34)),4)</f>
        <v>1.4118999999999999</v>
      </c>
      <c r="AB22" s="535">
        <f>ROUND(SUMPRODUCT(PRODUCT(1+Q22:Q$34)),4)</f>
        <v>1.1930000000000001</v>
      </c>
      <c r="AC22" s="450"/>
      <c r="AD22" s="549">
        <f>ROUND(AVERAGE(I22:I$35)/100,4)</f>
        <v>2.46E-2</v>
      </c>
      <c r="AE22" s="549">
        <f>ROUND(AVERAGE(J22:J$35)/100,4)</f>
        <v>1.6E-2</v>
      </c>
      <c r="AF22" s="549">
        <f t="shared" si="1"/>
        <v>1.6E-2</v>
      </c>
      <c r="AG22" s="549">
        <f>ROUND(AVERAGE(K22:K$35)/100,4)</f>
        <v>2.75E-2</v>
      </c>
      <c r="AH22" s="549">
        <f>ROUND(AVERAGE(L22:L$35)/100,4)</f>
        <v>1.37E-2</v>
      </c>
    </row>
    <row r="23" spans="1:34" s="452" customFormat="1" ht="15" customHeight="1">
      <c r="A23" s="474" t="s">
        <v>2012</v>
      </c>
      <c r="B23" s="475">
        <f t="shared" si="177"/>
        <v>405.524</v>
      </c>
      <c r="C23" s="475">
        <f t="shared" si="178"/>
        <v>307.79840000000002</v>
      </c>
      <c r="D23" s="475">
        <f t="shared" si="179"/>
        <v>307.79840000000002</v>
      </c>
      <c r="E23" s="475">
        <f t="shared" si="180"/>
        <v>574.67759999999998</v>
      </c>
      <c r="F23" s="475">
        <f t="shared" si="181"/>
        <v>270.20280000000002</v>
      </c>
      <c r="G23" s="3545"/>
      <c r="H23" s="476">
        <v>1</v>
      </c>
      <c r="I23" s="476">
        <v>3.45</v>
      </c>
      <c r="J23" s="476">
        <v>1.92</v>
      </c>
      <c r="K23" s="476">
        <v>3.92</v>
      </c>
      <c r="L23" s="506">
        <v>1.58</v>
      </c>
      <c r="M23" s="456"/>
      <c r="N23" s="504">
        <f t="shared" si="165"/>
        <v>3.4500000000000003E-2</v>
      </c>
      <c r="O23" s="505">
        <f t="shared" ref="O23:Q38" si="188">J23/100</f>
        <v>1.9199999999999998E-2</v>
      </c>
      <c r="P23" s="505">
        <f t="shared" si="188"/>
        <v>3.9199999999999999E-2</v>
      </c>
      <c r="Q23" s="505">
        <f t="shared" si="188"/>
        <v>1.5800000000000002E-2</v>
      </c>
      <c r="R23" s="534"/>
      <c r="S23" s="504">
        <f>B23/B24-1</f>
        <v>3.4500000000000003E-2</v>
      </c>
      <c r="T23" s="505">
        <f t="shared" ref="T23:V23" si="189">C23/C24-1</f>
        <v>1.9200000000000099E-2</v>
      </c>
      <c r="U23" s="505">
        <f t="shared" si="189"/>
        <v>1.9200000000000099E-2</v>
      </c>
      <c r="V23" s="505">
        <f t="shared" si="189"/>
        <v>3.9199999999999902E-2</v>
      </c>
      <c r="W23" s="535"/>
      <c r="X23" s="535">
        <f>ROUND(SUMPRODUCT(PRODUCT(1+N23:N$34)),4)</f>
        <v>1.3180000000000001</v>
      </c>
      <c r="Y23" s="535">
        <f>ROUND(SUMPRODUCT(PRODUCT(1+O23:O$34)),4)</f>
        <v>1.1966000000000001</v>
      </c>
      <c r="Z23" s="535">
        <f t="shared" si="0"/>
        <v>1.1966000000000001</v>
      </c>
      <c r="AA23" s="535">
        <f>ROUND(SUMPRODUCT(PRODUCT(1+P23:P$34)),4)</f>
        <v>1.36</v>
      </c>
      <c r="AB23" s="535">
        <f>ROUND(SUMPRODUCT(PRODUCT(1+Q23:Q$34)),4)</f>
        <v>1.1733</v>
      </c>
      <c r="AC23" s="535"/>
      <c r="AD23" s="549">
        <f>ROUND(AVERAGE(I23:I$35)/100,4)</f>
        <v>2.3900000000000001E-2</v>
      </c>
      <c r="AE23" s="549">
        <f>ROUND(AVERAGE(J23:J$35)/100,4)</f>
        <v>1.5699999999999999E-2</v>
      </c>
      <c r="AF23" s="549">
        <f t="shared" si="1"/>
        <v>1.5699999999999999E-2</v>
      </c>
      <c r="AG23" s="549">
        <f>ROUND(AVERAGE(K23:K$35)/100,4)</f>
        <v>2.6599999999999999E-2</v>
      </c>
      <c r="AH23" s="549">
        <f>ROUND(AVERAGE(L23:L$35)/100,4)</f>
        <v>1.34E-2</v>
      </c>
    </row>
    <row r="24" spans="1:34">
      <c r="A24" s="474" t="s">
        <v>2013</v>
      </c>
      <c r="B24" s="481">
        <v>392</v>
      </c>
      <c r="C24" s="481">
        <v>302</v>
      </c>
      <c r="D24" s="481">
        <f t="shared" si="179"/>
        <v>302</v>
      </c>
      <c r="E24" s="481">
        <v>553</v>
      </c>
      <c r="F24" s="482">
        <v>266</v>
      </c>
      <c r="G24" s="3546">
        <v>2016</v>
      </c>
      <c r="H24" s="477">
        <v>4</v>
      </c>
      <c r="I24" s="477">
        <v>4.5599999999999996</v>
      </c>
      <c r="J24" s="477">
        <v>2.15</v>
      </c>
      <c r="K24" s="477">
        <v>5.32</v>
      </c>
      <c r="L24" s="507">
        <v>1.57</v>
      </c>
      <c r="N24" s="504">
        <f t="shared" si="165"/>
        <v>4.5600000000000002E-2</v>
      </c>
      <c r="O24" s="505">
        <f t="shared" si="188"/>
        <v>2.1499999999999998E-2</v>
      </c>
      <c r="P24" s="505">
        <f t="shared" si="188"/>
        <v>5.3199999999999997E-2</v>
      </c>
      <c r="Q24" s="505">
        <f t="shared" si="188"/>
        <v>1.5699999999999999E-2</v>
      </c>
      <c r="R24" s="534"/>
      <c r="S24" s="536"/>
      <c r="T24" s="537"/>
      <c r="U24" s="537"/>
      <c r="V24" s="537"/>
      <c r="X24" s="456">
        <f>ROUND(SUMPRODUCT(PRODUCT(1+N24:N$34)),4)</f>
        <v>1.274</v>
      </c>
      <c r="Y24" s="456">
        <f>ROUND(SUMPRODUCT(PRODUCT(1+O24:O$34)),4)</f>
        <v>1.1740999999999999</v>
      </c>
      <c r="Z24" s="456">
        <f t="shared" si="0"/>
        <v>1.1740999999999999</v>
      </c>
      <c r="AA24" s="456">
        <f>ROUND(SUMPRODUCT(PRODUCT(1+P24:P$34)),4)</f>
        <v>1.3087</v>
      </c>
      <c r="AB24" s="456">
        <f>ROUND(SUMPRODUCT(PRODUCT(1+Q24:Q$34)),4)</f>
        <v>1.1551</v>
      </c>
      <c r="AD24" s="505">
        <f>ROUND(AVERAGE(I24:I$35)/100,4)</f>
        <v>2.3E-2</v>
      </c>
      <c r="AE24" s="505">
        <f>ROUND(AVERAGE(J24:J$35)/100,4)</f>
        <v>1.55E-2</v>
      </c>
      <c r="AF24" s="505">
        <f t="shared" si="1"/>
        <v>1.55E-2</v>
      </c>
      <c r="AG24" s="505">
        <f>ROUND(AVERAGE(K24:K$35)/100,4)</f>
        <v>2.5600000000000001E-2</v>
      </c>
      <c r="AH24" s="505">
        <f>ROUND(AVERAGE(L24:L$35)/100,4)</f>
        <v>1.32E-2</v>
      </c>
    </row>
    <row r="25" spans="1:34">
      <c r="A25" s="474" t="s">
        <v>2014</v>
      </c>
      <c r="B25" s="475">
        <f t="shared" ref="B25:C27" si="190">B24/(1+N24)</f>
        <v>374.90436113236399</v>
      </c>
      <c r="C25" s="475">
        <f t="shared" si="190"/>
        <v>295.64366128242801</v>
      </c>
      <c r="D25" s="475">
        <f t="shared" ref="D25:D84" si="191">C25</f>
        <v>295.64366128242801</v>
      </c>
      <c r="E25" s="475">
        <f t="shared" ref="E25:F27" si="192">E24/(1+P24)</f>
        <v>525.06646410938095</v>
      </c>
      <c r="F25" s="475">
        <f t="shared" si="192"/>
        <v>261.88835286009601</v>
      </c>
      <c r="G25" s="3544"/>
      <c r="H25" s="476">
        <v>3</v>
      </c>
      <c r="I25" s="476">
        <v>4.12</v>
      </c>
      <c r="J25" s="476">
        <v>2</v>
      </c>
      <c r="K25" s="476">
        <v>4.79</v>
      </c>
      <c r="L25" s="506">
        <v>1.97</v>
      </c>
      <c r="N25" s="504">
        <f t="shared" ref="N25:Q59" si="193">I25/100</f>
        <v>4.1200000000000001E-2</v>
      </c>
      <c r="O25" s="505">
        <f t="shared" si="188"/>
        <v>0.02</v>
      </c>
      <c r="P25" s="505">
        <f t="shared" si="188"/>
        <v>4.7899999999999998E-2</v>
      </c>
      <c r="Q25" s="505">
        <f t="shared" si="188"/>
        <v>1.9699999999999999E-2</v>
      </c>
      <c r="R25" s="534"/>
      <c r="S25" s="504"/>
      <c r="T25" s="505"/>
      <c r="U25" s="505"/>
      <c r="V25" s="505"/>
      <c r="X25" s="456">
        <f>ROUND(SUMPRODUCT(PRODUCT(1+N25:N$34)),4)</f>
        <v>1.2184999999999999</v>
      </c>
      <c r="Y25" s="456">
        <f>ROUND(SUMPRODUCT(PRODUCT(1+O25:O$34)),4)</f>
        <v>1.1494</v>
      </c>
      <c r="Z25" s="456">
        <f t="shared" si="0"/>
        <v>1.1494</v>
      </c>
      <c r="AA25" s="456">
        <f>ROUND(SUMPRODUCT(PRODUCT(1+P25:P$34)),4)</f>
        <v>1.2425999999999999</v>
      </c>
      <c r="AB25" s="456">
        <f>ROUND(SUMPRODUCT(PRODUCT(1+Q25:Q$34)),4)</f>
        <v>1.1372</v>
      </c>
      <c r="AD25" s="505">
        <f>ROUND(AVERAGE(I25:I$35)/100,4)</f>
        <v>2.0899999999999998E-2</v>
      </c>
      <c r="AE25" s="505">
        <f>ROUND(AVERAGE(J25:J$35)/100,4)</f>
        <v>1.49E-2</v>
      </c>
      <c r="AF25" s="505">
        <f t="shared" si="1"/>
        <v>1.49E-2</v>
      </c>
      <c r="AG25" s="505">
        <f>ROUND(AVERAGE(K25:K$35)/100,4)</f>
        <v>2.3099999999999999E-2</v>
      </c>
      <c r="AH25" s="505">
        <f>ROUND(AVERAGE(L25:L$35)/100,4)</f>
        <v>1.2999999999999999E-2</v>
      </c>
    </row>
    <row r="26" spans="1:34">
      <c r="A26" s="474" t="s">
        <v>2015</v>
      </c>
      <c r="B26" s="475">
        <f t="shared" si="190"/>
        <v>360.06949782209398</v>
      </c>
      <c r="C26" s="475">
        <f t="shared" si="190"/>
        <v>289.84672674747799</v>
      </c>
      <c r="D26" s="475">
        <f t="shared" si="191"/>
        <v>289.84672674747799</v>
      </c>
      <c r="E26" s="475">
        <f t="shared" si="192"/>
        <v>501.06543001181501</v>
      </c>
      <c r="F26" s="475">
        <f t="shared" si="192"/>
        <v>256.82882500745001</v>
      </c>
      <c r="G26" s="3544"/>
      <c r="H26" s="480">
        <v>2</v>
      </c>
      <c r="I26" s="480">
        <v>3.85</v>
      </c>
      <c r="J26" s="480">
        <v>1.95</v>
      </c>
      <c r="K26" s="480">
        <v>4.4800000000000004</v>
      </c>
      <c r="L26" s="508">
        <v>1.41</v>
      </c>
      <c r="N26" s="504">
        <f t="shared" si="193"/>
        <v>3.85E-2</v>
      </c>
      <c r="O26" s="505">
        <f t="shared" si="188"/>
        <v>1.95E-2</v>
      </c>
      <c r="P26" s="505">
        <f t="shared" si="188"/>
        <v>4.48E-2</v>
      </c>
      <c r="Q26" s="505">
        <f t="shared" si="188"/>
        <v>1.41E-2</v>
      </c>
      <c r="R26" s="534"/>
      <c r="S26" s="504"/>
      <c r="T26" s="505"/>
      <c r="U26" s="505"/>
      <c r="V26" s="505"/>
      <c r="X26" s="456">
        <f>ROUND(SUMPRODUCT(PRODUCT(1+N26:N$34)),4)</f>
        <v>1.1702999999999999</v>
      </c>
      <c r="Y26" s="456">
        <f>ROUND(SUMPRODUCT(PRODUCT(1+O26:O$34)),4)</f>
        <v>1.1269</v>
      </c>
      <c r="Z26" s="456">
        <f t="shared" si="0"/>
        <v>1.1269</v>
      </c>
      <c r="AA26" s="456">
        <f>ROUND(SUMPRODUCT(PRODUCT(1+P26:P$34)),4)</f>
        <v>1.1858</v>
      </c>
      <c r="AB26" s="456">
        <f>ROUND(SUMPRODUCT(PRODUCT(1+Q26:Q$34)),4)</f>
        <v>1.1152</v>
      </c>
      <c r="AD26" s="505">
        <f>ROUND(AVERAGE(I26:I$35)/100,4)</f>
        <v>1.89E-2</v>
      </c>
      <c r="AE26" s="505">
        <f>ROUND(AVERAGE(J26:J$35)/100,4)</f>
        <v>1.44E-2</v>
      </c>
      <c r="AF26" s="505">
        <f t="shared" si="1"/>
        <v>1.44E-2</v>
      </c>
      <c r="AG26" s="505">
        <f>ROUND(AVERAGE(K26:K$35)/100,4)</f>
        <v>2.06E-2</v>
      </c>
      <c r="AH26" s="505">
        <f>ROUND(AVERAGE(L26:L$35)/100,4)</f>
        <v>1.23E-2</v>
      </c>
    </row>
    <row r="27" spans="1:34">
      <c r="A27" s="474" t="s">
        <v>2016</v>
      </c>
      <c r="B27" s="475">
        <f t="shared" si="190"/>
        <v>346.720748986128</v>
      </c>
      <c r="C27" s="475">
        <f t="shared" si="190"/>
        <v>284.30282172386302</v>
      </c>
      <c r="D27" s="475">
        <f t="shared" si="191"/>
        <v>284.30282172386302</v>
      </c>
      <c r="E27" s="475">
        <f t="shared" si="192"/>
        <v>479.58023546306902</v>
      </c>
      <c r="F27" s="475">
        <f t="shared" si="192"/>
        <v>253.25788877571199</v>
      </c>
      <c r="G27" s="3547"/>
      <c r="H27" s="476">
        <v>1</v>
      </c>
      <c r="I27" s="476">
        <v>4.09</v>
      </c>
      <c r="J27" s="476">
        <v>2.93</v>
      </c>
      <c r="K27" s="476">
        <v>4.54</v>
      </c>
      <c r="L27" s="506">
        <v>1.48</v>
      </c>
      <c r="N27" s="504">
        <f t="shared" si="193"/>
        <v>4.0899999999999999E-2</v>
      </c>
      <c r="O27" s="505">
        <f t="shared" si="188"/>
        <v>2.93E-2</v>
      </c>
      <c r="P27" s="505">
        <f t="shared" si="188"/>
        <v>4.5400000000000003E-2</v>
      </c>
      <c r="Q27" s="505">
        <f t="shared" si="188"/>
        <v>1.4800000000000001E-2</v>
      </c>
      <c r="R27" s="534"/>
      <c r="S27" s="514">
        <f>B27/B28-1</f>
        <v>4.1203450408792801E-2</v>
      </c>
      <c r="T27" s="515">
        <f>C27/C28-1</f>
        <v>2.6363977342465102E-2</v>
      </c>
      <c r="U27" s="515">
        <f>E27/E28-1</f>
        <v>4.4837114298626399E-2</v>
      </c>
      <c r="V27" s="515">
        <f>F27/F28-1</f>
        <v>1.7099954922538602E-2</v>
      </c>
      <c r="X27" s="456">
        <f>ROUND(SUMPRODUCT(PRODUCT(1+N27:N$34)),4)</f>
        <v>1.1269</v>
      </c>
      <c r="Y27" s="456">
        <f>ROUND(SUMPRODUCT(PRODUCT(1+O27:O$34)),4)</f>
        <v>1.1052999999999999</v>
      </c>
      <c r="Z27" s="456">
        <f t="shared" si="0"/>
        <v>1.1052999999999999</v>
      </c>
      <c r="AA27" s="456">
        <f>ROUND(SUMPRODUCT(PRODUCT(1+P27:P$34)),4)</f>
        <v>1.1349</v>
      </c>
      <c r="AB27" s="456">
        <f>ROUND(SUMPRODUCT(PRODUCT(1+Q27:Q$34)),4)</f>
        <v>1.0996999999999999</v>
      </c>
      <c r="AD27" s="505">
        <f>ROUND(AVERAGE(I27:I$35)/100,4)</f>
        <v>1.67E-2</v>
      </c>
      <c r="AE27" s="505">
        <f>ROUND(AVERAGE(J27:J$35)/100,4)</f>
        <v>1.38E-2</v>
      </c>
      <c r="AF27" s="505">
        <f t="shared" si="1"/>
        <v>1.38E-2</v>
      </c>
      <c r="AG27" s="505">
        <f>ROUND(AVERAGE(K27:K$35)/100,4)</f>
        <v>1.7899999999999999E-2</v>
      </c>
      <c r="AH27" s="505">
        <f>ROUND(AVERAGE(L27:L$35)/100,4)</f>
        <v>1.21E-2</v>
      </c>
    </row>
    <row r="28" spans="1:34">
      <c r="A28" s="474" t="s">
        <v>2017</v>
      </c>
      <c r="B28" s="481">
        <v>333</v>
      </c>
      <c r="C28" s="481">
        <v>277</v>
      </c>
      <c r="D28" s="481">
        <f t="shared" si="191"/>
        <v>277</v>
      </c>
      <c r="E28" s="481">
        <v>459</v>
      </c>
      <c r="F28" s="482">
        <v>249</v>
      </c>
      <c r="G28" s="3548">
        <v>2015</v>
      </c>
      <c r="H28" s="483">
        <v>4</v>
      </c>
      <c r="I28" s="483">
        <v>1.63</v>
      </c>
      <c r="J28" s="483">
        <v>1.1100000000000001</v>
      </c>
      <c r="K28" s="483">
        <v>1.77</v>
      </c>
      <c r="L28" s="509">
        <v>1.89</v>
      </c>
      <c r="N28" s="510">
        <f t="shared" si="193"/>
        <v>1.6299999999999999E-2</v>
      </c>
      <c r="O28" s="511">
        <f t="shared" si="188"/>
        <v>1.11E-2</v>
      </c>
      <c r="P28" s="511">
        <f t="shared" si="188"/>
        <v>1.77E-2</v>
      </c>
      <c r="Q28" s="511">
        <f t="shared" si="188"/>
        <v>1.89E-2</v>
      </c>
      <c r="R28" s="534"/>
      <c r="X28" s="456">
        <f>ROUND(SUMPRODUCT(PRODUCT(1+N28:N$34)),4)</f>
        <v>1.0826</v>
      </c>
      <c r="Y28" s="456">
        <f>ROUND(SUMPRODUCT(PRODUCT(1+O28:O$34)),4)</f>
        <v>1.0738000000000001</v>
      </c>
      <c r="Z28" s="456">
        <f t="shared" si="0"/>
        <v>1.0738000000000001</v>
      </c>
      <c r="AA28" s="456">
        <f>ROUND(SUMPRODUCT(PRODUCT(1+P28:P$34)),4)</f>
        <v>1.0855999999999999</v>
      </c>
      <c r="AB28" s="456">
        <f>ROUND(SUMPRODUCT(PRODUCT(1+Q28:Q$34)),4)</f>
        <v>1.0837000000000001</v>
      </c>
      <c r="AD28" s="505">
        <f>ROUND(AVERAGE(I28:I$35)/100,4)</f>
        <v>1.37E-2</v>
      </c>
      <c r="AE28" s="505">
        <f>ROUND(AVERAGE(J28:J$35)/100,4)</f>
        <v>1.1900000000000001E-2</v>
      </c>
      <c r="AF28" s="505">
        <f t="shared" si="1"/>
        <v>1.1900000000000001E-2</v>
      </c>
      <c r="AG28" s="505">
        <f>ROUND(AVERAGE(K28:K$35)/100,4)</f>
        <v>1.4500000000000001E-2</v>
      </c>
      <c r="AH28" s="505">
        <f>ROUND(AVERAGE(L28:L$35)/100,4)</f>
        <v>1.18E-2</v>
      </c>
    </row>
    <row r="29" spans="1:34">
      <c r="A29" s="474" t="s">
        <v>2018</v>
      </c>
      <c r="B29" s="475">
        <f t="shared" ref="B29:C31" si="194">B28/(1+N28)</f>
        <v>327.65915576109398</v>
      </c>
      <c r="C29" s="475">
        <f t="shared" si="194"/>
        <v>273.959054495104</v>
      </c>
      <c r="D29" s="475">
        <f t="shared" si="191"/>
        <v>273.959054495104</v>
      </c>
      <c r="E29" s="475">
        <f t="shared" ref="E29:F31" si="195">E28/(1+P28)</f>
        <v>451.01699911565299</v>
      </c>
      <c r="F29" s="475">
        <f t="shared" si="195"/>
        <v>244.381195406811</v>
      </c>
      <c r="G29" s="3544"/>
      <c r="H29" s="484">
        <v>3</v>
      </c>
      <c r="I29" s="484">
        <v>1.65</v>
      </c>
      <c r="J29" s="484">
        <v>0.92</v>
      </c>
      <c r="K29" s="484">
        <v>1.88</v>
      </c>
      <c r="L29" s="512">
        <v>1.26</v>
      </c>
      <c r="N29" s="504">
        <f t="shared" si="193"/>
        <v>1.6500000000000001E-2</v>
      </c>
      <c r="O29" s="513">
        <f t="shared" si="188"/>
        <v>9.1999999999999998E-3</v>
      </c>
      <c r="P29" s="513">
        <f t="shared" si="188"/>
        <v>1.8800000000000001E-2</v>
      </c>
      <c r="Q29" s="513">
        <f t="shared" si="188"/>
        <v>1.26E-2</v>
      </c>
      <c r="R29" s="534"/>
      <c r="S29" s="504"/>
      <c r="T29" s="505"/>
      <c r="U29" s="505"/>
      <c r="V29" s="505"/>
      <c r="X29" s="456">
        <f>ROUND(SUMPRODUCT(PRODUCT(1+N29:N$34)),4)</f>
        <v>1.0651999999999999</v>
      </c>
      <c r="Y29" s="456">
        <f>ROUND(SUMPRODUCT(PRODUCT(1+O29:O$34)),4)</f>
        <v>1.0621</v>
      </c>
      <c r="Z29" s="456">
        <f t="shared" si="0"/>
        <v>1.0621</v>
      </c>
      <c r="AA29" s="456">
        <f>ROUND(SUMPRODUCT(PRODUCT(1+P29:P$34)),4)</f>
        <v>1.0668</v>
      </c>
      <c r="AB29" s="456">
        <f>ROUND(SUMPRODUCT(PRODUCT(1+Q29:Q$34)),4)</f>
        <v>1.0636000000000001</v>
      </c>
      <c r="AD29" s="505">
        <f>ROUND(AVERAGE(I29:I$35)/100,4)</f>
        <v>1.3299999999999999E-2</v>
      </c>
      <c r="AE29" s="505">
        <f>ROUND(AVERAGE(J29:J$35)/100,4)</f>
        <v>1.2E-2</v>
      </c>
      <c r="AF29" s="505">
        <f t="shared" si="1"/>
        <v>1.2E-2</v>
      </c>
      <c r="AG29" s="505">
        <f>ROUND(AVERAGE(K29:K$35)/100,4)</f>
        <v>1.4E-2</v>
      </c>
      <c r="AH29" s="505">
        <f>ROUND(AVERAGE(L29:L$35)/100,4)</f>
        <v>1.0800000000000001E-2</v>
      </c>
    </row>
    <row r="30" spans="1:34">
      <c r="A30" s="474" t="s">
        <v>2019</v>
      </c>
      <c r="B30" s="475">
        <f t="shared" si="194"/>
        <v>322.34053690220799</v>
      </c>
      <c r="C30" s="475">
        <f t="shared" si="194"/>
        <v>271.461607704225</v>
      </c>
      <c r="D30" s="475">
        <f t="shared" si="191"/>
        <v>271.461607704225</v>
      </c>
      <c r="E30" s="475">
        <f t="shared" si="195"/>
        <v>442.69434542172502</v>
      </c>
      <c r="F30" s="475">
        <f t="shared" si="195"/>
        <v>241.34030753190899</v>
      </c>
      <c r="G30" s="3544"/>
      <c r="H30" s="480">
        <v>2</v>
      </c>
      <c r="I30" s="480">
        <v>0.77</v>
      </c>
      <c r="J30" s="480">
        <v>0.69</v>
      </c>
      <c r="K30" s="480">
        <v>0.8</v>
      </c>
      <c r="L30" s="508">
        <v>0.88</v>
      </c>
      <c r="N30" s="504">
        <f t="shared" si="193"/>
        <v>7.7000000000000002E-3</v>
      </c>
      <c r="O30" s="513">
        <f t="shared" si="188"/>
        <v>6.8999999999999999E-3</v>
      </c>
      <c r="P30" s="513">
        <f t="shared" si="188"/>
        <v>8.0000000000000002E-3</v>
      </c>
      <c r="Q30" s="513">
        <f t="shared" si="188"/>
        <v>8.8000000000000005E-3</v>
      </c>
      <c r="R30" s="534"/>
      <c r="S30" s="504"/>
      <c r="T30" s="505"/>
      <c r="U30" s="505"/>
      <c r="V30" s="505"/>
      <c r="X30" s="456">
        <f>ROUND(SUMPRODUCT(PRODUCT(1+N30:N$34)),4)</f>
        <v>1.048</v>
      </c>
      <c r="Y30" s="456">
        <f>ROUND(SUMPRODUCT(PRODUCT(1+O30:O$34)),4)</f>
        <v>1.0524</v>
      </c>
      <c r="Z30" s="456">
        <f t="shared" si="0"/>
        <v>1.0524</v>
      </c>
      <c r="AA30" s="456">
        <f>ROUND(SUMPRODUCT(PRODUCT(1+P30:P$34)),4)</f>
        <v>1.0470999999999999</v>
      </c>
      <c r="AB30" s="456">
        <f>ROUND(SUMPRODUCT(PRODUCT(1+Q30:Q$34)),4)</f>
        <v>1.0504</v>
      </c>
      <c r="AD30" s="505">
        <f>ROUND(AVERAGE(I30:I$35)/100,4)</f>
        <v>1.2800000000000001E-2</v>
      </c>
      <c r="AE30" s="505">
        <f>ROUND(AVERAGE(J30:J$35)/100,4)</f>
        <v>1.2500000000000001E-2</v>
      </c>
      <c r="AF30" s="505">
        <f t="shared" si="1"/>
        <v>1.2500000000000001E-2</v>
      </c>
      <c r="AG30" s="505">
        <f>ROUND(AVERAGE(K30:K$35)/100,4)</f>
        <v>1.32E-2</v>
      </c>
      <c r="AH30" s="505">
        <f>ROUND(AVERAGE(L30:L$35)/100,4)</f>
        <v>1.0500000000000001E-2</v>
      </c>
    </row>
    <row r="31" spans="1:34">
      <c r="A31" s="474" t="s">
        <v>2020</v>
      </c>
      <c r="B31" s="475">
        <f t="shared" si="194"/>
        <v>319.87748030386803</v>
      </c>
      <c r="C31" s="475">
        <f t="shared" si="194"/>
        <v>269.60135833173598</v>
      </c>
      <c r="D31" s="475">
        <f t="shared" si="191"/>
        <v>269.60135833173598</v>
      </c>
      <c r="E31" s="475">
        <f t="shared" si="195"/>
        <v>439.18089823583801</v>
      </c>
      <c r="F31" s="475">
        <f t="shared" si="195"/>
        <v>239.23503918706299</v>
      </c>
      <c r="G31" s="3547"/>
      <c r="H31" s="476">
        <v>1</v>
      </c>
      <c r="I31" s="476">
        <v>0.51</v>
      </c>
      <c r="J31" s="476">
        <v>0.54</v>
      </c>
      <c r="K31" s="476">
        <v>0.48</v>
      </c>
      <c r="L31" s="506">
        <v>0.93</v>
      </c>
      <c r="N31" s="514">
        <f t="shared" si="193"/>
        <v>5.1000000000000004E-3</v>
      </c>
      <c r="O31" s="515">
        <f t="shared" si="188"/>
        <v>5.4000000000000003E-3</v>
      </c>
      <c r="P31" s="515">
        <f t="shared" si="188"/>
        <v>4.7999999999999996E-3</v>
      </c>
      <c r="Q31" s="515">
        <f t="shared" si="188"/>
        <v>9.2999999999999992E-3</v>
      </c>
      <c r="R31" s="534"/>
      <c r="S31" s="514">
        <f>B31/B32-1</f>
        <v>5.9040261127922796E-3</v>
      </c>
      <c r="T31" s="515">
        <f>C31/C32-1</f>
        <v>5.9752176557332799E-3</v>
      </c>
      <c r="U31" s="515">
        <f>E31/E32-1</f>
        <v>4.9906138119859599E-3</v>
      </c>
      <c r="V31" s="515">
        <f>F31/F32-1</f>
        <v>9.4305450930933805E-3</v>
      </c>
      <c r="X31" s="456">
        <f>ROUND(SUMPRODUCT(PRODUCT(1+N31:N$34)),4)</f>
        <v>1.0399</v>
      </c>
      <c r="Y31" s="456">
        <f>ROUND(SUMPRODUCT(PRODUCT(1+O31:O$34)),4)</f>
        <v>1.0451999999999999</v>
      </c>
      <c r="Z31" s="456">
        <f t="shared" si="0"/>
        <v>1.0451999999999999</v>
      </c>
      <c r="AA31" s="456">
        <f>ROUND(SUMPRODUCT(PRODUCT(1+P31:P$34)),4)</f>
        <v>1.0387999999999999</v>
      </c>
      <c r="AB31" s="456">
        <f>ROUND(SUMPRODUCT(PRODUCT(1+Q31:Q$34)),4)</f>
        <v>1.0411999999999999</v>
      </c>
      <c r="AD31" s="505">
        <f>ROUND(AVERAGE(I31:I$35)/100,4)</f>
        <v>1.38E-2</v>
      </c>
      <c r="AE31" s="505">
        <f>ROUND(AVERAGE(J31:J$35)/100,4)</f>
        <v>1.3599999999999999E-2</v>
      </c>
      <c r="AF31" s="505">
        <f t="shared" si="1"/>
        <v>1.3599999999999999E-2</v>
      </c>
      <c r="AG31" s="505">
        <f>ROUND(AVERAGE(K31:K$35)/100,4)</f>
        <v>1.4200000000000001E-2</v>
      </c>
      <c r="AH31" s="505">
        <f>ROUND(AVERAGE(L31:L$35)/100,4)</f>
        <v>1.0800000000000001E-2</v>
      </c>
    </row>
    <row r="32" spans="1:34">
      <c r="A32" s="474" t="s">
        <v>2021</v>
      </c>
      <c r="B32" s="485">
        <v>318</v>
      </c>
      <c r="C32" s="485">
        <v>268</v>
      </c>
      <c r="D32" s="485">
        <f t="shared" si="191"/>
        <v>268</v>
      </c>
      <c r="E32" s="485">
        <v>437</v>
      </c>
      <c r="F32" s="486">
        <v>237</v>
      </c>
      <c r="G32" s="3548">
        <v>2014</v>
      </c>
      <c r="H32" s="483">
        <v>4</v>
      </c>
      <c r="I32" s="483">
        <v>0.21</v>
      </c>
      <c r="J32" s="483">
        <v>0.41</v>
      </c>
      <c r="K32" s="483">
        <v>0.12</v>
      </c>
      <c r="L32" s="509">
        <v>0.89</v>
      </c>
      <c r="N32" s="504">
        <f t="shared" si="193"/>
        <v>2.0999999999999999E-3</v>
      </c>
      <c r="O32" s="505">
        <f t="shared" si="188"/>
        <v>4.1000000000000003E-3</v>
      </c>
      <c r="P32" s="505">
        <f t="shared" si="188"/>
        <v>1.1999999999999999E-3</v>
      </c>
      <c r="Q32" s="505">
        <f t="shared" si="188"/>
        <v>8.8999999999999999E-3</v>
      </c>
      <c r="R32" s="534"/>
      <c r="S32" s="536"/>
      <c r="T32" s="537"/>
      <c r="U32" s="537"/>
      <c r="V32" s="537"/>
      <c r="X32" s="456">
        <f>ROUND(SUMPRODUCT(PRODUCT(1+N32:N$34)),4)</f>
        <v>1.0347</v>
      </c>
      <c r="Y32" s="456">
        <f>ROUND(SUMPRODUCT(PRODUCT(1+O32:O$34)),4)</f>
        <v>1.0395000000000001</v>
      </c>
      <c r="Z32" s="456">
        <f t="shared" si="0"/>
        <v>1.0395000000000001</v>
      </c>
      <c r="AA32" s="456">
        <f>ROUND(SUMPRODUCT(PRODUCT(1+P32:P$34)),4)</f>
        <v>1.0338000000000001</v>
      </c>
      <c r="AB32" s="456">
        <f>ROUND(SUMPRODUCT(PRODUCT(1+Q32:Q$34)),4)</f>
        <v>1.0316000000000001</v>
      </c>
      <c r="AD32" s="505">
        <f>ROUND(AVERAGE(I32:I$35)/100,4)</f>
        <v>1.6E-2</v>
      </c>
      <c r="AE32" s="505">
        <f>ROUND(AVERAGE(J32:J$35)/100,4)</f>
        <v>1.5599999999999999E-2</v>
      </c>
      <c r="AF32" s="505">
        <f t="shared" si="1"/>
        <v>1.5599999999999999E-2</v>
      </c>
      <c r="AG32" s="505">
        <f>ROUND(AVERAGE(K32:K$35)/100,4)</f>
        <v>1.66E-2</v>
      </c>
      <c r="AH32" s="505">
        <f>ROUND(AVERAGE(L32:L$35)/100,4)</f>
        <v>1.12E-2</v>
      </c>
    </row>
    <row r="33" spans="1:34">
      <c r="A33" s="474" t="s">
        <v>2022</v>
      </c>
      <c r="B33" s="475">
        <f t="shared" ref="B33:C35" si="196">B32/(1+N32)</f>
        <v>317.33359944117399</v>
      </c>
      <c r="C33" s="475">
        <f t="shared" si="196"/>
        <v>266.90568668459298</v>
      </c>
      <c r="D33" s="475">
        <f t="shared" si="191"/>
        <v>266.90568668459298</v>
      </c>
      <c r="E33" s="475">
        <f t="shared" ref="E33:F35" si="197">E32/(1+P32)</f>
        <v>436.47622852576899</v>
      </c>
      <c r="F33" s="475">
        <f t="shared" si="197"/>
        <v>234.909307166221</v>
      </c>
      <c r="G33" s="3544"/>
      <c r="H33" s="487">
        <v>3</v>
      </c>
      <c r="I33" s="487">
        <v>0.83</v>
      </c>
      <c r="J33" s="487">
        <v>1.47</v>
      </c>
      <c r="K33" s="487">
        <v>0.65</v>
      </c>
      <c r="L33" s="516">
        <v>0.72</v>
      </c>
      <c r="N33" s="504">
        <f t="shared" si="193"/>
        <v>8.3000000000000001E-3</v>
      </c>
      <c r="O33" s="505">
        <f t="shared" si="188"/>
        <v>1.47E-2</v>
      </c>
      <c r="P33" s="505">
        <f t="shared" si="188"/>
        <v>6.4999999999999997E-3</v>
      </c>
      <c r="Q33" s="505">
        <f t="shared" si="188"/>
        <v>7.1999999999999998E-3</v>
      </c>
      <c r="R33" s="534"/>
      <c r="S33" s="504"/>
      <c r="T33" s="505"/>
      <c r="U33" s="505"/>
      <c r="V33" s="505"/>
      <c r="X33" s="456">
        <f>ROUND(SUMPRODUCT(PRODUCT(1+N33:N$34)),4)</f>
        <v>1.0325</v>
      </c>
      <c r="Y33" s="456">
        <f>ROUND(SUMPRODUCT(PRODUCT(1+O33:O$34)),4)</f>
        <v>1.0353000000000001</v>
      </c>
      <c r="Z33" s="456">
        <f t="shared" ref="Z33:Z34" si="198">Y33</f>
        <v>1.0353000000000001</v>
      </c>
      <c r="AA33" s="456">
        <f>ROUND(SUMPRODUCT(PRODUCT(1+P33:P$34)),4)</f>
        <v>1.0326</v>
      </c>
      <c r="AB33" s="456">
        <f>ROUND(SUMPRODUCT(PRODUCT(1+Q33:Q$34)),4)</f>
        <v>1.0225</v>
      </c>
      <c r="AD33" s="505">
        <f>ROUND(AVERAGE(I33:I$35)/100,4)</f>
        <v>2.07E-2</v>
      </c>
      <c r="AE33" s="505">
        <f>ROUND(AVERAGE(J33:J$35)/100,4)</f>
        <v>1.95E-2</v>
      </c>
      <c r="AF33" s="505">
        <f t="shared" si="1"/>
        <v>1.95E-2</v>
      </c>
      <c r="AG33" s="505">
        <f>ROUND(AVERAGE(K33:K$35)/100,4)</f>
        <v>2.1700000000000001E-2</v>
      </c>
      <c r="AH33" s="505">
        <f>ROUND(AVERAGE(L33:L$35)/100,4)</f>
        <v>1.2E-2</v>
      </c>
    </row>
    <row r="34" spans="1:34">
      <c r="A34" s="474" t="s">
        <v>2023</v>
      </c>
      <c r="B34" s="475">
        <f t="shared" si="196"/>
        <v>314.721411723865</v>
      </c>
      <c r="C34" s="475">
        <f t="shared" si="196"/>
        <v>263.03901319069001</v>
      </c>
      <c r="D34" s="475">
        <f t="shared" si="191"/>
        <v>263.03901319069001</v>
      </c>
      <c r="E34" s="475">
        <f t="shared" si="197"/>
        <v>433.65745506782798</v>
      </c>
      <c r="F34" s="475">
        <f t="shared" si="197"/>
        <v>233.23005080045701</v>
      </c>
      <c r="G34" s="3544"/>
      <c r="H34" s="483">
        <v>2</v>
      </c>
      <c r="I34" s="483">
        <v>2.4</v>
      </c>
      <c r="J34" s="483">
        <v>2.0299999999999998</v>
      </c>
      <c r="K34" s="483">
        <v>2.59</v>
      </c>
      <c r="L34" s="509">
        <v>1.52</v>
      </c>
      <c r="N34" s="504">
        <f t="shared" si="193"/>
        <v>2.4E-2</v>
      </c>
      <c r="O34" s="505">
        <f t="shared" si="188"/>
        <v>2.0299999999999999E-2</v>
      </c>
      <c r="P34" s="505">
        <f t="shared" si="188"/>
        <v>2.5899999999999999E-2</v>
      </c>
      <c r="Q34" s="505">
        <f t="shared" si="188"/>
        <v>1.52E-2</v>
      </c>
      <c r="R34" s="534"/>
      <c r="S34" s="504"/>
      <c r="T34" s="505"/>
      <c r="U34" s="505"/>
      <c r="V34" s="505"/>
      <c r="X34" s="456">
        <f>1+N34</f>
        <v>1.024</v>
      </c>
      <c r="Y34" s="456">
        <f>1+O34</f>
        <v>1.0203</v>
      </c>
      <c r="Z34" s="456">
        <f t="shared" si="198"/>
        <v>1.0203</v>
      </c>
      <c r="AA34" s="456">
        <f>1+P34</f>
        <v>1.0259</v>
      </c>
      <c r="AB34" s="456">
        <f>1+Q34</f>
        <v>1.0152000000000001</v>
      </c>
      <c r="AD34" s="505">
        <f>ROUND(AVERAGE(I34:I$35)/100,4)</f>
        <v>2.69E-2</v>
      </c>
      <c r="AE34" s="505">
        <f>ROUND(AVERAGE(J34:J$35)/100,4)</f>
        <v>2.1899999999999999E-2</v>
      </c>
      <c r="AF34" s="505">
        <f t="shared" ref="AF34:AF35" si="199">AE34</f>
        <v>2.1899999999999999E-2</v>
      </c>
      <c r="AG34" s="505">
        <f>ROUND(AVERAGE(K34:K$35)/100,4)</f>
        <v>2.9399999999999999E-2</v>
      </c>
      <c r="AH34" s="505">
        <f>ROUND(AVERAGE(L34:L$35)/100,4)</f>
        <v>1.44E-2</v>
      </c>
    </row>
    <row r="35" spans="1:34" s="453" customFormat="1">
      <c r="A35" s="488" t="s">
        <v>2024</v>
      </c>
      <c r="B35" s="489">
        <f t="shared" si="196"/>
        <v>307.34512863658699</v>
      </c>
      <c r="C35" s="489">
        <f t="shared" si="196"/>
        <v>257.80556031626998</v>
      </c>
      <c r="D35" s="489">
        <f t="shared" si="191"/>
        <v>257.80556031626998</v>
      </c>
      <c r="E35" s="489">
        <f t="shared" si="197"/>
        <v>422.70928459677202</v>
      </c>
      <c r="F35" s="489">
        <f t="shared" si="197"/>
        <v>229.738032703366</v>
      </c>
      <c r="G35" s="3547"/>
      <c r="H35" s="490">
        <v>1</v>
      </c>
      <c r="I35" s="490">
        <v>2.97</v>
      </c>
      <c r="J35" s="490">
        <v>2.34</v>
      </c>
      <c r="K35" s="490">
        <v>3.28</v>
      </c>
      <c r="L35" s="517">
        <v>1.36</v>
      </c>
      <c r="N35" s="518">
        <f t="shared" si="193"/>
        <v>2.9700000000000001E-2</v>
      </c>
      <c r="O35" s="519">
        <f t="shared" si="188"/>
        <v>2.3400000000000001E-2</v>
      </c>
      <c r="P35" s="519">
        <f t="shared" si="188"/>
        <v>3.2800000000000003E-2</v>
      </c>
      <c r="Q35" s="519">
        <f t="shared" si="188"/>
        <v>1.3599999999999999E-2</v>
      </c>
      <c r="R35" s="538"/>
      <c r="S35" s="539">
        <f>B35/B36-1</f>
        <v>2.7910129219355501E-2</v>
      </c>
      <c r="T35" s="540">
        <f>C35/C36-1</f>
        <v>2.3037937762975198E-2</v>
      </c>
      <c r="U35" s="540">
        <f>E35/E36-1</f>
        <v>3.3519033243940802E-2</v>
      </c>
      <c r="V35" s="540">
        <f>F35/F36-1</f>
        <v>1.20618180765029E-2</v>
      </c>
      <c r="W35" s="541" t="s">
        <v>2025</v>
      </c>
      <c r="X35" s="542">
        <v>1</v>
      </c>
      <c r="Y35" s="542">
        <v>1</v>
      </c>
      <c r="Z35" s="542">
        <v>1</v>
      </c>
      <c r="AA35" s="542">
        <v>1</v>
      </c>
      <c r="AB35" s="542">
        <v>1</v>
      </c>
      <c r="AD35" s="519">
        <f>I35/100</f>
        <v>2.9700000000000001E-2</v>
      </c>
      <c r="AE35" s="519">
        <f>J35/100</f>
        <v>2.3400000000000001E-2</v>
      </c>
      <c r="AF35" s="519">
        <f t="shared" si="199"/>
        <v>2.3400000000000001E-2</v>
      </c>
      <c r="AG35" s="519">
        <f>K35/100</f>
        <v>3.2800000000000003E-2</v>
      </c>
      <c r="AH35" s="519">
        <f>L35/100</f>
        <v>1.3599999999999999E-2</v>
      </c>
    </row>
    <row r="36" spans="1:34">
      <c r="A36" s="474" t="s">
        <v>2026</v>
      </c>
      <c r="B36" s="481">
        <v>299</v>
      </c>
      <c r="C36" s="481">
        <v>252</v>
      </c>
      <c r="D36" s="481">
        <f t="shared" si="191"/>
        <v>252</v>
      </c>
      <c r="E36" s="481">
        <v>409</v>
      </c>
      <c r="F36" s="482">
        <v>227</v>
      </c>
      <c r="G36" s="3549">
        <v>2013</v>
      </c>
      <c r="H36" s="491">
        <v>4</v>
      </c>
      <c r="I36" s="491">
        <v>1.83</v>
      </c>
      <c r="J36" s="491">
        <v>1.68</v>
      </c>
      <c r="K36" s="491">
        <v>1.97</v>
      </c>
      <c r="L36" s="520">
        <v>0.87</v>
      </c>
      <c r="N36" s="510">
        <f t="shared" si="193"/>
        <v>1.83E-2</v>
      </c>
      <c r="O36" s="511">
        <f t="shared" si="188"/>
        <v>1.6799999999999999E-2</v>
      </c>
      <c r="P36" s="511">
        <f t="shared" si="188"/>
        <v>1.9699999999999999E-2</v>
      </c>
      <c r="Q36" s="511">
        <f t="shared" si="188"/>
        <v>8.6999999999999994E-3</v>
      </c>
      <c r="R36" s="534"/>
      <c r="S36" s="536"/>
      <c r="T36" s="537"/>
      <c r="U36" s="537"/>
      <c r="V36" s="537"/>
      <c r="X36" s="537"/>
      <c r="Y36" s="537"/>
      <c r="Z36" s="537"/>
    </row>
    <row r="37" spans="1:34">
      <c r="A37" s="474" t="s">
        <v>2027</v>
      </c>
      <c r="B37" s="475">
        <f t="shared" ref="B37:C39" si="200">B36/(1+N36)</f>
        <v>293.62663262299901</v>
      </c>
      <c r="C37" s="475">
        <f t="shared" si="200"/>
        <v>247.836349331235</v>
      </c>
      <c r="D37" s="475">
        <f t="shared" si="191"/>
        <v>247.836349331235</v>
      </c>
      <c r="E37" s="475">
        <f t="shared" ref="E37:F39" si="201">E36/(1+P36)</f>
        <v>401.09836226341099</v>
      </c>
      <c r="F37" s="475">
        <f t="shared" si="201"/>
        <v>225.04213343908</v>
      </c>
      <c r="G37" s="3550"/>
      <c r="H37" s="484">
        <v>3</v>
      </c>
      <c r="I37" s="484">
        <v>1.86</v>
      </c>
      <c r="J37" s="484">
        <v>1.72</v>
      </c>
      <c r="K37" s="484">
        <v>1.98</v>
      </c>
      <c r="L37" s="512">
        <v>0.88</v>
      </c>
      <c r="N37" s="504">
        <f t="shared" si="193"/>
        <v>1.8599999999999998E-2</v>
      </c>
      <c r="O37" s="513">
        <f t="shared" si="188"/>
        <v>1.72E-2</v>
      </c>
      <c r="P37" s="513">
        <f t="shared" si="188"/>
        <v>1.9800000000000002E-2</v>
      </c>
      <c r="Q37" s="513">
        <f t="shared" si="188"/>
        <v>8.8000000000000005E-3</v>
      </c>
      <c r="R37" s="534"/>
      <c r="S37" s="504"/>
      <c r="T37" s="505"/>
      <c r="U37" s="505"/>
      <c r="V37" s="505"/>
    </row>
    <row r="38" spans="1:34">
      <c r="A38" s="474" t="s">
        <v>2028</v>
      </c>
      <c r="B38" s="475">
        <f t="shared" si="200"/>
        <v>288.264905382878</v>
      </c>
      <c r="C38" s="475">
        <f t="shared" si="200"/>
        <v>243.64564425013299</v>
      </c>
      <c r="D38" s="475">
        <f t="shared" si="191"/>
        <v>243.64564425013299</v>
      </c>
      <c r="E38" s="475">
        <f t="shared" si="201"/>
        <v>393.31080825986498</v>
      </c>
      <c r="F38" s="475">
        <f t="shared" si="201"/>
        <v>223.079037905512</v>
      </c>
      <c r="G38" s="3550"/>
      <c r="H38" s="480">
        <v>2</v>
      </c>
      <c r="I38" s="480">
        <v>2.04</v>
      </c>
      <c r="J38" s="480">
        <v>2.33</v>
      </c>
      <c r="K38" s="480">
        <v>2.0699999999999998</v>
      </c>
      <c r="L38" s="508">
        <v>0.69</v>
      </c>
      <c r="N38" s="504">
        <f t="shared" si="193"/>
        <v>2.0400000000000001E-2</v>
      </c>
      <c r="O38" s="513">
        <f t="shared" si="188"/>
        <v>2.3300000000000001E-2</v>
      </c>
      <c r="P38" s="513">
        <f t="shared" si="188"/>
        <v>2.07E-2</v>
      </c>
      <c r="Q38" s="513">
        <f t="shared" si="188"/>
        <v>6.8999999999999999E-3</v>
      </c>
      <c r="R38" s="534"/>
      <c r="S38" s="504"/>
      <c r="T38" s="505"/>
      <c r="U38" s="505"/>
      <c r="V38" s="505"/>
      <c r="X38" s="543"/>
      <c r="Y38" s="550"/>
    </row>
    <row r="39" spans="1:34">
      <c r="A39" s="474" t="s">
        <v>2029</v>
      </c>
      <c r="B39" s="475">
        <f t="shared" si="200"/>
        <v>282.50186729015797</v>
      </c>
      <c r="C39" s="475">
        <f t="shared" si="200"/>
        <v>238.097961741555</v>
      </c>
      <c r="D39" s="475">
        <f t="shared" si="191"/>
        <v>238.097961741555</v>
      </c>
      <c r="E39" s="475">
        <f t="shared" si="201"/>
        <v>385.33438646014099</v>
      </c>
      <c r="F39" s="475">
        <f t="shared" si="201"/>
        <v>221.550340555677</v>
      </c>
      <c r="G39" s="3551"/>
      <c r="H39" s="476">
        <v>1</v>
      </c>
      <c r="I39" s="476">
        <v>1.67</v>
      </c>
      <c r="J39" s="476">
        <v>1.31</v>
      </c>
      <c r="K39" s="476">
        <v>1.85</v>
      </c>
      <c r="L39" s="506">
        <v>0.96</v>
      </c>
      <c r="N39" s="514">
        <f t="shared" si="193"/>
        <v>1.67E-2</v>
      </c>
      <c r="O39" s="515">
        <f t="shared" si="193"/>
        <v>1.3100000000000001E-2</v>
      </c>
      <c r="P39" s="515">
        <f t="shared" si="193"/>
        <v>1.8499999999999999E-2</v>
      </c>
      <c r="Q39" s="515">
        <f t="shared" si="193"/>
        <v>9.5999999999999992E-3</v>
      </c>
      <c r="R39" s="534"/>
      <c r="S39" s="514">
        <f>B39/B40-1</f>
        <v>1.61937672307855E-2</v>
      </c>
      <c r="T39" s="515">
        <f>C39/C40-1</f>
        <v>1.7512657015190902E-2</v>
      </c>
      <c r="U39" s="515">
        <f>E39/E40-1</f>
        <v>1.6713420739156999E-2</v>
      </c>
      <c r="V39" s="515">
        <f>F39/F40-1</f>
        <v>7.0470025258062598E-3</v>
      </c>
      <c r="X39" s="544"/>
      <c r="Y39" s="505"/>
      <c r="Z39" s="505"/>
    </row>
    <row r="40" spans="1:34">
      <c r="A40" s="474" t="s">
        <v>2030</v>
      </c>
      <c r="B40" s="492">
        <v>278</v>
      </c>
      <c r="C40" s="492">
        <v>234</v>
      </c>
      <c r="D40" s="492">
        <f t="shared" si="191"/>
        <v>234</v>
      </c>
      <c r="E40" s="492">
        <v>379</v>
      </c>
      <c r="F40" s="493">
        <v>220</v>
      </c>
      <c r="G40" s="3548">
        <v>2012</v>
      </c>
      <c r="H40" s="483">
        <v>4</v>
      </c>
      <c r="I40" s="483">
        <v>0.91</v>
      </c>
      <c r="J40" s="483">
        <v>0.68</v>
      </c>
      <c r="K40" s="483">
        <v>0.98</v>
      </c>
      <c r="L40" s="509">
        <v>0.9</v>
      </c>
      <c r="N40" s="504">
        <f t="shared" si="193"/>
        <v>9.1000000000000004E-3</v>
      </c>
      <c r="O40" s="505">
        <f t="shared" si="193"/>
        <v>6.7999999999999996E-3</v>
      </c>
      <c r="P40" s="505">
        <f t="shared" si="193"/>
        <v>9.7999999999999997E-3</v>
      </c>
      <c r="Q40" s="505">
        <f t="shared" si="193"/>
        <v>8.9999999999999993E-3</v>
      </c>
      <c r="R40" s="534"/>
      <c r="S40" s="536"/>
      <c r="T40" s="537"/>
      <c r="U40" s="537"/>
      <c r="V40" s="537"/>
      <c r="X40" s="537"/>
      <c r="Y40" s="537"/>
      <c r="Z40" s="537"/>
    </row>
    <row r="41" spans="1:34">
      <c r="A41" s="474" t="s">
        <v>2031</v>
      </c>
      <c r="B41" s="475">
        <f>B40/(1+N40)</f>
        <v>275.49301357645402</v>
      </c>
      <c r="C41" s="475">
        <f>C40/(1+O40)</f>
        <v>232.41954707985701</v>
      </c>
      <c r="D41" s="475">
        <f t="shared" si="191"/>
        <v>232.41954707985701</v>
      </c>
      <c r="E41" s="475">
        <f t="shared" ref="E41:F43" si="202">E40/(1+P40)</f>
        <v>375.32184591008098</v>
      </c>
      <c r="F41" s="475">
        <f t="shared" si="202"/>
        <v>218.03766105054501</v>
      </c>
      <c r="G41" s="3544"/>
      <c r="H41" s="484">
        <v>3</v>
      </c>
      <c r="I41" s="484">
        <v>0.09</v>
      </c>
      <c r="J41" s="484">
        <v>0.28999999999999998</v>
      </c>
      <c r="K41" s="484">
        <v>-0.01</v>
      </c>
      <c r="L41" s="512">
        <v>0.57999999999999996</v>
      </c>
      <c r="N41" s="504">
        <f t="shared" si="193"/>
        <v>8.9999999999999998E-4</v>
      </c>
      <c r="O41" s="505">
        <f t="shared" si="193"/>
        <v>2.8999999999999998E-3</v>
      </c>
      <c r="P41" s="505">
        <f t="shared" si="193"/>
        <v>-1E-4</v>
      </c>
      <c r="Q41" s="505">
        <f t="shared" si="193"/>
        <v>5.7999999999999996E-3</v>
      </c>
      <c r="R41" s="534"/>
      <c r="S41" s="504"/>
      <c r="T41" s="505"/>
      <c r="U41" s="505"/>
      <c r="V41" s="505"/>
    </row>
    <row r="42" spans="1:34">
      <c r="A42" s="474" t="s">
        <v>2032</v>
      </c>
      <c r="B42" s="475">
        <f>B41/(1+N41)</f>
        <v>275.24529281292303</v>
      </c>
      <c r="C42" s="475">
        <f>C41/(1+O41)</f>
        <v>231.74747938962699</v>
      </c>
      <c r="D42" s="475">
        <f t="shared" si="191"/>
        <v>231.74747938962699</v>
      </c>
      <c r="E42" s="475">
        <f t="shared" si="202"/>
        <v>375.35938184826603</v>
      </c>
      <c r="F42" s="475">
        <f t="shared" si="202"/>
        <v>216.78033510692501</v>
      </c>
      <c r="G42" s="3544"/>
      <c r="H42" s="480">
        <v>2</v>
      </c>
      <c r="I42" s="480">
        <v>0.02</v>
      </c>
      <c r="J42" s="480">
        <v>0.12</v>
      </c>
      <c r="K42" s="480">
        <v>-0.08</v>
      </c>
      <c r="L42" s="508">
        <v>1.24</v>
      </c>
      <c r="N42" s="504">
        <f t="shared" si="193"/>
        <v>2.0000000000000001E-4</v>
      </c>
      <c r="O42" s="505">
        <f t="shared" si="193"/>
        <v>1.1999999999999999E-3</v>
      </c>
      <c r="P42" s="505">
        <f t="shared" si="193"/>
        <v>-8.0000000000000004E-4</v>
      </c>
      <c r="Q42" s="505">
        <f t="shared" si="193"/>
        <v>1.24E-2</v>
      </c>
      <c r="R42" s="534"/>
      <c r="S42" s="504"/>
      <c r="T42" s="505"/>
      <c r="U42" s="505"/>
      <c r="V42" s="505"/>
    </row>
    <row r="43" spans="1:34">
      <c r="A43" s="474" t="s">
        <v>2033</v>
      </c>
      <c r="B43" s="475">
        <f>B42/(1+N42)</f>
        <v>275.19025476196998</v>
      </c>
      <c r="C43" s="494">
        <v>232</v>
      </c>
      <c r="D43" s="494">
        <f t="shared" si="191"/>
        <v>232</v>
      </c>
      <c r="E43" s="475">
        <f t="shared" si="202"/>
        <v>375.65990977608698</v>
      </c>
      <c r="F43" s="475">
        <f t="shared" si="202"/>
        <v>214.12518283971301</v>
      </c>
      <c r="G43" s="3547"/>
      <c r="H43" s="476">
        <v>1</v>
      </c>
      <c r="I43" s="476">
        <v>0.02</v>
      </c>
      <c r="J43" s="476">
        <v>0.13</v>
      </c>
      <c r="K43" s="476">
        <v>-0.04</v>
      </c>
      <c r="L43" s="506">
        <v>0.46</v>
      </c>
      <c r="N43" s="504">
        <f t="shared" si="193"/>
        <v>2.0000000000000001E-4</v>
      </c>
      <c r="O43" s="505">
        <f t="shared" si="193"/>
        <v>1.2999999999999999E-3</v>
      </c>
      <c r="P43" s="505">
        <f t="shared" si="193"/>
        <v>-4.0000000000000002E-4</v>
      </c>
      <c r="Q43" s="505">
        <f t="shared" si="193"/>
        <v>4.5999999999999999E-3</v>
      </c>
      <c r="R43" s="534"/>
      <c r="S43" s="514">
        <f>B43/B44-1</f>
        <v>6.91835498073612E-4</v>
      </c>
      <c r="T43" s="515">
        <f>C43/C44-1</f>
        <v>0</v>
      </c>
      <c r="U43" s="515">
        <f>E43/E44-1</f>
        <v>-9.0449527636460303E-4</v>
      </c>
      <c r="V43" s="515">
        <f>F43/F44-1</f>
        <v>5.2825485432512797E-3</v>
      </c>
      <c r="X43" s="505"/>
      <c r="Y43" s="505"/>
      <c r="Z43" s="505"/>
    </row>
    <row r="44" spans="1:34">
      <c r="A44" s="474" t="s">
        <v>2034</v>
      </c>
      <c r="B44" s="481">
        <v>275</v>
      </c>
      <c r="C44" s="481">
        <v>232</v>
      </c>
      <c r="D44" s="481">
        <f t="shared" si="191"/>
        <v>232</v>
      </c>
      <c r="E44" s="481">
        <v>376</v>
      </c>
      <c r="F44" s="482">
        <v>213</v>
      </c>
      <c r="G44" s="3548">
        <v>2011</v>
      </c>
      <c r="H44" s="483">
        <v>4</v>
      </c>
      <c r="I44" s="483">
        <v>-0.2</v>
      </c>
      <c r="J44" s="483">
        <v>0.04</v>
      </c>
      <c r="K44" s="483">
        <v>-0.34</v>
      </c>
      <c r="L44" s="509">
        <v>0.46</v>
      </c>
      <c r="N44" s="510">
        <f t="shared" si="193"/>
        <v>-2E-3</v>
      </c>
      <c r="O44" s="511">
        <f t="shared" si="193"/>
        <v>4.0000000000000002E-4</v>
      </c>
      <c r="P44" s="511">
        <f t="shared" si="193"/>
        <v>-3.3999999999999998E-3</v>
      </c>
      <c r="Q44" s="511">
        <f t="shared" si="193"/>
        <v>4.5999999999999999E-3</v>
      </c>
      <c r="R44" s="534"/>
      <c r="S44" s="536"/>
      <c r="T44" s="537"/>
      <c r="U44" s="537"/>
      <c r="V44" s="537"/>
      <c r="X44" s="537"/>
      <c r="Y44" s="537"/>
      <c r="Z44" s="537"/>
    </row>
    <row r="45" spans="1:34">
      <c r="A45" s="474" t="s">
        <v>2035</v>
      </c>
      <c r="B45" s="475">
        <f t="shared" ref="B45:C47" si="203">B44/(1+N44)</f>
        <v>275.55110220440901</v>
      </c>
      <c r="C45" s="475">
        <f t="shared" si="203"/>
        <v>231.907237105158</v>
      </c>
      <c r="D45" s="475">
        <f t="shared" si="191"/>
        <v>231.907237105158</v>
      </c>
      <c r="E45" s="475">
        <f t="shared" ref="E45:F47" si="204">E44/(1+P44)</f>
        <v>377.28276138872201</v>
      </c>
      <c r="F45" s="475">
        <f t="shared" si="204"/>
        <v>212.02468644236501</v>
      </c>
      <c r="G45" s="3544">
        <v>2011</v>
      </c>
      <c r="H45" s="484">
        <v>3</v>
      </c>
      <c r="I45" s="484">
        <v>0.13</v>
      </c>
      <c r="J45" s="484">
        <v>0.75</v>
      </c>
      <c r="K45" s="484">
        <v>-0.08</v>
      </c>
      <c r="L45" s="512">
        <v>0.53</v>
      </c>
      <c r="N45" s="504">
        <f t="shared" si="193"/>
        <v>1.2999999999999999E-3</v>
      </c>
      <c r="O45" s="513">
        <f t="shared" si="193"/>
        <v>7.4999999999999997E-3</v>
      </c>
      <c r="P45" s="513">
        <f t="shared" si="193"/>
        <v>-8.0000000000000004E-4</v>
      </c>
      <c r="Q45" s="513">
        <f t="shared" si="193"/>
        <v>5.3E-3</v>
      </c>
      <c r="R45" s="534"/>
      <c r="S45" s="504"/>
      <c r="T45" s="505"/>
      <c r="U45" s="505"/>
      <c r="V45" s="505"/>
    </row>
    <row r="46" spans="1:34">
      <c r="A46" s="474" t="s">
        <v>2036</v>
      </c>
      <c r="B46" s="475">
        <f t="shared" si="203"/>
        <v>275.19335084830601</v>
      </c>
      <c r="C46" s="475">
        <f t="shared" si="203"/>
        <v>230.18088050139701</v>
      </c>
      <c r="D46" s="475">
        <f t="shared" si="191"/>
        <v>230.18088050139701</v>
      </c>
      <c r="E46" s="475">
        <f t="shared" si="204"/>
        <v>377.58482925212297</v>
      </c>
      <c r="F46" s="475">
        <f t="shared" si="204"/>
        <v>210.906879978479</v>
      </c>
      <c r="G46" s="3544">
        <v>2011</v>
      </c>
      <c r="H46" s="480">
        <v>2</v>
      </c>
      <c r="I46" s="480">
        <v>-0.4</v>
      </c>
      <c r="J46" s="480">
        <v>0.17</v>
      </c>
      <c r="K46" s="480">
        <v>-0.57999999999999996</v>
      </c>
      <c r="L46" s="508">
        <v>-0.2</v>
      </c>
      <c r="N46" s="504">
        <f t="shared" si="193"/>
        <v>-4.0000000000000001E-3</v>
      </c>
      <c r="O46" s="513">
        <f t="shared" si="193"/>
        <v>1.6999999999999999E-3</v>
      </c>
      <c r="P46" s="513">
        <f t="shared" si="193"/>
        <v>-5.7999999999999996E-3</v>
      </c>
      <c r="Q46" s="513">
        <f t="shared" si="193"/>
        <v>-2E-3</v>
      </c>
      <c r="R46" s="534"/>
      <c r="S46" s="504"/>
      <c r="T46" s="505"/>
      <c r="U46" s="505"/>
      <c r="V46" s="505"/>
    </row>
    <row r="47" spans="1:34">
      <c r="A47" s="474" t="s">
        <v>2037</v>
      </c>
      <c r="B47" s="475">
        <f t="shared" si="203"/>
        <v>276.29854502841999</v>
      </c>
      <c r="C47" s="475">
        <f t="shared" si="203"/>
        <v>229.79023709833001</v>
      </c>
      <c r="D47" s="475">
        <f t="shared" si="191"/>
        <v>229.79023709833001</v>
      </c>
      <c r="E47" s="475">
        <f t="shared" si="204"/>
        <v>379.78759731655902</v>
      </c>
      <c r="F47" s="475">
        <f t="shared" si="204"/>
        <v>211.32953905659201</v>
      </c>
      <c r="G47" s="3547">
        <v>2011</v>
      </c>
      <c r="H47" s="476">
        <v>1</v>
      </c>
      <c r="I47" s="476">
        <v>2.65</v>
      </c>
      <c r="J47" s="476">
        <v>3.76</v>
      </c>
      <c r="K47" s="476">
        <v>1.89</v>
      </c>
      <c r="L47" s="506">
        <v>7.95</v>
      </c>
      <c r="N47" s="514">
        <f t="shared" si="193"/>
        <v>2.6499999999999999E-2</v>
      </c>
      <c r="O47" s="515">
        <f t="shared" si="193"/>
        <v>3.7600000000000001E-2</v>
      </c>
      <c r="P47" s="515">
        <f t="shared" si="193"/>
        <v>1.89E-2</v>
      </c>
      <c r="Q47" s="515">
        <f t="shared" si="193"/>
        <v>7.9500000000000001E-2</v>
      </c>
      <c r="R47" s="534"/>
      <c r="S47" s="514">
        <f>B47/B48-1</f>
        <v>2.7132137652117898E-2</v>
      </c>
      <c r="T47" s="515">
        <f>C47/C48-1</f>
        <v>3.9774828499231897E-2</v>
      </c>
      <c r="U47" s="515">
        <f>E47/E48-1</f>
        <v>1.81973118406418E-2</v>
      </c>
      <c r="V47" s="515">
        <f>F47/F48-1</f>
        <v>7.8211933962205799E-2</v>
      </c>
      <c r="X47" s="505"/>
      <c r="Y47" s="505"/>
      <c r="Z47" s="505"/>
    </row>
    <row r="48" spans="1:34">
      <c r="A48" s="474" t="s">
        <v>2038</v>
      </c>
      <c r="B48" s="481">
        <v>269</v>
      </c>
      <c r="C48" s="481">
        <v>221</v>
      </c>
      <c r="D48" s="481">
        <f t="shared" si="191"/>
        <v>221</v>
      </c>
      <c r="E48" s="481">
        <v>373</v>
      </c>
      <c r="F48" s="482">
        <v>196</v>
      </c>
      <c r="G48" s="3548">
        <v>2010</v>
      </c>
      <c r="H48" s="483">
        <v>4</v>
      </c>
      <c r="I48" s="483">
        <v>5.72</v>
      </c>
      <c r="J48" s="483">
        <v>6.57</v>
      </c>
      <c r="K48" s="483">
        <v>5.72</v>
      </c>
      <c r="L48" s="509">
        <v>2.72</v>
      </c>
      <c r="N48" s="504">
        <f t="shared" si="193"/>
        <v>5.7200000000000001E-2</v>
      </c>
      <c r="O48" s="505">
        <f t="shared" si="193"/>
        <v>6.5699999999999995E-2</v>
      </c>
      <c r="P48" s="505">
        <f t="shared" si="193"/>
        <v>5.7200000000000001E-2</v>
      </c>
      <c r="Q48" s="505">
        <f t="shared" si="193"/>
        <v>2.7199999999999998E-2</v>
      </c>
      <c r="R48" s="534"/>
      <c r="S48" s="536"/>
      <c r="T48" s="537"/>
      <c r="U48" s="537"/>
      <c r="V48" s="537"/>
      <c r="X48" s="537"/>
      <c r="Y48" s="537"/>
      <c r="Z48" s="537"/>
    </row>
    <row r="49" spans="1:26">
      <c r="A49" s="474" t="s">
        <v>2039</v>
      </c>
      <c r="B49" s="475">
        <f t="shared" ref="B49:C51" si="205">B48/(1+N48)</f>
        <v>254.445705637533</v>
      </c>
      <c r="C49" s="475">
        <f t="shared" si="205"/>
        <v>207.375433987051</v>
      </c>
      <c r="D49" s="475">
        <f t="shared" si="191"/>
        <v>207.375433987051</v>
      </c>
      <c r="E49" s="475">
        <f t="shared" ref="E49:F51" si="206">E48/(1+P48)</f>
        <v>352.81876655315898</v>
      </c>
      <c r="F49" s="475">
        <f t="shared" si="206"/>
        <v>190.809968847352</v>
      </c>
      <c r="G49" s="3544">
        <v>2010</v>
      </c>
      <c r="H49" s="484">
        <v>3</v>
      </c>
      <c r="I49" s="484">
        <v>4.7300000000000004</v>
      </c>
      <c r="J49" s="484">
        <v>3.9</v>
      </c>
      <c r="K49" s="484">
        <v>5.03</v>
      </c>
      <c r="L49" s="512">
        <v>4.21</v>
      </c>
      <c r="N49" s="504">
        <f t="shared" si="193"/>
        <v>4.7300000000000002E-2</v>
      </c>
      <c r="O49" s="505">
        <f t="shared" si="193"/>
        <v>3.9E-2</v>
      </c>
      <c r="P49" s="505">
        <f t="shared" si="193"/>
        <v>5.0299999999999997E-2</v>
      </c>
      <c r="Q49" s="505">
        <f t="shared" si="193"/>
        <v>4.2099999999999999E-2</v>
      </c>
      <c r="R49" s="534"/>
      <c r="S49" s="504"/>
      <c r="T49" s="505"/>
      <c r="U49" s="505"/>
      <c r="V49" s="505"/>
    </row>
    <row r="50" spans="1:26">
      <c r="A50" s="474" t="s">
        <v>2040</v>
      </c>
      <c r="B50" s="475">
        <f t="shared" si="205"/>
        <v>242.95398227588399</v>
      </c>
      <c r="C50" s="475">
        <f t="shared" si="205"/>
        <v>199.591370536141</v>
      </c>
      <c r="D50" s="475">
        <f t="shared" si="191"/>
        <v>199.591370536141</v>
      </c>
      <c r="E50" s="475">
        <f t="shared" si="206"/>
        <v>335.92189522342102</v>
      </c>
      <c r="F50" s="475">
        <f t="shared" si="206"/>
        <v>183.101399911095</v>
      </c>
      <c r="G50" s="3544">
        <v>2010</v>
      </c>
      <c r="H50" s="480">
        <v>2</v>
      </c>
      <c r="I50" s="480">
        <v>4.6900000000000004</v>
      </c>
      <c r="J50" s="480">
        <v>3.55</v>
      </c>
      <c r="K50" s="480">
        <v>5.07</v>
      </c>
      <c r="L50" s="508">
        <v>4.2300000000000004</v>
      </c>
      <c r="N50" s="504">
        <f t="shared" si="193"/>
        <v>4.6899999999999997E-2</v>
      </c>
      <c r="O50" s="505">
        <f t="shared" si="193"/>
        <v>3.5499999999999997E-2</v>
      </c>
      <c r="P50" s="505">
        <f t="shared" si="193"/>
        <v>5.0700000000000002E-2</v>
      </c>
      <c r="Q50" s="505">
        <f t="shared" si="193"/>
        <v>4.2299999999999997E-2</v>
      </c>
      <c r="R50" s="534"/>
      <c r="S50" s="504"/>
      <c r="T50" s="505"/>
      <c r="U50" s="505"/>
      <c r="V50" s="505"/>
    </row>
    <row r="51" spans="1:26">
      <c r="A51" s="474" t="s">
        <v>2041</v>
      </c>
      <c r="B51" s="475">
        <f t="shared" si="205"/>
        <v>232.06990378821601</v>
      </c>
      <c r="C51" s="475">
        <f t="shared" si="205"/>
        <v>192.74878854286899</v>
      </c>
      <c r="D51" s="475">
        <f t="shared" si="191"/>
        <v>192.74878854286899</v>
      </c>
      <c r="E51" s="475">
        <f t="shared" si="206"/>
        <v>319.71247284993001</v>
      </c>
      <c r="F51" s="475">
        <f t="shared" si="206"/>
        <v>175.670536228624</v>
      </c>
      <c r="G51" s="3547">
        <v>2010</v>
      </c>
      <c r="H51" s="476">
        <v>1</v>
      </c>
      <c r="I51" s="476">
        <v>5.4</v>
      </c>
      <c r="J51" s="476">
        <v>3.2</v>
      </c>
      <c r="K51" s="476">
        <v>6.16</v>
      </c>
      <c r="L51" s="506">
        <v>4.51</v>
      </c>
      <c r="N51" s="504">
        <f t="shared" si="193"/>
        <v>5.3999999999999999E-2</v>
      </c>
      <c r="O51" s="505">
        <f t="shared" si="193"/>
        <v>3.2000000000000001E-2</v>
      </c>
      <c r="P51" s="505">
        <f t="shared" si="193"/>
        <v>6.1600000000000002E-2</v>
      </c>
      <c r="Q51" s="505">
        <f t="shared" si="193"/>
        <v>4.5100000000000001E-2</v>
      </c>
      <c r="R51" s="534"/>
      <c r="S51" s="514">
        <f>B51/B52-1</f>
        <v>5.4863199037347599E-2</v>
      </c>
      <c r="T51" s="515">
        <f>C51/C52-1</f>
        <v>3.0742184721226602E-2</v>
      </c>
      <c r="U51" s="515">
        <f>E51/E52-1</f>
        <v>6.2167683886810203E-2</v>
      </c>
      <c r="V51" s="515">
        <f>F51/F52-1</f>
        <v>4.5657953741810003E-2</v>
      </c>
      <c r="X51" s="505"/>
      <c r="Y51" s="505"/>
      <c r="Z51" s="505"/>
    </row>
    <row r="52" spans="1:26">
      <c r="A52" s="474" t="s">
        <v>2042</v>
      </c>
      <c r="B52" s="481">
        <v>220</v>
      </c>
      <c r="C52" s="481">
        <v>187</v>
      </c>
      <c r="D52" s="481">
        <f t="shared" si="191"/>
        <v>187</v>
      </c>
      <c r="E52" s="481">
        <v>301</v>
      </c>
      <c r="F52" s="482">
        <v>168</v>
      </c>
      <c r="G52" s="3548">
        <v>2009</v>
      </c>
      <c r="H52" s="483">
        <v>4</v>
      </c>
      <c r="I52" s="483">
        <v>2.2999999999999998</v>
      </c>
      <c r="J52" s="483">
        <v>1.04</v>
      </c>
      <c r="K52" s="483">
        <v>2.84</v>
      </c>
      <c r="L52" s="509">
        <v>0.67</v>
      </c>
      <c r="N52" s="510">
        <f t="shared" si="193"/>
        <v>2.3E-2</v>
      </c>
      <c r="O52" s="511">
        <f t="shared" si="193"/>
        <v>1.04E-2</v>
      </c>
      <c r="P52" s="511">
        <f t="shared" si="193"/>
        <v>2.8400000000000002E-2</v>
      </c>
      <c r="Q52" s="511">
        <f t="shared" si="193"/>
        <v>6.7000000000000002E-3</v>
      </c>
      <c r="R52" s="534"/>
      <c r="S52" s="536"/>
      <c r="T52" s="537"/>
      <c r="U52" s="537"/>
      <c r="V52" s="537"/>
      <c r="X52" s="537"/>
      <c r="Y52" s="537"/>
      <c r="Z52" s="537"/>
    </row>
    <row r="53" spans="1:26">
      <c r="A53" s="474" t="s">
        <v>2043</v>
      </c>
      <c r="B53" s="475">
        <f t="shared" ref="B53:C55" si="207">B52/(1+N52)</f>
        <v>215.05376344086</v>
      </c>
      <c r="C53" s="475">
        <f t="shared" si="207"/>
        <v>185.07521773555001</v>
      </c>
      <c r="D53" s="475">
        <f t="shared" si="191"/>
        <v>185.07521773555001</v>
      </c>
      <c r="E53" s="475">
        <f t="shared" ref="E53:F55" si="208">E52/(1+P52)</f>
        <v>292.68767016725002</v>
      </c>
      <c r="F53" s="475">
        <f t="shared" si="208"/>
        <v>166.881891328102</v>
      </c>
      <c r="G53" s="3544">
        <v>2009</v>
      </c>
      <c r="H53" s="484">
        <v>3</v>
      </c>
      <c r="I53" s="484">
        <v>2.1</v>
      </c>
      <c r="J53" s="484">
        <v>1.86</v>
      </c>
      <c r="K53" s="484">
        <v>2.29</v>
      </c>
      <c r="L53" s="512">
        <v>0.85</v>
      </c>
      <c r="N53" s="504">
        <f t="shared" si="193"/>
        <v>2.1000000000000001E-2</v>
      </c>
      <c r="O53" s="513">
        <f t="shared" si="193"/>
        <v>1.8599999999999998E-2</v>
      </c>
      <c r="P53" s="513">
        <f t="shared" si="193"/>
        <v>2.29E-2</v>
      </c>
      <c r="Q53" s="513">
        <f t="shared" si="193"/>
        <v>8.5000000000000006E-3</v>
      </c>
      <c r="R53" s="534"/>
      <c r="S53" s="504"/>
      <c r="T53" s="505"/>
      <c r="U53" s="505"/>
      <c r="V53" s="505"/>
    </row>
    <row r="54" spans="1:26">
      <c r="A54" s="474" t="s">
        <v>2044</v>
      </c>
      <c r="B54" s="475">
        <f t="shared" si="207"/>
        <v>210.630522469011</v>
      </c>
      <c r="C54" s="475">
        <f t="shared" si="207"/>
        <v>181.695678122472</v>
      </c>
      <c r="D54" s="475">
        <f t="shared" si="191"/>
        <v>181.695678122472</v>
      </c>
      <c r="E54" s="475">
        <f t="shared" si="208"/>
        <v>286.13517466736698</v>
      </c>
      <c r="F54" s="475">
        <f t="shared" si="208"/>
        <v>165.47535084591101</v>
      </c>
      <c r="G54" s="3544">
        <v>2009</v>
      </c>
      <c r="H54" s="480">
        <v>2</v>
      </c>
      <c r="I54" s="480">
        <v>0.86</v>
      </c>
      <c r="J54" s="480">
        <v>-1.1299999999999999</v>
      </c>
      <c r="K54" s="480">
        <v>1.79</v>
      </c>
      <c r="L54" s="508">
        <v>-2.0699999999999998</v>
      </c>
      <c r="N54" s="504">
        <f t="shared" si="193"/>
        <v>8.6E-3</v>
      </c>
      <c r="O54" s="513">
        <f t="shared" si="193"/>
        <v>-1.1299999999999999E-2</v>
      </c>
      <c r="P54" s="513">
        <f t="shared" si="193"/>
        <v>1.7899999999999999E-2</v>
      </c>
      <c r="Q54" s="513">
        <f t="shared" si="193"/>
        <v>-2.07E-2</v>
      </c>
      <c r="R54" s="534"/>
      <c r="S54" s="504"/>
      <c r="T54" s="505"/>
      <c r="U54" s="505"/>
      <c r="V54" s="505"/>
    </row>
    <row r="55" spans="1:26">
      <c r="A55" s="474" t="s">
        <v>2045</v>
      </c>
      <c r="B55" s="475">
        <f t="shared" si="207"/>
        <v>208.834545378754</v>
      </c>
      <c r="C55" s="475">
        <f t="shared" si="207"/>
        <v>183.77230517090399</v>
      </c>
      <c r="D55" s="475">
        <f t="shared" si="191"/>
        <v>183.77230517090399</v>
      </c>
      <c r="E55" s="475">
        <f t="shared" si="208"/>
        <v>281.10342338870902</v>
      </c>
      <c r="F55" s="475">
        <f t="shared" si="208"/>
        <v>168.97309388942301</v>
      </c>
      <c r="G55" s="3547">
        <v>2009</v>
      </c>
      <c r="H55" s="476">
        <v>1</v>
      </c>
      <c r="I55" s="476">
        <v>-2.64</v>
      </c>
      <c r="J55" s="476">
        <v>-2.5299999999999998</v>
      </c>
      <c r="K55" s="476">
        <v>-3.02</v>
      </c>
      <c r="L55" s="506">
        <v>1.52</v>
      </c>
      <c r="N55" s="514">
        <f t="shared" si="193"/>
        <v>-2.64E-2</v>
      </c>
      <c r="O55" s="515">
        <f t="shared" si="193"/>
        <v>-2.53E-2</v>
      </c>
      <c r="P55" s="515">
        <f t="shared" si="193"/>
        <v>-3.0200000000000001E-2</v>
      </c>
      <c r="Q55" s="515">
        <f t="shared" si="193"/>
        <v>1.52E-2</v>
      </c>
      <c r="R55" s="534"/>
      <c r="S55" s="514">
        <f>B55/B56-1</f>
        <v>-2.4137638417038799E-2</v>
      </c>
      <c r="T55" s="515">
        <f>C55/C56-1</f>
        <v>-2.2487738452641001E-2</v>
      </c>
      <c r="U55" s="515">
        <f>E55/E56-1</f>
        <v>-2.73237945027354E-2</v>
      </c>
      <c r="V55" s="515">
        <f>F55/F56-1</f>
        <v>1.7910204153148E-2</v>
      </c>
      <c r="X55" s="505"/>
      <c r="Y55" s="505"/>
      <c r="Z55" s="505"/>
    </row>
    <row r="56" spans="1:26">
      <c r="A56" s="474" t="s">
        <v>2046</v>
      </c>
      <c r="B56" s="492">
        <v>214</v>
      </c>
      <c r="C56" s="492">
        <v>188</v>
      </c>
      <c r="D56" s="492">
        <f t="shared" si="191"/>
        <v>188</v>
      </c>
      <c r="E56" s="492">
        <v>289</v>
      </c>
      <c r="F56" s="493">
        <v>166</v>
      </c>
      <c r="G56" s="3548">
        <v>2008</v>
      </c>
      <c r="H56" s="483">
        <v>4</v>
      </c>
      <c r="I56" s="483">
        <v>1.73</v>
      </c>
      <c r="J56" s="483">
        <v>0.03</v>
      </c>
      <c r="K56" s="483">
        <v>2.59</v>
      </c>
      <c r="L56" s="509">
        <v>-1.66</v>
      </c>
      <c r="N56" s="504">
        <f t="shared" si="193"/>
        <v>1.7299999999999999E-2</v>
      </c>
      <c r="O56" s="505">
        <f t="shared" si="193"/>
        <v>2.9999999999999997E-4</v>
      </c>
      <c r="P56" s="505">
        <f t="shared" si="193"/>
        <v>2.5899999999999999E-2</v>
      </c>
      <c r="Q56" s="505">
        <f t="shared" si="193"/>
        <v>-1.66E-2</v>
      </c>
      <c r="R56" s="534"/>
      <c r="S56" s="536"/>
      <c r="T56" s="537"/>
      <c r="U56" s="537"/>
      <c r="V56" s="537"/>
      <c r="X56" s="537"/>
      <c r="Y56" s="537"/>
      <c r="Z56" s="537"/>
    </row>
    <row r="57" spans="1:26">
      <c r="A57" s="474" t="s">
        <v>2047</v>
      </c>
      <c r="B57" s="475">
        <f t="shared" ref="B57:C59" si="209">B56/(1+N56)</f>
        <v>210.36075887152299</v>
      </c>
      <c r="C57" s="475">
        <f t="shared" si="209"/>
        <v>187.943616914926</v>
      </c>
      <c r="D57" s="475">
        <f t="shared" si="191"/>
        <v>187.943616914926</v>
      </c>
      <c r="E57" s="475">
        <f t="shared" ref="E57:F59" si="210">E56/(1+P56)</f>
        <v>281.703869772882</v>
      </c>
      <c r="F57" s="475">
        <f t="shared" si="210"/>
        <v>168.80211511083999</v>
      </c>
      <c r="G57" s="3544">
        <v>2008</v>
      </c>
      <c r="H57" s="484">
        <v>3</v>
      </c>
      <c r="I57" s="484">
        <v>1.96</v>
      </c>
      <c r="J57" s="484">
        <v>2.36</v>
      </c>
      <c r="K57" s="484">
        <v>1.82</v>
      </c>
      <c r="L57" s="512">
        <v>2.2200000000000002</v>
      </c>
      <c r="N57" s="504">
        <f t="shared" si="193"/>
        <v>1.9599999999999999E-2</v>
      </c>
      <c r="O57" s="505">
        <f t="shared" si="193"/>
        <v>2.3599999999999999E-2</v>
      </c>
      <c r="P57" s="505">
        <f t="shared" si="193"/>
        <v>1.8200000000000001E-2</v>
      </c>
      <c r="Q57" s="505">
        <f t="shared" si="193"/>
        <v>2.2200000000000001E-2</v>
      </c>
      <c r="R57" s="534"/>
      <c r="S57" s="504"/>
      <c r="T57" s="505"/>
      <c r="U57" s="505"/>
      <c r="V57" s="505"/>
    </row>
    <row r="58" spans="1:26">
      <c r="A58" s="474" t="s">
        <v>2048</v>
      </c>
      <c r="B58" s="475">
        <f t="shared" si="209"/>
        <v>206.31694671589099</v>
      </c>
      <c r="C58" s="475">
        <f t="shared" si="209"/>
        <v>183.61041121036101</v>
      </c>
      <c r="D58" s="475">
        <f t="shared" si="191"/>
        <v>183.61041121036101</v>
      </c>
      <c r="E58" s="475">
        <f t="shared" si="210"/>
        <v>276.66850301795603</v>
      </c>
      <c r="F58" s="475">
        <f t="shared" si="210"/>
        <v>165.136093827861</v>
      </c>
      <c r="G58" s="3544">
        <v>2008</v>
      </c>
      <c r="H58" s="480">
        <v>2</v>
      </c>
      <c r="I58" s="480">
        <v>4.93</v>
      </c>
      <c r="J58" s="480">
        <v>7.38</v>
      </c>
      <c r="K58" s="480">
        <v>3.98</v>
      </c>
      <c r="L58" s="508">
        <v>6.86</v>
      </c>
      <c r="N58" s="504">
        <f t="shared" si="193"/>
        <v>4.9299999999999997E-2</v>
      </c>
      <c r="O58" s="505">
        <f t="shared" si="193"/>
        <v>7.3800000000000004E-2</v>
      </c>
      <c r="P58" s="505">
        <f t="shared" si="193"/>
        <v>3.9800000000000002E-2</v>
      </c>
      <c r="Q58" s="505">
        <f t="shared" si="193"/>
        <v>6.8599999999999994E-2</v>
      </c>
      <c r="R58" s="534"/>
      <c r="S58" s="504"/>
      <c r="T58" s="505"/>
      <c r="U58" s="505"/>
      <c r="V58" s="505"/>
    </row>
    <row r="59" spans="1:26" s="454" customFormat="1">
      <c r="A59" s="474" t="s">
        <v>2049</v>
      </c>
      <c r="B59" s="495">
        <f t="shared" si="209"/>
        <v>196.62341248059801</v>
      </c>
      <c r="C59" s="495">
        <f t="shared" si="209"/>
        <v>170.99125648199001</v>
      </c>
      <c r="D59" s="495">
        <f t="shared" si="191"/>
        <v>170.99125648199001</v>
      </c>
      <c r="E59" s="495">
        <f t="shared" si="210"/>
        <v>266.07857570490103</v>
      </c>
      <c r="F59" s="495">
        <f t="shared" si="210"/>
        <v>154.53499328828499</v>
      </c>
      <c r="G59" s="3547">
        <v>2008</v>
      </c>
      <c r="H59" s="496">
        <v>1</v>
      </c>
      <c r="I59" s="496">
        <v>4.1399999999999997</v>
      </c>
      <c r="J59" s="496">
        <v>3.45</v>
      </c>
      <c r="K59" s="496">
        <v>4.95</v>
      </c>
      <c r="L59" s="521">
        <v>4.82</v>
      </c>
      <c r="N59" s="522">
        <f t="shared" si="193"/>
        <v>4.1399999999999999E-2</v>
      </c>
      <c r="O59" s="523">
        <f t="shared" si="193"/>
        <v>3.4500000000000003E-2</v>
      </c>
      <c r="P59" s="523">
        <f t="shared" si="193"/>
        <v>4.9500000000000002E-2</v>
      </c>
      <c r="Q59" s="523">
        <f t="shared" si="193"/>
        <v>4.82E-2</v>
      </c>
      <c r="R59" s="545"/>
      <c r="S59" s="522">
        <f>B59/B60-1</f>
        <v>4.5869215322328301E-2</v>
      </c>
      <c r="T59" s="523">
        <f>C59/C60-1</f>
        <v>3.6310645345394701E-2</v>
      </c>
      <c r="U59" s="523">
        <f>E59/E60-1</f>
        <v>4.7553447657088702E-2</v>
      </c>
      <c r="V59" s="523">
        <f>F59/F60-1</f>
        <v>4.41553600559801E-2</v>
      </c>
      <c r="X59" s="523"/>
      <c r="Y59" s="523"/>
      <c r="Z59" s="523"/>
    </row>
    <row r="60" spans="1:26">
      <c r="A60" s="474" t="s">
        <v>2050</v>
      </c>
      <c r="B60" s="481">
        <v>188</v>
      </c>
      <c r="C60" s="481">
        <v>165</v>
      </c>
      <c r="D60" s="481">
        <f t="shared" si="191"/>
        <v>165</v>
      </c>
      <c r="E60" s="481">
        <v>254</v>
      </c>
      <c r="F60" s="482">
        <v>148</v>
      </c>
      <c r="G60" s="3548">
        <v>2007</v>
      </c>
      <c r="H60" s="497">
        <v>4</v>
      </c>
      <c r="I60" s="497">
        <v>5.51</v>
      </c>
      <c r="J60" s="497">
        <v>4.8899999999999997</v>
      </c>
      <c r="K60" s="497">
        <v>6.43</v>
      </c>
      <c r="L60" s="524">
        <v>5.36</v>
      </c>
      <c r="N60" s="525">
        <f t="shared" ref="N60:O63" si="211">B60/B61-1</f>
        <v>4.1339718365245498E-2</v>
      </c>
      <c r="O60" s="526">
        <f t="shared" si="211"/>
        <v>4.0324492593775997E-2</v>
      </c>
      <c r="P60" s="526">
        <f t="shared" ref="P60:Q63" si="212">E60/E61-1</f>
        <v>6.1625555347991003E-2</v>
      </c>
      <c r="Q60" s="526">
        <f t="shared" si="212"/>
        <v>4.6757569250590603E-2</v>
      </c>
      <c r="R60" s="534"/>
      <c r="S60" s="536"/>
      <c r="T60" s="537"/>
      <c r="U60" s="537"/>
      <c r="V60" s="537"/>
      <c r="X60" s="537"/>
      <c r="Y60" s="537"/>
      <c r="Z60" s="537"/>
    </row>
    <row r="61" spans="1:26">
      <c r="A61" s="474" t="s">
        <v>2051</v>
      </c>
      <c r="B61" s="475">
        <f t="shared" ref="B61:C63" si="213">B62+(B$60-B$64)*I61/SUM(I$60:I$63)</f>
        <v>180.536665109762</v>
      </c>
      <c r="C61" s="475">
        <f t="shared" si="213"/>
        <v>158.60435967302499</v>
      </c>
      <c r="D61" s="475">
        <f t="shared" si="191"/>
        <v>158.60435967302499</v>
      </c>
      <c r="E61" s="475">
        <f t="shared" ref="E61:F63" si="214">E62+(E$60-E$64)*K61/SUM(K$60:K$63)</f>
        <v>239.255732607851</v>
      </c>
      <c r="F61" s="475">
        <f t="shared" si="214"/>
        <v>141.3889943074</v>
      </c>
      <c r="G61" s="3544">
        <v>2007</v>
      </c>
      <c r="H61" s="484">
        <v>3</v>
      </c>
      <c r="I61" s="484">
        <v>8.65</v>
      </c>
      <c r="J61" s="484">
        <v>8.06</v>
      </c>
      <c r="K61" s="484">
        <v>9.94</v>
      </c>
      <c r="L61" s="512">
        <v>5.8</v>
      </c>
      <c r="N61" s="525">
        <f t="shared" si="211"/>
        <v>6.9402175717400094E-2</v>
      </c>
      <c r="O61" s="526">
        <f t="shared" si="211"/>
        <v>7.11974824711534E-2</v>
      </c>
      <c r="P61" s="526">
        <f t="shared" si="212"/>
        <v>0.105296799225796</v>
      </c>
      <c r="Q61" s="526">
        <f t="shared" si="212"/>
        <v>5.3292245059512099E-2</v>
      </c>
      <c r="R61" s="534"/>
      <c r="S61" s="504"/>
      <c r="T61" s="505"/>
      <c r="U61" s="505"/>
      <c r="V61" s="505"/>
      <c r="X61" s="546"/>
      <c r="Y61" s="546"/>
      <c r="Z61" s="546"/>
    </row>
    <row r="62" spans="1:26">
      <c r="A62" s="474" t="s">
        <v>2052</v>
      </c>
      <c r="B62" s="475">
        <f t="shared" si="213"/>
        <v>168.820177487156</v>
      </c>
      <c r="C62" s="475">
        <f t="shared" si="213"/>
        <v>148.06267029972801</v>
      </c>
      <c r="D62" s="475">
        <f t="shared" si="191"/>
        <v>148.06267029972801</v>
      </c>
      <c r="E62" s="475">
        <f t="shared" si="214"/>
        <v>216.46288379323701</v>
      </c>
      <c r="F62" s="475">
        <f t="shared" si="214"/>
        <v>134.23529411764699</v>
      </c>
      <c r="G62" s="3544">
        <v>2007</v>
      </c>
      <c r="H62" s="480">
        <v>2</v>
      </c>
      <c r="I62" s="480">
        <v>3.67</v>
      </c>
      <c r="J62" s="480">
        <v>2.3199999999999998</v>
      </c>
      <c r="K62" s="480">
        <v>5.0199999999999996</v>
      </c>
      <c r="L62" s="508">
        <v>6.71</v>
      </c>
      <c r="N62" s="525">
        <f t="shared" si="211"/>
        <v>3.0339138143848001E-2</v>
      </c>
      <c r="O62" s="526">
        <f t="shared" si="211"/>
        <v>2.09223415887905E-2</v>
      </c>
      <c r="P62" s="526">
        <f t="shared" si="212"/>
        <v>5.6164796592717003E-2</v>
      </c>
      <c r="Q62" s="526">
        <f t="shared" si="212"/>
        <v>6.5704536723887305E-2</v>
      </c>
      <c r="R62" s="534"/>
      <c r="S62" s="504"/>
      <c r="T62" s="505"/>
      <c r="U62" s="505"/>
      <c r="V62" s="505"/>
      <c r="X62" s="546"/>
      <c r="Y62" s="546"/>
      <c r="Z62" s="546"/>
    </row>
    <row r="63" spans="1:26">
      <c r="A63" s="474" t="s">
        <v>2053</v>
      </c>
      <c r="B63" s="475">
        <f t="shared" si="213"/>
        <v>163.849135917795</v>
      </c>
      <c r="C63" s="475">
        <f t="shared" si="213"/>
        <v>145.028337874659</v>
      </c>
      <c r="D63" s="475">
        <f t="shared" si="191"/>
        <v>145.028337874659</v>
      </c>
      <c r="E63" s="475">
        <f t="shared" si="214"/>
        <v>204.95180722891601</v>
      </c>
      <c r="F63" s="475">
        <f t="shared" si="214"/>
        <v>125.959203036053</v>
      </c>
      <c r="G63" s="3547">
        <v>2007</v>
      </c>
      <c r="H63" s="476">
        <v>1</v>
      </c>
      <c r="I63" s="476">
        <v>3.58</v>
      </c>
      <c r="J63" s="476">
        <v>3.08</v>
      </c>
      <c r="K63" s="476">
        <v>4.34</v>
      </c>
      <c r="L63" s="506">
        <v>3.21</v>
      </c>
      <c r="N63" s="527">
        <f t="shared" si="211"/>
        <v>3.0497710174814101E-2</v>
      </c>
      <c r="O63" s="528">
        <f t="shared" si="211"/>
        <v>2.8569772160705002E-2</v>
      </c>
      <c r="P63" s="528">
        <f t="shared" si="212"/>
        <v>5.1034908866234303E-2</v>
      </c>
      <c r="Q63" s="528">
        <f t="shared" si="212"/>
        <v>3.2452483902074801E-2</v>
      </c>
      <c r="R63" s="534"/>
      <c r="S63" s="514">
        <f>B63/B64-1</f>
        <v>3.0497710174814101E-2</v>
      </c>
      <c r="T63" s="515">
        <f>C63/C64-1</f>
        <v>2.8569772160705002E-2</v>
      </c>
      <c r="U63" s="515">
        <f>E63/E64-1</f>
        <v>5.1034908866234303E-2</v>
      </c>
      <c r="V63" s="515">
        <f>F63/F64-1</f>
        <v>3.2452483902074801E-2</v>
      </c>
      <c r="X63" s="546"/>
      <c r="Y63" s="546"/>
      <c r="Z63" s="546"/>
    </row>
    <row r="64" spans="1:26">
      <c r="A64" s="474" t="s">
        <v>2054</v>
      </c>
      <c r="B64" s="485">
        <v>159</v>
      </c>
      <c r="C64" s="485">
        <v>141</v>
      </c>
      <c r="D64" s="485">
        <f t="shared" si="191"/>
        <v>141</v>
      </c>
      <c r="E64" s="485">
        <v>195</v>
      </c>
      <c r="F64" s="486">
        <v>122</v>
      </c>
      <c r="G64" s="3548">
        <v>2006</v>
      </c>
      <c r="H64" s="483">
        <v>4</v>
      </c>
      <c r="I64" s="483">
        <v>3.79</v>
      </c>
      <c r="J64" s="483">
        <v>2.21</v>
      </c>
      <c r="K64" s="483">
        <v>5.65</v>
      </c>
      <c r="L64" s="509">
        <v>5.41</v>
      </c>
      <c r="N64" s="525">
        <f t="shared" ref="N64:O67" si="215">I64/SUM(I$64:I$67)*(B$64/B$68-1)</f>
        <v>7.2454664627485302E-2</v>
      </c>
      <c r="O64" s="526">
        <f t="shared" si="215"/>
        <v>2.3237230038062801E-2</v>
      </c>
      <c r="P64" s="526">
        <f t="shared" ref="P64:Q67" si="216">K64/SUM(K$64:K$67)*(E$64/E$68-1)</f>
        <v>0.161468938663237</v>
      </c>
      <c r="Q64" s="526">
        <f t="shared" si="216"/>
        <v>5.0755230321793798E-2</v>
      </c>
      <c r="R64" s="534"/>
      <c r="S64" s="536"/>
      <c r="T64" s="537"/>
      <c r="U64" s="537"/>
      <c r="V64" s="537"/>
      <c r="X64" s="546"/>
      <c r="Y64" s="546"/>
      <c r="Z64" s="546"/>
    </row>
    <row r="65" spans="1:26">
      <c r="A65" s="474" t="s">
        <v>2055</v>
      </c>
      <c r="B65" s="475">
        <f t="shared" ref="B65:C67" si="217">B66+(B$64-B$68)*I65/SUM(I$64:I$67)</f>
        <v>149.001256281407</v>
      </c>
      <c r="C65" s="475">
        <f t="shared" si="217"/>
        <v>137.955922865014</v>
      </c>
      <c r="D65" s="475">
        <f t="shared" si="191"/>
        <v>137.955922865014</v>
      </c>
      <c r="E65" s="475">
        <f t="shared" ref="E65:F67" si="218">E66+(E$64-E$68)*K65/SUM(K$64:K$67)</f>
        <v>169.97231450719801</v>
      </c>
      <c r="F65" s="475">
        <f t="shared" si="218"/>
        <v>116.213903743316</v>
      </c>
      <c r="G65" s="3544">
        <v>2006</v>
      </c>
      <c r="H65" s="484">
        <v>3</v>
      </c>
      <c r="I65" s="484">
        <v>0.92</v>
      </c>
      <c r="J65" s="484">
        <v>1.08</v>
      </c>
      <c r="K65" s="484">
        <v>0.73</v>
      </c>
      <c r="L65" s="512">
        <v>1.08</v>
      </c>
      <c r="N65" s="525">
        <f t="shared" si="215"/>
        <v>1.75879396984925E-2</v>
      </c>
      <c r="O65" s="526">
        <f t="shared" si="215"/>
        <v>1.13557504258406E-2</v>
      </c>
      <c r="P65" s="526">
        <f t="shared" si="216"/>
        <v>2.0862358446754499E-2</v>
      </c>
      <c r="Q65" s="526">
        <f t="shared" si="216"/>
        <v>1.0132282578103001E-2</v>
      </c>
      <c r="R65" s="534"/>
      <c r="S65" s="504"/>
      <c r="T65" s="505"/>
      <c r="U65" s="505"/>
      <c r="V65" s="505"/>
      <c r="X65" s="546"/>
      <c r="Y65" s="546"/>
      <c r="Z65" s="546"/>
    </row>
    <row r="66" spans="1:26">
      <c r="A66" s="474" t="s">
        <v>2056</v>
      </c>
      <c r="B66" s="475">
        <f t="shared" si="217"/>
        <v>146.57412060301499</v>
      </c>
      <c r="C66" s="475">
        <f t="shared" si="217"/>
        <v>136.468319559229</v>
      </c>
      <c r="D66" s="475">
        <f t="shared" si="191"/>
        <v>136.468319559229</v>
      </c>
      <c r="E66" s="475">
        <f t="shared" si="218"/>
        <v>166.73864894795099</v>
      </c>
      <c r="F66" s="475">
        <f t="shared" si="218"/>
        <v>115.058823529412</v>
      </c>
      <c r="G66" s="3544">
        <v>2006</v>
      </c>
      <c r="H66" s="480">
        <v>2</v>
      </c>
      <c r="I66" s="480">
        <v>0.96</v>
      </c>
      <c r="J66" s="480">
        <v>0.25</v>
      </c>
      <c r="K66" s="480">
        <v>1.9</v>
      </c>
      <c r="L66" s="508">
        <v>0.95</v>
      </c>
      <c r="N66" s="525">
        <f t="shared" si="215"/>
        <v>1.8352632728861701E-2</v>
      </c>
      <c r="O66" s="526">
        <f t="shared" si="215"/>
        <v>2.62864593190755E-3</v>
      </c>
      <c r="P66" s="526">
        <f t="shared" si="216"/>
        <v>5.4299289107991297E-2</v>
      </c>
      <c r="Q66" s="526">
        <f t="shared" si="216"/>
        <v>8.9126559714794995E-3</v>
      </c>
      <c r="R66" s="534"/>
      <c r="S66" s="504"/>
      <c r="T66" s="505"/>
      <c r="U66" s="505"/>
      <c r="V66" s="505"/>
      <c r="X66" s="546"/>
      <c r="Y66" s="546"/>
      <c r="Z66" s="546"/>
    </row>
    <row r="67" spans="1:26">
      <c r="A67" s="474" t="s">
        <v>2057</v>
      </c>
      <c r="B67" s="475">
        <f t="shared" si="217"/>
        <v>144.04145728643201</v>
      </c>
      <c r="C67" s="475">
        <f t="shared" si="217"/>
        <v>136.123966942149</v>
      </c>
      <c r="D67" s="475">
        <f t="shared" si="191"/>
        <v>136.123966942149</v>
      </c>
      <c r="E67" s="475">
        <f t="shared" si="218"/>
        <v>158.32225913621301</v>
      </c>
      <c r="F67" s="475">
        <f t="shared" si="218"/>
        <v>114.04278074866301</v>
      </c>
      <c r="G67" s="3547">
        <v>2006</v>
      </c>
      <c r="H67" s="476">
        <v>1</v>
      </c>
      <c r="I67" s="476">
        <v>2.29</v>
      </c>
      <c r="J67" s="476">
        <v>3.72</v>
      </c>
      <c r="K67" s="476">
        <v>0.75</v>
      </c>
      <c r="L67" s="506">
        <v>0.04</v>
      </c>
      <c r="N67" s="527">
        <f t="shared" si="215"/>
        <v>4.3778675988638799E-2</v>
      </c>
      <c r="O67" s="528">
        <f t="shared" si="215"/>
        <v>3.9114251466784399E-2</v>
      </c>
      <c r="P67" s="528">
        <f t="shared" si="216"/>
        <v>2.1433929911049199E-2</v>
      </c>
      <c r="Q67" s="528">
        <f t="shared" si="216"/>
        <v>3.7526972511492602E-4</v>
      </c>
      <c r="R67" s="534"/>
      <c r="S67" s="514">
        <f>B67/B68-1</f>
        <v>4.3778675988638702E-2</v>
      </c>
      <c r="T67" s="515">
        <f>C67/C68-1</f>
        <v>3.91142514667846E-2</v>
      </c>
      <c r="U67" s="515">
        <f>E67/E68-1</f>
        <v>2.1433929911049299E-2</v>
      </c>
      <c r="V67" s="515">
        <f>F67/F68-1</f>
        <v>3.7526972511492401E-4</v>
      </c>
      <c r="X67" s="546"/>
      <c r="Y67" s="546"/>
      <c r="Z67" s="546"/>
    </row>
    <row r="68" spans="1:26">
      <c r="A68" s="474" t="s">
        <v>2058</v>
      </c>
      <c r="B68" s="485">
        <v>138</v>
      </c>
      <c r="C68" s="485">
        <v>131</v>
      </c>
      <c r="D68" s="485">
        <f t="shared" si="191"/>
        <v>131</v>
      </c>
      <c r="E68" s="485">
        <v>155</v>
      </c>
      <c r="F68" s="486">
        <v>114</v>
      </c>
      <c r="G68" s="3548">
        <v>2005</v>
      </c>
      <c r="H68" s="483">
        <v>4</v>
      </c>
      <c r="I68" s="483">
        <v>3.29</v>
      </c>
      <c r="J68" s="483">
        <v>1.44</v>
      </c>
      <c r="K68" s="483">
        <v>0.66</v>
      </c>
      <c r="L68" s="509">
        <v>7.78</v>
      </c>
      <c r="N68" s="525">
        <f t="shared" ref="N68:O71" si="219">I68/SUM(I$68:I$71)*(B$68/B$72-1)</f>
        <v>9.9404603216919907E-2</v>
      </c>
      <c r="O68" s="526">
        <f t="shared" si="219"/>
        <v>4.7636550760861603E-2</v>
      </c>
      <c r="P68" s="526">
        <f t="shared" ref="P68:Q71" si="220">K68/SUM(K$68:K$71)*(E$68/E$72-1)</f>
        <v>8.3756345177665004E-2</v>
      </c>
      <c r="Q68" s="526">
        <f t="shared" si="220"/>
        <v>5.2148766661559598E-2</v>
      </c>
      <c r="R68" s="534"/>
      <c r="S68" s="536"/>
      <c r="T68" s="537"/>
      <c r="U68" s="537"/>
      <c r="V68" s="537"/>
      <c r="X68" s="546"/>
      <c r="Y68" s="546"/>
      <c r="Z68" s="546"/>
    </row>
    <row r="69" spans="1:26">
      <c r="A69" s="474" t="s">
        <v>2059</v>
      </c>
      <c r="B69" s="475">
        <f t="shared" ref="B69:C71" si="221">B70+(B$68-B$72)*I69/SUM(I$68:I$71)</f>
        <v>125.972043010753</v>
      </c>
      <c r="C69" s="475">
        <f t="shared" si="221"/>
        <v>125.188340807175</v>
      </c>
      <c r="D69" s="475">
        <f t="shared" si="191"/>
        <v>125.188340807175</v>
      </c>
      <c r="E69" s="475">
        <f t="shared" ref="E69:F71" si="222">E70+(E$68-E$72)*K69/SUM(K$68:K$71)</f>
        <v>144.61421319797</v>
      </c>
      <c r="F69" s="475">
        <f t="shared" si="222"/>
        <v>108.42008196721299</v>
      </c>
      <c r="G69" s="3544">
        <v>2005</v>
      </c>
      <c r="H69" s="484">
        <v>3</v>
      </c>
      <c r="I69" s="484">
        <v>0.46</v>
      </c>
      <c r="J69" s="484">
        <v>0.32</v>
      </c>
      <c r="K69" s="484">
        <v>0.42</v>
      </c>
      <c r="L69" s="512">
        <v>0.64</v>
      </c>
      <c r="N69" s="525">
        <f t="shared" si="219"/>
        <v>1.38985159513019E-2</v>
      </c>
      <c r="O69" s="526">
        <f t="shared" si="219"/>
        <v>1.0585900169080301E-2</v>
      </c>
      <c r="P69" s="526">
        <f t="shared" si="220"/>
        <v>5.3299492385786802E-2</v>
      </c>
      <c r="Q69" s="526">
        <f t="shared" si="220"/>
        <v>4.2898728359123603E-3</v>
      </c>
      <c r="R69" s="534"/>
      <c r="S69" s="504"/>
      <c r="T69" s="505"/>
      <c r="U69" s="505"/>
      <c r="V69" s="505"/>
      <c r="X69" s="546"/>
      <c r="Y69" s="546"/>
      <c r="Z69" s="546"/>
    </row>
    <row r="70" spans="1:26">
      <c r="A70" s="474" t="s">
        <v>2060</v>
      </c>
      <c r="B70" s="475">
        <f t="shared" si="221"/>
        <v>124.290322580645</v>
      </c>
      <c r="C70" s="475">
        <f t="shared" si="221"/>
        <v>123.896860986547</v>
      </c>
      <c r="D70" s="475">
        <f t="shared" si="191"/>
        <v>123.896860986547</v>
      </c>
      <c r="E70" s="475">
        <f t="shared" si="222"/>
        <v>138.005076142132</v>
      </c>
      <c r="F70" s="475">
        <f t="shared" si="222"/>
        <v>107.96106557377</v>
      </c>
      <c r="G70" s="3544">
        <v>2005</v>
      </c>
      <c r="H70" s="480">
        <v>2</v>
      </c>
      <c r="I70" s="480">
        <v>0.47</v>
      </c>
      <c r="J70" s="480">
        <v>0.1</v>
      </c>
      <c r="K70" s="480">
        <v>0.52</v>
      </c>
      <c r="L70" s="508">
        <v>0.79</v>
      </c>
      <c r="N70" s="525">
        <f t="shared" si="219"/>
        <v>1.4200657602417101E-2</v>
      </c>
      <c r="O70" s="526">
        <f t="shared" si="219"/>
        <v>3.30809380283761E-3</v>
      </c>
      <c r="P70" s="526">
        <f t="shared" si="220"/>
        <v>6.5989847715736002E-2</v>
      </c>
      <c r="Q70" s="526">
        <f t="shared" si="220"/>
        <v>5.2953117818293196E-3</v>
      </c>
      <c r="R70" s="534"/>
      <c r="S70" s="504"/>
      <c r="T70" s="505"/>
      <c r="U70" s="505"/>
      <c r="V70" s="505"/>
      <c r="X70" s="546"/>
      <c r="Y70" s="546"/>
      <c r="Z70" s="546"/>
    </row>
    <row r="71" spans="1:26">
      <c r="A71" s="474" t="s">
        <v>2061</v>
      </c>
      <c r="B71" s="475">
        <f t="shared" si="221"/>
        <v>122.57204301075301</v>
      </c>
      <c r="C71" s="475">
        <f t="shared" si="221"/>
        <v>123.493273542601</v>
      </c>
      <c r="D71" s="475">
        <f t="shared" si="191"/>
        <v>123.493273542601</v>
      </c>
      <c r="E71" s="475">
        <f t="shared" si="222"/>
        <v>129.82233502538099</v>
      </c>
      <c r="F71" s="475">
        <f t="shared" si="222"/>
        <v>107.39446721311501</v>
      </c>
      <c r="G71" s="3547">
        <v>2005</v>
      </c>
      <c r="H71" s="476">
        <v>1</v>
      </c>
      <c r="I71" s="476">
        <v>0.43</v>
      </c>
      <c r="J71" s="476">
        <v>0.37</v>
      </c>
      <c r="K71" s="476">
        <v>0.37</v>
      </c>
      <c r="L71" s="506">
        <v>0.55000000000000004</v>
      </c>
      <c r="N71" s="527">
        <f t="shared" si="219"/>
        <v>1.2992090997956099E-2</v>
      </c>
      <c r="O71" s="528">
        <f t="shared" si="219"/>
        <v>1.22399470704992E-2</v>
      </c>
      <c r="P71" s="528">
        <f t="shared" si="220"/>
        <v>4.6954314720812199E-2</v>
      </c>
      <c r="Q71" s="528">
        <f t="shared" si="220"/>
        <v>3.6866094683621802E-3</v>
      </c>
      <c r="R71" s="534"/>
      <c r="S71" s="514">
        <f>B71/B72-1</f>
        <v>1.29920909979562E-2</v>
      </c>
      <c r="T71" s="515">
        <f>C71/C72-1</f>
        <v>1.22399470704992E-2</v>
      </c>
      <c r="U71" s="515">
        <f>E71/E72-1</f>
        <v>4.6954314720812199E-2</v>
      </c>
      <c r="V71" s="515">
        <f>F71/F72-1</f>
        <v>3.68660946836208E-3</v>
      </c>
      <c r="X71" s="546"/>
      <c r="Y71" s="546"/>
      <c r="Z71" s="546"/>
    </row>
    <row r="72" spans="1:26">
      <c r="A72" s="474" t="s">
        <v>2062</v>
      </c>
      <c r="B72" s="492">
        <v>121</v>
      </c>
      <c r="C72" s="492">
        <v>122</v>
      </c>
      <c r="D72" s="492">
        <f t="shared" si="191"/>
        <v>122</v>
      </c>
      <c r="E72" s="492">
        <v>124</v>
      </c>
      <c r="F72" s="493">
        <v>107</v>
      </c>
      <c r="G72" s="3548">
        <v>2004</v>
      </c>
      <c r="H72" s="483">
        <v>4</v>
      </c>
      <c r="I72" s="483">
        <v>0.33</v>
      </c>
      <c r="J72" s="483">
        <v>0.5</v>
      </c>
      <c r="K72" s="483">
        <v>0.5</v>
      </c>
      <c r="L72" s="509">
        <v>0</v>
      </c>
      <c r="N72" s="525">
        <f t="shared" ref="N72:O75" si="223">I72/SUM(I$72:I$75)*(B$72/B$76-1)</f>
        <v>1.33917701485269E-2</v>
      </c>
      <c r="O72" s="526">
        <f t="shared" si="223"/>
        <v>1.0632642211589599E-2</v>
      </c>
      <c r="P72" s="526">
        <f t="shared" ref="P72:Q75" si="224">K72/SUM(K$72:K$75)*(E$72/E$76-1)</f>
        <v>2.2244466688911099E-2</v>
      </c>
      <c r="Q72" s="526">
        <f t="shared" si="224"/>
        <v>0</v>
      </c>
      <c r="R72" s="534"/>
      <c r="S72" s="536"/>
      <c r="T72" s="537"/>
      <c r="U72" s="537"/>
      <c r="V72" s="537"/>
      <c r="X72" s="546"/>
      <c r="Y72" s="546"/>
      <c r="Z72" s="546"/>
    </row>
    <row r="73" spans="1:26">
      <c r="A73" s="474" t="s">
        <v>2063</v>
      </c>
      <c r="B73" s="475">
        <f t="shared" ref="B73:C75" si="225">B74+(B$72-B$76)*I73/SUM(I$72:I$75)</f>
        <v>119.513513513514</v>
      </c>
      <c r="C73" s="475">
        <f t="shared" si="225"/>
        <v>120.787878787879</v>
      </c>
      <c r="D73" s="475">
        <f t="shared" si="191"/>
        <v>120.787878787879</v>
      </c>
      <c r="E73" s="475">
        <f t="shared" ref="E73:F75" si="226">E74+(E$72-E$76)*K73/SUM(K$72:K$75)</f>
        <v>121.597597597598</v>
      </c>
      <c r="F73" s="475">
        <f t="shared" si="226"/>
        <v>107</v>
      </c>
      <c r="G73" s="3544">
        <v>2004</v>
      </c>
      <c r="H73" s="484">
        <v>3</v>
      </c>
      <c r="I73" s="484">
        <v>0.56000000000000005</v>
      </c>
      <c r="J73" s="484">
        <v>0.8</v>
      </c>
      <c r="K73" s="484">
        <v>0.83</v>
      </c>
      <c r="L73" s="512">
        <v>0.06</v>
      </c>
      <c r="N73" s="525">
        <f t="shared" si="223"/>
        <v>2.2725428130833499E-2</v>
      </c>
      <c r="O73" s="526">
        <f t="shared" si="223"/>
        <v>1.7012227538543302E-2</v>
      </c>
      <c r="P73" s="526">
        <f t="shared" si="224"/>
        <v>3.6925814703592498E-2</v>
      </c>
      <c r="Q73" s="526">
        <f t="shared" si="224"/>
        <v>2.8846153846153699E-2</v>
      </c>
      <c r="R73" s="534"/>
      <c r="S73" s="504"/>
      <c r="T73" s="505"/>
      <c r="U73" s="505"/>
      <c r="V73" s="505"/>
      <c r="X73" s="546"/>
      <c r="Y73" s="546"/>
      <c r="Z73" s="546"/>
    </row>
    <row r="74" spans="1:26">
      <c r="A74" s="474" t="s">
        <v>2064</v>
      </c>
      <c r="B74" s="475">
        <f t="shared" si="225"/>
        <v>116.99099099099099</v>
      </c>
      <c r="C74" s="475">
        <f t="shared" si="225"/>
        <v>118.848484848485</v>
      </c>
      <c r="D74" s="475">
        <f t="shared" si="191"/>
        <v>118.848484848485</v>
      </c>
      <c r="E74" s="475">
        <f t="shared" si="226"/>
        <v>117.60960960961</v>
      </c>
      <c r="F74" s="475">
        <f t="shared" si="226"/>
        <v>104</v>
      </c>
      <c r="G74" s="3544">
        <v>2004</v>
      </c>
      <c r="H74" s="480">
        <v>2</v>
      </c>
      <c r="I74" s="480">
        <v>1</v>
      </c>
      <c r="J74" s="480">
        <v>1.5</v>
      </c>
      <c r="K74" s="480">
        <v>1.5</v>
      </c>
      <c r="L74" s="508">
        <v>0</v>
      </c>
      <c r="N74" s="525">
        <f t="shared" si="223"/>
        <v>4.05811216622027E-2</v>
      </c>
      <c r="O74" s="526">
        <f t="shared" si="223"/>
        <v>3.1897926634768703E-2</v>
      </c>
      <c r="P74" s="526">
        <f t="shared" si="224"/>
        <v>6.6733400066733395E-2</v>
      </c>
      <c r="Q74" s="526">
        <f t="shared" si="224"/>
        <v>0</v>
      </c>
      <c r="R74" s="534"/>
      <c r="S74" s="504"/>
      <c r="T74" s="505"/>
      <c r="U74" s="505"/>
      <c r="V74" s="505"/>
      <c r="X74" s="546"/>
      <c r="Y74" s="546"/>
      <c r="Z74" s="546"/>
    </row>
    <row r="75" spans="1:26" s="454" customFormat="1">
      <c r="A75" s="474" t="s">
        <v>2065</v>
      </c>
      <c r="B75" s="495">
        <f t="shared" si="225"/>
        <v>112.486486486486</v>
      </c>
      <c r="C75" s="495">
        <f t="shared" si="225"/>
        <v>115.212121212121</v>
      </c>
      <c r="D75" s="495">
        <f t="shared" si="191"/>
        <v>115.212121212121</v>
      </c>
      <c r="E75" s="495">
        <f t="shared" si="226"/>
        <v>110.402402402402</v>
      </c>
      <c r="F75" s="495">
        <f t="shared" si="226"/>
        <v>104</v>
      </c>
      <c r="G75" s="3547">
        <v>2004</v>
      </c>
      <c r="H75" s="496">
        <v>1</v>
      </c>
      <c r="I75" s="496">
        <v>0.33</v>
      </c>
      <c r="J75" s="496">
        <v>0.5</v>
      </c>
      <c r="K75" s="496">
        <v>0.5</v>
      </c>
      <c r="L75" s="521">
        <v>0</v>
      </c>
      <c r="N75" s="563">
        <f t="shared" si="223"/>
        <v>1.33917701485269E-2</v>
      </c>
      <c r="O75" s="564">
        <f t="shared" si="223"/>
        <v>1.0632642211589599E-2</v>
      </c>
      <c r="P75" s="564">
        <f t="shared" si="224"/>
        <v>2.2244466688911099E-2</v>
      </c>
      <c r="Q75" s="564">
        <f t="shared" si="224"/>
        <v>0</v>
      </c>
      <c r="R75" s="545"/>
      <c r="S75" s="522">
        <f>B75/B76-1</f>
        <v>1.33917701485269E-2</v>
      </c>
      <c r="T75" s="523">
        <f>C75/C76-1</f>
        <v>1.06326422115897E-2</v>
      </c>
      <c r="U75" s="523">
        <f>E75/E76-1</f>
        <v>2.22444666889112E-2</v>
      </c>
      <c r="V75" s="523">
        <f>F75/F76-1</f>
        <v>0</v>
      </c>
      <c r="X75" s="571"/>
      <c r="Y75" s="571"/>
      <c r="Z75" s="571"/>
    </row>
    <row r="76" spans="1:26">
      <c r="A76" s="474" t="s">
        <v>2066</v>
      </c>
      <c r="B76" s="551">
        <v>111</v>
      </c>
      <c r="C76" s="551">
        <v>114</v>
      </c>
      <c r="D76" s="551">
        <f t="shared" si="191"/>
        <v>114</v>
      </c>
      <c r="E76" s="551">
        <v>108</v>
      </c>
      <c r="F76" s="552">
        <v>104</v>
      </c>
      <c r="G76" s="3548">
        <v>2003</v>
      </c>
      <c r="H76" s="497">
        <v>4</v>
      </c>
      <c r="I76" s="565"/>
      <c r="J76" s="565"/>
      <c r="K76" s="565"/>
      <c r="L76" s="565"/>
      <c r="N76" s="566"/>
      <c r="O76" s="565"/>
      <c r="P76" s="565"/>
      <c r="Q76" s="565"/>
      <c r="S76" s="566"/>
      <c r="T76" s="565"/>
      <c r="U76" s="565"/>
      <c r="V76" s="565"/>
      <c r="X76" s="546"/>
      <c r="Y76" s="546"/>
      <c r="Z76" s="546"/>
    </row>
    <row r="77" spans="1:26">
      <c r="A77" s="474" t="s">
        <v>2067</v>
      </c>
      <c r="B77" s="553">
        <f t="shared" ref="B77:C79" si="227">B78+(B$76-B$80)/4</f>
        <v>109.75</v>
      </c>
      <c r="C77" s="553">
        <f t="shared" si="227"/>
        <v>112.25</v>
      </c>
      <c r="D77" s="553">
        <f t="shared" si="191"/>
        <v>112.25</v>
      </c>
      <c r="E77" s="553">
        <f t="shared" ref="E77:F79" si="228">E78+(E$76-E$80)/4</f>
        <v>107.25</v>
      </c>
      <c r="F77" s="553">
        <f t="shared" si="228"/>
        <v>103.5</v>
      </c>
      <c r="G77" s="3544">
        <v>2003</v>
      </c>
      <c r="H77" s="484">
        <v>3</v>
      </c>
      <c r="I77" s="565"/>
      <c r="J77" s="565"/>
      <c r="K77" s="565"/>
      <c r="L77" s="565"/>
      <c r="X77" s="546"/>
      <c r="Y77" s="546"/>
      <c r="Z77" s="546"/>
    </row>
    <row r="78" spans="1:26">
      <c r="A78" s="474" t="s">
        <v>2068</v>
      </c>
      <c r="B78" s="553">
        <f t="shared" si="227"/>
        <v>108.5</v>
      </c>
      <c r="C78" s="553">
        <f t="shared" si="227"/>
        <v>110.5</v>
      </c>
      <c r="D78" s="553">
        <f t="shared" si="191"/>
        <v>110.5</v>
      </c>
      <c r="E78" s="553">
        <f t="shared" si="228"/>
        <v>106.5</v>
      </c>
      <c r="F78" s="553">
        <f t="shared" si="228"/>
        <v>103</v>
      </c>
      <c r="G78" s="3544">
        <v>2003</v>
      </c>
      <c r="H78" s="480">
        <v>2</v>
      </c>
      <c r="I78" s="565"/>
      <c r="J78" s="565"/>
      <c r="K78" s="565"/>
      <c r="L78" s="565"/>
      <c r="X78" s="546"/>
      <c r="Y78" s="546"/>
      <c r="Z78" s="546"/>
    </row>
    <row r="79" spans="1:26">
      <c r="A79" s="474" t="s">
        <v>2069</v>
      </c>
      <c r="B79" s="553">
        <f t="shared" si="227"/>
        <v>107.25</v>
      </c>
      <c r="C79" s="553">
        <f t="shared" si="227"/>
        <v>108.75</v>
      </c>
      <c r="D79" s="553">
        <f t="shared" si="191"/>
        <v>108.75</v>
      </c>
      <c r="E79" s="553">
        <f t="shared" si="228"/>
        <v>105.75</v>
      </c>
      <c r="F79" s="553">
        <f t="shared" si="228"/>
        <v>102.5</v>
      </c>
      <c r="G79" s="3547">
        <v>2003</v>
      </c>
      <c r="H79" s="554">
        <v>1</v>
      </c>
      <c r="I79" s="565"/>
      <c r="J79" s="565"/>
      <c r="K79" s="565"/>
      <c r="L79" s="565"/>
      <c r="S79" s="504"/>
      <c r="T79" s="505"/>
      <c r="U79" s="505"/>
      <c r="X79" s="546"/>
      <c r="Y79" s="546"/>
      <c r="Z79" s="546"/>
    </row>
    <row r="80" spans="1:26">
      <c r="A80" s="474" t="s">
        <v>2070</v>
      </c>
      <c r="B80" s="555">
        <v>106</v>
      </c>
      <c r="C80" s="555">
        <v>107</v>
      </c>
      <c r="D80" s="555">
        <f t="shared" si="191"/>
        <v>107</v>
      </c>
      <c r="E80" s="555">
        <v>105</v>
      </c>
      <c r="F80" s="556">
        <v>102</v>
      </c>
      <c r="G80" s="3548">
        <v>2002</v>
      </c>
      <c r="H80" s="483">
        <v>4</v>
      </c>
      <c r="I80" s="565"/>
      <c r="J80" s="565"/>
      <c r="K80" s="565"/>
      <c r="L80" s="565"/>
      <c r="N80" s="566"/>
      <c r="O80" s="565"/>
      <c r="P80" s="565"/>
      <c r="Q80" s="565"/>
      <c r="S80" s="566"/>
      <c r="T80" s="565"/>
      <c r="U80" s="565"/>
      <c r="V80" s="565"/>
      <c r="X80" s="546"/>
      <c r="Y80" s="546"/>
      <c r="Z80" s="546"/>
    </row>
    <row r="81" spans="1:26">
      <c r="A81" s="474" t="s">
        <v>2071</v>
      </c>
      <c r="B81" s="553">
        <f t="shared" ref="B81:C83" si="229">B82+(B$80-B$84)/4</f>
        <v>105</v>
      </c>
      <c r="C81" s="553">
        <f t="shared" si="229"/>
        <v>106</v>
      </c>
      <c r="D81" s="553">
        <f t="shared" si="191"/>
        <v>106</v>
      </c>
      <c r="E81" s="553">
        <f t="shared" ref="E81:F83" si="230">E82+(E$80-E$84)/4</f>
        <v>104.5</v>
      </c>
      <c r="F81" s="553">
        <f t="shared" si="230"/>
        <v>101.5</v>
      </c>
      <c r="G81" s="3544">
        <v>2002</v>
      </c>
      <c r="H81" s="484">
        <v>3</v>
      </c>
      <c r="I81" s="565"/>
      <c r="J81" s="565"/>
      <c r="K81" s="565"/>
      <c r="L81" s="565"/>
      <c r="X81" s="546"/>
      <c r="Y81" s="546"/>
      <c r="Z81" s="546"/>
    </row>
    <row r="82" spans="1:26">
      <c r="A82" s="474" t="s">
        <v>2072</v>
      </c>
      <c r="B82" s="553">
        <f t="shared" si="229"/>
        <v>104</v>
      </c>
      <c r="C82" s="553">
        <f t="shared" si="229"/>
        <v>105</v>
      </c>
      <c r="D82" s="553">
        <f t="shared" si="191"/>
        <v>105</v>
      </c>
      <c r="E82" s="553">
        <f t="shared" si="230"/>
        <v>104</v>
      </c>
      <c r="F82" s="553">
        <f t="shared" si="230"/>
        <v>101</v>
      </c>
      <c r="G82" s="3544">
        <v>2002</v>
      </c>
      <c r="H82" s="480">
        <v>2</v>
      </c>
      <c r="I82" s="565"/>
      <c r="J82" s="565"/>
      <c r="K82" s="565"/>
      <c r="L82" s="565"/>
      <c r="X82" s="546"/>
      <c r="Y82" s="546"/>
      <c r="Z82" s="546"/>
    </row>
    <row r="83" spans="1:26" s="453" customFormat="1">
      <c r="A83" s="488" t="s">
        <v>2073</v>
      </c>
      <c r="B83" s="538">
        <f t="shared" si="229"/>
        <v>103</v>
      </c>
      <c r="C83" s="538">
        <f t="shared" si="229"/>
        <v>104</v>
      </c>
      <c r="D83" s="538">
        <f t="shared" si="191"/>
        <v>104</v>
      </c>
      <c r="E83" s="538">
        <f t="shared" si="230"/>
        <v>103.5</v>
      </c>
      <c r="F83" s="538">
        <f t="shared" si="230"/>
        <v>100.5</v>
      </c>
      <c r="G83" s="3547">
        <v>2002</v>
      </c>
      <c r="H83" s="557">
        <v>1</v>
      </c>
      <c r="I83" s="567"/>
      <c r="J83" s="567"/>
      <c r="K83" s="567"/>
      <c r="L83" s="567"/>
      <c r="N83" s="568"/>
      <c r="S83" s="568"/>
      <c r="X83" s="572"/>
      <c r="Y83" s="572"/>
      <c r="Z83" s="572"/>
    </row>
    <row r="84" spans="1:26">
      <c r="B84" s="558">
        <v>102</v>
      </c>
      <c r="C84" s="559">
        <v>103</v>
      </c>
      <c r="D84" s="559">
        <f t="shared" si="191"/>
        <v>103</v>
      </c>
      <c r="E84" s="559">
        <v>103</v>
      </c>
      <c r="F84" s="560">
        <v>100</v>
      </c>
      <c r="I84" s="565"/>
      <c r="J84" s="565"/>
      <c r="K84" s="565"/>
      <c r="L84" s="565"/>
      <c r="N84" s="566"/>
      <c r="O84" s="565"/>
      <c r="P84" s="565"/>
      <c r="Q84" s="565"/>
      <c r="S84" s="566"/>
      <c r="T84" s="565"/>
      <c r="U84" s="565"/>
      <c r="V84" s="565"/>
      <c r="X84" s="537"/>
      <c r="Y84" s="537"/>
      <c r="Z84" s="537"/>
    </row>
    <row r="86" spans="1:26" s="455" customFormat="1">
      <c r="A86" s="561" t="s">
        <v>2074</v>
      </c>
      <c r="G86" s="562"/>
      <c r="N86" s="562"/>
      <c r="S86" s="562"/>
    </row>
    <row r="87" spans="1:26" s="455" customFormat="1">
      <c r="A87" s="455" t="s">
        <v>2075</v>
      </c>
      <c r="G87" s="562"/>
      <c r="N87" s="562"/>
      <c r="S87" s="562"/>
    </row>
    <row r="88" spans="1:26" s="455" customFormat="1">
      <c r="A88" s="455" t="s">
        <v>2076</v>
      </c>
      <c r="G88" s="562"/>
      <c r="I88" s="569"/>
      <c r="J88" s="569"/>
      <c r="K88" s="569"/>
      <c r="L88" s="569"/>
      <c r="N88" s="570"/>
      <c r="O88" s="569"/>
      <c r="P88" s="569"/>
      <c r="Q88" s="569"/>
      <c r="S88" s="570"/>
      <c r="T88" s="569"/>
      <c r="U88" s="569"/>
      <c r="V88" s="569"/>
    </row>
    <row r="89" spans="1:26" s="455" customFormat="1">
      <c r="A89" s="455" t="s">
        <v>2077</v>
      </c>
      <c r="G89" s="562"/>
      <c r="N89" s="562"/>
      <c r="S89" s="562"/>
    </row>
    <row r="97" spans="7:22">
      <c r="G97" s="456"/>
      <c r="S97" s="573" t="s">
        <v>2078</v>
      </c>
      <c r="T97" s="574" t="s">
        <v>2079</v>
      </c>
      <c r="U97" s="574" t="s">
        <v>2080</v>
      </c>
      <c r="V97" s="574" t="s">
        <v>2081</v>
      </c>
    </row>
    <row r="98" spans="7:22">
      <c r="G98" s="456"/>
      <c r="N98" s="536"/>
      <c r="O98" s="537"/>
      <c r="P98" s="537"/>
      <c r="Q98" s="537"/>
      <c r="S98" s="575">
        <v>2006</v>
      </c>
      <c r="T98" s="576">
        <v>15.1</v>
      </c>
      <c r="U98" s="576">
        <v>7.43</v>
      </c>
      <c r="V98" s="576">
        <v>26.26</v>
      </c>
    </row>
    <row r="99" spans="7:22">
      <c r="G99" s="456"/>
      <c r="N99" s="536"/>
      <c r="O99" s="537"/>
      <c r="P99" s="537"/>
      <c r="Q99" s="537"/>
      <c r="S99" s="577">
        <v>2005</v>
      </c>
      <c r="T99" s="578">
        <v>13.9</v>
      </c>
      <c r="U99" s="578">
        <v>7.49</v>
      </c>
      <c r="V99" s="578">
        <v>24.92</v>
      </c>
    </row>
    <row r="100" spans="7:22">
      <c r="G100" s="456"/>
      <c r="N100" s="536"/>
      <c r="O100" s="537"/>
      <c r="P100" s="537"/>
      <c r="Q100" s="537"/>
      <c r="S100" s="575">
        <v>2004</v>
      </c>
      <c r="T100" s="576">
        <v>9.48</v>
      </c>
      <c r="U100" s="576">
        <v>7.2</v>
      </c>
      <c r="V100" s="576">
        <v>14.68</v>
      </c>
    </row>
    <row r="101" spans="7:22">
      <c r="G101" s="456"/>
      <c r="N101" s="536"/>
      <c r="O101" s="537"/>
      <c r="P101" s="537"/>
      <c r="Q101" s="537"/>
      <c r="S101" s="577">
        <v>2003</v>
      </c>
      <c r="T101" s="578">
        <v>4.5</v>
      </c>
      <c r="U101" s="578">
        <v>6.12</v>
      </c>
      <c r="V101" s="578">
        <v>2.34</v>
      </c>
    </row>
    <row r="102" spans="7:22">
      <c r="G102" s="456"/>
      <c r="N102" s="536"/>
      <c r="O102" s="537"/>
      <c r="P102" s="537"/>
      <c r="Q102" s="537"/>
      <c r="S102" s="579">
        <v>2002</v>
      </c>
      <c r="T102" s="580">
        <v>3.59</v>
      </c>
      <c r="U102" s="580">
        <v>4.54</v>
      </c>
      <c r="V102" s="580">
        <v>2.5499999999999998</v>
      </c>
    </row>
    <row r="103" spans="7:22">
      <c r="G103" s="456"/>
      <c r="N103" s="536"/>
      <c r="O103" s="537"/>
      <c r="P103" s="537"/>
      <c r="Q103" s="537"/>
    </row>
    <row r="104" spans="7:22">
      <c r="G104" s="456"/>
      <c r="N104" s="536"/>
      <c r="O104" s="537"/>
      <c r="P104" s="537"/>
      <c r="Q104" s="537"/>
    </row>
    <row r="105" spans="7:22">
      <c r="G105" s="456"/>
      <c r="N105" s="536"/>
      <c r="O105" s="537"/>
      <c r="P105" s="537"/>
      <c r="Q105" s="537"/>
    </row>
    <row r="106" spans="7:22">
      <c r="G106" s="456"/>
      <c r="N106" s="536"/>
      <c r="O106" s="537"/>
      <c r="P106" s="537"/>
      <c r="Q106" s="537"/>
    </row>
    <row r="107" spans="7:22">
      <c r="G107" s="456"/>
      <c r="N107" s="536"/>
      <c r="O107" s="537"/>
      <c r="P107" s="537"/>
      <c r="Q107" s="537"/>
    </row>
    <row r="108" spans="7:22">
      <c r="G108" s="456"/>
      <c r="N108" s="536"/>
      <c r="O108" s="537"/>
      <c r="P108" s="537"/>
      <c r="Q108" s="537"/>
    </row>
    <row r="109" spans="7:22">
      <c r="G109" s="456"/>
      <c r="N109" s="536"/>
      <c r="O109" s="537"/>
      <c r="P109" s="537"/>
      <c r="Q109" s="537"/>
    </row>
    <row r="110" spans="7:22">
      <c r="G110" s="456"/>
      <c r="N110" s="536"/>
      <c r="O110" s="537"/>
      <c r="P110" s="537"/>
      <c r="Q110" s="537"/>
    </row>
    <row r="111" spans="7:22">
      <c r="G111" s="456"/>
      <c r="N111" s="536"/>
      <c r="O111" s="537"/>
      <c r="P111" s="537"/>
      <c r="Q111" s="537"/>
    </row>
    <row r="112" spans="7:22">
      <c r="G112" s="456"/>
      <c r="N112" s="536"/>
      <c r="O112" s="537"/>
      <c r="P112" s="537"/>
      <c r="Q112" s="537"/>
    </row>
    <row r="113" spans="7:19">
      <c r="G113" s="456"/>
      <c r="N113" s="536"/>
      <c r="O113" s="537"/>
      <c r="P113" s="537"/>
      <c r="Q113" s="537"/>
      <c r="S113" s="456"/>
    </row>
    <row r="114" spans="7:19">
      <c r="G114" s="456"/>
      <c r="N114" s="536"/>
      <c r="O114" s="537"/>
      <c r="P114" s="537"/>
      <c r="Q114" s="537"/>
      <c r="S114" s="456"/>
    </row>
    <row r="115" spans="7:19">
      <c r="G115" s="456"/>
      <c r="N115" s="536"/>
      <c r="O115" s="537"/>
      <c r="P115" s="537"/>
      <c r="Q115" s="537"/>
      <c r="S115" s="456"/>
    </row>
    <row r="116" spans="7:19">
      <c r="G116" s="456"/>
      <c r="N116" s="536"/>
      <c r="O116" s="537"/>
      <c r="P116" s="537"/>
      <c r="Q116" s="537"/>
      <c r="S116" s="456"/>
    </row>
    <row r="117" spans="7:19">
      <c r="G117" s="456"/>
      <c r="N117" s="536"/>
      <c r="O117" s="537"/>
      <c r="P117" s="537"/>
      <c r="Q117" s="537"/>
      <c r="S117" s="456"/>
    </row>
    <row r="118" spans="7:19">
      <c r="G118" s="456"/>
      <c r="N118" s="536"/>
      <c r="O118" s="537"/>
      <c r="P118" s="537"/>
      <c r="Q118" s="537"/>
      <c r="S118" s="456"/>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F7" sqref="C7:Q40"/>
    </sheetView>
  </sheetViews>
  <sheetFormatPr defaultColWidth="9" defaultRowHeight="12.75"/>
  <cols>
    <col min="1" max="1" width="11.5" style="324" customWidth="1"/>
    <col min="2" max="2" width="9.25" style="325" customWidth="1"/>
    <col min="3" max="3" width="5" style="325" customWidth="1"/>
    <col min="4" max="4" width="9" style="325"/>
    <col min="5" max="5" width="5" style="325" customWidth="1"/>
    <col min="6" max="6" width="9" style="325"/>
    <col min="7" max="7" width="5" style="325" customWidth="1"/>
    <col min="8" max="8" width="9" style="325"/>
    <col min="9" max="9" width="5" style="325" customWidth="1"/>
    <col min="10" max="10" width="9" style="325"/>
    <col min="11" max="11" width="5" style="325" customWidth="1"/>
    <col min="12" max="12" width="9" style="325"/>
    <col min="13" max="13" width="5" style="325" customWidth="1"/>
    <col min="14" max="14" width="9" style="325"/>
    <col min="15" max="15" width="5" style="325" customWidth="1"/>
    <col min="16" max="16" width="9" style="325"/>
    <col min="17" max="17" width="5" style="325" customWidth="1"/>
    <col min="18" max="18" width="9" style="326"/>
    <col min="19" max="19" width="9" style="324"/>
    <col min="20" max="45" width="9" style="327"/>
    <col min="46" max="16384" width="9" style="324"/>
  </cols>
  <sheetData>
    <row r="1" spans="1:45" ht="14.25" customHeight="1">
      <c r="A1" s="328"/>
      <c r="B1" s="329" t="s">
        <v>2082</v>
      </c>
      <c r="C1" s="3552" t="s">
        <v>2083</v>
      </c>
      <c r="D1" s="3553"/>
      <c r="E1" s="3553"/>
      <c r="F1" s="3553"/>
      <c r="G1" s="3553"/>
      <c r="H1" s="3553"/>
      <c r="I1" s="3553"/>
      <c r="J1" s="3553"/>
      <c r="K1" s="3553"/>
      <c r="L1" s="3553"/>
      <c r="M1" s="3553"/>
      <c r="N1" s="3553"/>
      <c r="O1" s="3553"/>
      <c r="P1" s="3553"/>
      <c r="Q1" s="3553"/>
      <c r="R1" s="3553"/>
      <c r="S1" s="3554"/>
      <c r="T1" s="329" t="s">
        <v>1647</v>
      </c>
    </row>
    <row r="2" spans="1:45" s="319" customFormat="1">
      <c r="A2" s="330"/>
      <c r="B2" s="331" t="s">
        <v>364</v>
      </c>
      <c r="C2" s="332" t="str">
        <f t="shared" ref="C2:L2" si="0">C3&amp;"(含)"&amp;"-"&amp;D3</f>
        <v>(含)-</v>
      </c>
      <c r="D2" s="333" t="str">
        <f t="shared" si="0"/>
        <v>(含)-</v>
      </c>
      <c r="E2" s="333" t="str">
        <f t="shared" si="0"/>
        <v>(含)-</v>
      </c>
      <c r="F2" s="333" t="str">
        <f t="shared" si="0"/>
        <v>(含)-</v>
      </c>
      <c r="G2" s="333" t="str">
        <f t="shared" si="0"/>
        <v>(含)-</v>
      </c>
      <c r="H2" s="333" t="str">
        <f t="shared" si="0"/>
        <v>(含)-</v>
      </c>
      <c r="I2" s="333" t="str">
        <f t="shared" si="0"/>
        <v>(含)-</v>
      </c>
      <c r="J2" s="333" t="str">
        <f t="shared" si="0"/>
        <v>(含)-</v>
      </c>
      <c r="K2" s="333" t="str">
        <f t="shared" si="0"/>
        <v>(含)-</v>
      </c>
      <c r="L2" s="333" t="str">
        <f t="shared" si="0"/>
        <v>(含)-</v>
      </c>
      <c r="M2" s="333" t="str">
        <f t="shared" ref="M2" si="1">M3&amp;"(含)"&amp;"-"&amp;N3</f>
        <v>(含)-</v>
      </c>
      <c r="N2" s="333" t="str">
        <f t="shared" ref="N2" si="2">N3&amp;"(含)"&amp;"-"&amp;O3</f>
        <v>(含)-</v>
      </c>
      <c r="O2" s="333" t="str">
        <f t="shared" ref="O2" si="3">O3&amp;"(含)"&amp;"-"&amp;P3</f>
        <v>(含)-</v>
      </c>
      <c r="P2" s="333" t="str">
        <f t="shared" ref="P2" si="4">P3&amp;"(含)"&amp;"-"&amp;Q3</f>
        <v>(含)-</v>
      </c>
      <c r="Q2" s="333" t="str">
        <f t="shared" ref="Q2" si="5">Q3&amp;"(含)"&amp;"-"&amp;R3</f>
        <v>(含)-</v>
      </c>
      <c r="R2" s="333" t="str">
        <f t="shared" ref="R2" si="6">R3&amp;"(含)"&amp;"-"&amp;S3</f>
        <v>(含)-</v>
      </c>
      <c r="S2" s="413" t="str">
        <f>S3&amp;"(含)"&amp;"-"</f>
        <v>(含)-</v>
      </c>
      <c r="T2" s="414"/>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row>
    <row r="3" spans="1:45" s="320" customFormat="1">
      <c r="A3" s="334"/>
      <c r="B3" s="335"/>
      <c r="C3" s="336"/>
      <c r="D3" s="337"/>
      <c r="E3" s="337"/>
      <c r="F3" s="338"/>
      <c r="G3" s="338"/>
      <c r="H3" s="338"/>
      <c r="I3" s="338"/>
      <c r="J3" s="338"/>
      <c r="K3" s="338"/>
      <c r="L3" s="391"/>
      <c r="M3" s="392"/>
      <c r="N3" s="392"/>
      <c r="O3" s="338"/>
      <c r="P3" s="338"/>
      <c r="Q3" s="338"/>
      <c r="R3" s="338"/>
      <c r="S3" s="416"/>
      <c r="T3" s="417"/>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row>
    <row r="4" spans="1:45" s="320" customFormat="1">
      <c r="A4" s="339"/>
      <c r="B4" s="340"/>
      <c r="C4" s="341"/>
      <c r="D4" s="342"/>
      <c r="E4" s="342"/>
      <c r="F4" s="343"/>
      <c r="G4" s="343"/>
      <c r="H4" s="343"/>
      <c r="I4" s="343"/>
      <c r="J4" s="343"/>
      <c r="K4" s="343"/>
      <c r="L4" s="343"/>
      <c r="M4" s="393"/>
      <c r="N4" s="393"/>
      <c r="O4" s="343"/>
      <c r="P4" s="343"/>
      <c r="Q4" s="343"/>
      <c r="R4" s="343"/>
      <c r="S4" s="419"/>
      <c r="T4" s="420"/>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row>
    <row r="5" spans="1:45" s="321" customFormat="1">
      <c r="A5" s="344"/>
      <c r="B5" s="345" t="s">
        <v>2084</v>
      </c>
      <c r="C5" s="346"/>
      <c r="D5" s="347"/>
      <c r="E5" s="347"/>
      <c r="F5" s="348"/>
      <c r="G5" s="348"/>
      <c r="H5" s="348"/>
      <c r="I5" s="348"/>
      <c r="J5" s="348"/>
      <c r="K5" s="348"/>
      <c r="L5" s="394"/>
      <c r="M5" s="395"/>
      <c r="N5" s="395"/>
      <c r="O5" s="348"/>
      <c r="P5" s="348"/>
      <c r="Q5" s="348"/>
      <c r="R5" s="348"/>
      <c r="S5" s="421"/>
      <c r="T5" s="422"/>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row>
    <row r="6" spans="1:45" s="321" customFormat="1">
      <c r="A6" s="344"/>
      <c r="B6" s="349"/>
      <c r="C6" s="350">
        <v>100</v>
      </c>
      <c r="D6" s="351">
        <f>C6-$T5</f>
        <v>100</v>
      </c>
      <c r="E6" s="351">
        <f t="shared" ref="E6:S6" si="7">D6-$T5</f>
        <v>100</v>
      </c>
      <c r="F6" s="352">
        <f t="shared" si="7"/>
        <v>100</v>
      </c>
      <c r="G6" s="352">
        <f t="shared" si="7"/>
        <v>100</v>
      </c>
      <c r="H6" s="352">
        <f t="shared" si="7"/>
        <v>100</v>
      </c>
      <c r="I6" s="352">
        <f t="shared" si="7"/>
        <v>100</v>
      </c>
      <c r="J6" s="352">
        <f t="shared" si="7"/>
        <v>100</v>
      </c>
      <c r="K6" s="352">
        <f t="shared" si="7"/>
        <v>100</v>
      </c>
      <c r="L6" s="352">
        <f t="shared" si="7"/>
        <v>100</v>
      </c>
      <c r="M6" s="352">
        <f t="shared" si="7"/>
        <v>100</v>
      </c>
      <c r="N6" s="352">
        <f t="shared" si="7"/>
        <v>100</v>
      </c>
      <c r="O6" s="352">
        <f t="shared" si="7"/>
        <v>100</v>
      </c>
      <c r="P6" s="352">
        <f t="shared" si="7"/>
        <v>100</v>
      </c>
      <c r="Q6" s="352">
        <f t="shared" si="7"/>
        <v>100</v>
      </c>
      <c r="R6" s="352">
        <f t="shared" si="7"/>
        <v>100</v>
      </c>
      <c r="S6" s="352">
        <f t="shared" si="7"/>
        <v>100</v>
      </c>
      <c r="T6" s="424"/>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row>
    <row r="7" spans="1:45" s="321" customFormat="1">
      <c r="A7" s="344"/>
      <c r="B7" s="353" t="s">
        <v>2085</v>
      </c>
      <c r="C7" s="354"/>
      <c r="D7" s="355"/>
      <c r="E7" s="355"/>
      <c r="F7" s="356"/>
      <c r="G7" s="356"/>
      <c r="H7" s="356"/>
      <c r="I7" s="356"/>
      <c r="J7" s="356"/>
      <c r="K7" s="356"/>
      <c r="L7" s="356"/>
      <c r="M7" s="396"/>
      <c r="N7" s="397"/>
      <c r="O7" s="398"/>
      <c r="P7" s="399"/>
      <c r="Q7" s="425"/>
      <c r="R7" s="426"/>
      <c r="S7" s="427"/>
      <c r="T7" s="428"/>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row>
    <row r="8" spans="1:45" s="321" customFormat="1">
      <c r="A8" s="344"/>
      <c r="B8" s="349"/>
      <c r="C8" s="350">
        <v>100</v>
      </c>
      <c r="D8" s="351">
        <f>C8-$T7</f>
        <v>100</v>
      </c>
      <c r="E8" s="351">
        <f t="shared" ref="E8:S8" si="8">D8-$T7</f>
        <v>100</v>
      </c>
      <c r="F8" s="352">
        <f t="shared" si="8"/>
        <v>100</v>
      </c>
      <c r="G8" s="352">
        <f t="shared" si="8"/>
        <v>100</v>
      </c>
      <c r="H8" s="352">
        <f t="shared" si="8"/>
        <v>100</v>
      </c>
      <c r="I8" s="352">
        <f t="shared" si="8"/>
        <v>100</v>
      </c>
      <c r="J8" s="352">
        <f t="shared" si="8"/>
        <v>100</v>
      </c>
      <c r="K8" s="352">
        <f t="shared" si="8"/>
        <v>100</v>
      </c>
      <c r="L8" s="352">
        <f t="shared" si="8"/>
        <v>100</v>
      </c>
      <c r="M8" s="352">
        <f t="shared" si="8"/>
        <v>100</v>
      </c>
      <c r="N8" s="352">
        <f t="shared" si="8"/>
        <v>100</v>
      </c>
      <c r="O8" s="352">
        <f t="shared" si="8"/>
        <v>100</v>
      </c>
      <c r="P8" s="352">
        <f t="shared" si="8"/>
        <v>100</v>
      </c>
      <c r="Q8" s="352">
        <f t="shared" si="8"/>
        <v>100</v>
      </c>
      <c r="R8" s="352">
        <f t="shared" si="8"/>
        <v>100</v>
      </c>
      <c r="S8" s="352">
        <f t="shared" si="8"/>
        <v>100</v>
      </c>
      <c r="T8" s="424"/>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row>
    <row r="9" spans="1:45" s="321" customFormat="1">
      <c r="A9" s="344"/>
      <c r="B9" s="353" t="s">
        <v>2086</v>
      </c>
      <c r="C9" s="354"/>
      <c r="D9" s="355"/>
      <c r="E9" s="355"/>
      <c r="F9" s="356"/>
      <c r="G9" s="356"/>
      <c r="H9" s="356"/>
      <c r="I9" s="356"/>
      <c r="J9" s="356"/>
      <c r="K9" s="356"/>
      <c r="L9" s="400"/>
      <c r="M9" s="396"/>
      <c r="N9" s="397"/>
      <c r="O9" s="398"/>
      <c r="P9" s="399"/>
      <c r="Q9" s="425"/>
      <c r="R9" s="426"/>
      <c r="S9" s="427"/>
      <c r="T9" s="428"/>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row>
    <row r="10" spans="1:45" s="321" customFormat="1">
      <c r="A10" s="344"/>
      <c r="B10" s="340"/>
      <c r="C10" s="357">
        <v>100</v>
      </c>
      <c r="D10" s="358">
        <f>C10-$T9</f>
        <v>100</v>
      </c>
      <c r="E10" s="358">
        <f t="shared" ref="E10:S10" si="9">D10-$T9</f>
        <v>100</v>
      </c>
      <c r="F10" s="359">
        <f t="shared" si="9"/>
        <v>100</v>
      </c>
      <c r="G10" s="359">
        <f t="shared" si="9"/>
        <v>100</v>
      </c>
      <c r="H10" s="359">
        <f t="shared" si="9"/>
        <v>100</v>
      </c>
      <c r="I10" s="359">
        <f t="shared" si="9"/>
        <v>100</v>
      </c>
      <c r="J10" s="359">
        <f t="shared" si="9"/>
        <v>100</v>
      </c>
      <c r="K10" s="359">
        <f t="shared" si="9"/>
        <v>100</v>
      </c>
      <c r="L10" s="359">
        <f t="shared" si="9"/>
        <v>100</v>
      </c>
      <c r="M10" s="359">
        <f t="shared" si="9"/>
        <v>100</v>
      </c>
      <c r="N10" s="359">
        <f t="shared" si="9"/>
        <v>100</v>
      </c>
      <c r="O10" s="359">
        <f t="shared" si="9"/>
        <v>100</v>
      </c>
      <c r="P10" s="359">
        <f t="shared" si="9"/>
        <v>100</v>
      </c>
      <c r="Q10" s="359">
        <f t="shared" si="9"/>
        <v>100</v>
      </c>
      <c r="R10" s="359">
        <f t="shared" si="9"/>
        <v>100</v>
      </c>
      <c r="S10" s="359">
        <f t="shared" si="9"/>
        <v>100</v>
      </c>
      <c r="T10" s="420"/>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row>
    <row r="11" spans="1:45" s="321" customFormat="1">
      <c r="A11" s="344"/>
      <c r="B11" s="345" t="s">
        <v>2087</v>
      </c>
      <c r="C11" s="346"/>
      <c r="D11" s="347"/>
      <c r="E11" s="347"/>
      <c r="F11" s="347"/>
      <c r="G11" s="347"/>
      <c r="H11" s="347"/>
      <c r="I11" s="347"/>
      <c r="J11" s="347"/>
      <c r="K11" s="347"/>
      <c r="L11" s="347"/>
      <c r="M11" s="401"/>
      <c r="N11" s="402"/>
      <c r="O11" s="403"/>
      <c r="P11" s="404"/>
      <c r="Q11" s="429"/>
      <c r="R11" s="430"/>
      <c r="S11" s="431"/>
      <c r="T11" s="422"/>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row>
    <row r="12" spans="1:45" s="321" customFormat="1">
      <c r="A12" s="344"/>
      <c r="B12" s="349"/>
      <c r="C12" s="350">
        <v>100</v>
      </c>
      <c r="D12" s="351">
        <f>C12-$T11</f>
        <v>100</v>
      </c>
      <c r="E12" s="351">
        <f t="shared" ref="E12:S12" si="10">D12-$T11</f>
        <v>100</v>
      </c>
      <c r="F12" s="351">
        <f t="shared" si="10"/>
        <v>100</v>
      </c>
      <c r="G12" s="351">
        <f t="shared" si="10"/>
        <v>100</v>
      </c>
      <c r="H12" s="351">
        <f t="shared" si="10"/>
        <v>100</v>
      </c>
      <c r="I12" s="351">
        <f t="shared" si="10"/>
        <v>100</v>
      </c>
      <c r="J12" s="351">
        <f t="shared" si="10"/>
        <v>100</v>
      </c>
      <c r="K12" s="351">
        <f t="shared" si="10"/>
        <v>100</v>
      </c>
      <c r="L12" s="351">
        <f t="shared" si="10"/>
        <v>100</v>
      </c>
      <c r="M12" s="351">
        <f t="shared" si="10"/>
        <v>100</v>
      </c>
      <c r="N12" s="351">
        <f t="shared" si="10"/>
        <v>100</v>
      </c>
      <c r="O12" s="351">
        <f t="shared" si="10"/>
        <v>100</v>
      </c>
      <c r="P12" s="351">
        <f t="shared" si="10"/>
        <v>100</v>
      </c>
      <c r="Q12" s="351">
        <f t="shared" si="10"/>
        <v>100</v>
      </c>
      <c r="R12" s="351">
        <f t="shared" si="10"/>
        <v>100</v>
      </c>
      <c r="S12" s="351">
        <f t="shared" si="10"/>
        <v>100</v>
      </c>
      <c r="T12" s="424"/>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row>
    <row r="13" spans="1:45" s="321" customFormat="1">
      <c r="A13" s="344"/>
      <c r="B13" s="345" t="s">
        <v>2088</v>
      </c>
      <c r="C13" s="346"/>
      <c r="D13" s="347"/>
      <c r="E13" s="347"/>
      <c r="F13" s="347"/>
      <c r="G13" s="347"/>
      <c r="H13" s="347"/>
      <c r="I13" s="347"/>
      <c r="J13" s="347"/>
      <c r="K13" s="347"/>
      <c r="L13" s="347"/>
      <c r="M13" s="401"/>
      <c r="N13" s="402"/>
      <c r="O13" s="403"/>
      <c r="P13" s="404"/>
      <c r="Q13" s="429"/>
      <c r="R13" s="430"/>
      <c r="S13" s="431"/>
      <c r="T13" s="432"/>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row>
    <row r="14" spans="1:45" s="321" customFormat="1">
      <c r="A14" s="344"/>
      <c r="B14" s="349"/>
      <c r="C14" s="360"/>
      <c r="D14" s="361"/>
      <c r="E14" s="361"/>
      <c r="F14" s="361"/>
      <c r="G14" s="361"/>
      <c r="H14" s="361"/>
      <c r="I14" s="361"/>
      <c r="J14" s="361"/>
      <c r="K14" s="361"/>
      <c r="L14" s="361"/>
      <c r="M14" s="405"/>
      <c r="N14" s="405"/>
      <c r="O14" s="361"/>
      <c r="P14" s="361"/>
      <c r="Q14" s="361"/>
      <c r="R14" s="361"/>
      <c r="S14" s="433"/>
      <c r="T14" s="424"/>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row>
    <row r="15" spans="1:45" s="321" customFormat="1">
      <c r="A15" s="344"/>
      <c r="B15" s="345" t="s">
        <v>2089</v>
      </c>
      <c r="C15" s="346"/>
      <c r="D15" s="347"/>
      <c r="E15" s="347"/>
      <c r="F15" s="347"/>
      <c r="G15" s="347"/>
      <c r="H15" s="347"/>
      <c r="I15" s="347"/>
      <c r="J15" s="347"/>
      <c r="K15" s="347"/>
      <c r="L15" s="347"/>
      <c r="M15" s="401"/>
      <c r="N15" s="402"/>
      <c r="O15" s="403"/>
      <c r="P15" s="404"/>
      <c r="Q15" s="429"/>
      <c r="R15" s="430"/>
      <c r="S15" s="431"/>
      <c r="T15" s="432"/>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row>
    <row r="16" spans="1:45" s="321" customFormat="1">
      <c r="A16" s="344"/>
      <c r="B16" s="340"/>
      <c r="C16" s="341"/>
      <c r="D16" s="342"/>
      <c r="E16" s="342"/>
      <c r="F16" s="342"/>
      <c r="G16" s="342"/>
      <c r="H16" s="342"/>
      <c r="I16" s="342"/>
      <c r="J16" s="342"/>
      <c r="K16" s="342"/>
      <c r="L16" s="342"/>
      <c r="M16" s="406"/>
      <c r="N16" s="406"/>
      <c r="O16" s="342"/>
      <c r="P16" s="342"/>
      <c r="Q16" s="342"/>
      <c r="R16" s="342"/>
      <c r="S16" s="434"/>
      <c r="T16" s="420"/>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row>
    <row r="17" spans="1:45" s="319" customFormat="1">
      <c r="A17" s="362" t="s">
        <v>2090</v>
      </c>
      <c r="B17" s="363" t="s">
        <v>2091</v>
      </c>
      <c r="C17" s="364"/>
      <c r="D17" s="365"/>
      <c r="E17" s="365"/>
      <c r="F17" s="365"/>
      <c r="G17" s="365"/>
      <c r="H17" s="365"/>
      <c r="I17" s="365"/>
      <c r="J17" s="365"/>
      <c r="K17" s="365"/>
      <c r="L17" s="407"/>
      <c r="M17" s="408"/>
      <c r="N17" s="409"/>
      <c r="O17" s="410"/>
      <c r="P17" s="411"/>
      <c r="Q17" s="435"/>
      <c r="R17" s="436"/>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7"/>
      <c r="AR17" s="415"/>
      <c r="AS17" s="415"/>
    </row>
    <row r="18" spans="1:45" s="319" customFormat="1">
      <c r="A18" s="366"/>
      <c r="B18" s="367"/>
      <c r="C18" s="368"/>
      <c r="D18" s="369"/>
      <c r="E18" s="369"/>
      <c r="F18" s="369"/>
      <c r="G18" s="369"/>
      <c r="H18" s="369"/>
      <c r="I18" s="369"/>
      <c r="J18" s="369"/>
      <c r="K18" s="369"/>
      <c r="L18" s="369"/>
      <c r="M18" s="412"/>
      <c r="N18" s="412"/>
      <c r="O18" s="369"/>
      <c r="P18" s="369"/>
      <c r="Q18" s="369"/>
      <c r="R18" s="369"/>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15"/>
      <c r="AS18" s="415"/>
    </row>
    <row r="19" spans="1:45">
      <c r="A19" s="370"/>
      <c r="B19" s="371"/>
      <c r="C19" s="371"/>
      <c r="D19" s="372" t="s">
        <v>2092</v>
      </c>
      <c r="E19" s="373"/>
      <c r="F19" s="373"/>
      <c r="G19" s="373"/>
      <c r="H19" s="374"/>
      <c r="I19" s="371"/>
      <c r="J19" s="371"/>
      <c r="K19" s="371"/>
      <c r="L19" s="371"/>
      <c r="M19" s="371"/>
      <c r="N19" s="371"/>
      <c r="O19" s="371"/>
      <c r="P19" s="371"/>
      <c r="Q19" s="371"/>
      <c r="R19" s="439"/>
      <c r="S19" s="370"/>
    </row>
    <row r="20" spans="1:45" ht="15.75">
      <c r="A20" s="375" t="s">
        <v>2093</v>
      </c>
      <c r="B20" s="376" t="e">
        <f ca="1">IF(D20="——",S22,S22-F20)</f>
        <v>#REF!</v>
      </c>
      <c r="C20" s="371"/>
      <c r="D20" s="377"/>
      <c r="E20" s="378"/>
      <c r="F20" s="329" t="e">
        <f ca="1">SUMIF(INDIRECT("'"&amp;H20&amp;"'"&amp;"!A:A"),"承租人权益价值",INDIRECT("'"&amp;H20&amp;"'"&amp;"!c:c"))</f>
        <v>#REF!</v>
      </c>
      <c r="G20" s="329" t="s">
        <v>738</v>
      </c>
      <c r="H20" s="379"/>
      <c r="I20" s="371"/>
      <c r="J20" s="371"/>
      <c r="K20" s="371"/>
      <c r="L20" s="371"/>
      <c r="M20" s="371"/>
      <c r="N20" s="371"/>
      <c r="O20" s="371"/>
      <c r="P20" s="371"/>
      <c r="Q20" s="371"/>
      <c r="R20" s="439"/>
      <c r="S20" s="370"/>
    </row>
    <row r="21" spans="1:45" ht="15.75">
      <c r="A21" s="375" t="s">
        <v>2094</v>
      </c>
      <c r="B21" s="376" t="e">
        <f ca="1">ROUND(B20*10000/B22,0)</f>
        <v>#REF!</v>
      </c>
      <c r="C21" s="371"/>
      <c r="D21" s="371"/>
      <c r="E21" s="371"/>
      <c r="F21" s="371"/>
      <c r="G21" s="371"/>
      <c r="H21" s="371"/>
      <c r="I21" s="371"/>
      <c r="J21" s="371"/>
      <c r="K21" s="371"/>
      <c r="L21" s="371"/>
      <c r="M21" s="371"/>
      <c r="N21" s="371"/>
      <c r="O21" s="371"/>
      <c r="P21" s="371"/>
      <c r="Q21" s="371"/>
      <c r="R21" s="439"/>
      <c r="S21" s="370"/>
    </row>
    <row r="22" spans="1:45">
      <c r="A22" s="380" t="s">
        <v>2095</v>
      </c>
      <c r="B22" s="381">
        <f>SUM(B24:B10000)</f>
        <v>100</v>
      </c>
      <c r="C22" s="3555" t="s">
        <v>124</v>
      </c>
      <c r="D22" s="3556"/>
      <c r="E22" s="3556"/>
      <c r="F22" s="3556"/>
      <c r="G22" s="3556"/>
      <c r="H22" s="3556"/>
      <c r="I22" s="3556"/>
      <c r="J22" s="3556"/>
      <c r="K22" s="3556"/>
      <c r="L22" s="3556"/>
      <c r="M22" s="3556"/>
      <c r="N22" s="3556"/>
      <c r="O22" s="3556"/>
      <c r="P22" s="3556"/>
      <c r="Q22" s="3557"/>
      <c r="R22" s="441">
        <f>ROUND(S22*10000/B22,0)</f>
        <v>10000</v>
      </c>
      <c r="S22" s="381">
        <f>SUM(S24:S10000)</f>
        <v>100</v>
      </c>
    </row>
    <row r="23" spans="1:45" s="322" customFormat="1" ht="24">
      <c r="A23" s="384" t="s">
        <v>2096</v>
      </c>
      <c r="B23" s="384" t="s">
        <v>364</v>
      </c>
      <c r="C23" s="384" t="s">
        <v>1647</v>
      </c>
      <c r="D23" s="384" t="str">
        <f>B5</f>
        <v>修正项2</v>
      </c>
      <c r="E23" s="384" t="s">
        <v>1647</v>
      </c>
      <c r="F23" s="384" t="str">
        <f>B7</f>
        <v>修正项3</v>
      </c>
      <c r="G23" s="384" t="s">
        <v>1647</v>
      </c>
      <c r="H23" s="384" t="str">
        <f>B9</f>
        <v>修正项4</v>
      </c>
      <c r="I23" s="384" t="s">
        <v>1647</v>
      </c>
      <c r="J23" s="384" t="str">
        <f>B11</f>
        <v>修正项5</v>
      </c>
      <c r="K23" s="384" t="s">
        <v>1647</v>
      </c>
      <c r="L23" s="384" t="str">
        <f>B13</f>
        <v>修正项6</v>
      </c>
      <c r="M23" s="384" t="s">
        <v>1647</v>
      </c>
      <c r="N23" s="384" t="str">
        <f>B15</f>
        <v>修正项7</v>
      </c>
      <c r="O23" s="384" t="s">
        <v>1647</v>
      </c>
      <c r="P23" s="384" t="str">
        <f>B17</f>
        <v>楼层</v>
      </c>
      <c r="Q23" s="384" t="s">
        <v>1647</v>
      </c>
      <c r="R23" s="442" t="s">
        <v>2097</v>
      </c>
      <c r="S23" s="384" t="s">
        <v>2098</v>
      </c>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row>
    <row r="24" spans="1:45" s="323" customFormat="1">
      <c r="A24" s="385" t="s">
        <v>2099</v>
      </c>
      <c r="B24" s="385">
        <v>100</v>
      </c>
      <c r="C24" s="386">
        <v>1</v>
      </c>
      <c r="D24" s="387"/>
      <c r="E24" s="386">
        <v>1</v>
      </c>
      <c r="F24" s="387"/>
      <c r="G24" s="386">
        <v>1</v>
      </c>
      <c r="H24" s="387"/>
      <c r="I24" s="386">
        <v>1</v>
      </c>
      <c r="J24" s="387"/>
      <c r="K24" s="386">
        <v>1</v>
      </c>
      <c r="L24" s="387"/>
      <c r="M24" s="386">
        <v>1</v>
      </c>
      <c r="N24" s="387"/>
      <c r="O24" s="386">
        <v>1</v>
      </c>
      <c r="P24" s="387"/>
      <c r="Q24" s="386">
        <v>1</v>
      </c>
      <c r="R24" s="444">
        <v>10000</v>
      </c>
      <c r="S24" s="445">
        <f t="shared" ref="S24:S54" si="11">ROUND(R24*B24/10000,0)</f>
        <v>100</v>
      </c>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c r="AP24" s="446"/>
      <c r="AQ24" s="446"/>
      <c r="AR24" s="446"/>
      <c r="AS24" s="446"/>
    </row>
    <row r="25" spans="1:45">
      <c r="A25" s="388"/>
      <c r="B25" s="389"/>
      <c r="C25" s="381">
        <f>IF(B25="",1,(LOOKUP(B25,$3:$3,$4:$4)-LOOKUP($B$24,$3:$3,$4:$4)+100)/100)</f>
        <v>1</v>
      </c>
      <c r="D25" s="390"/>
      <c r="E25" s="381">
        <f>(SUMIF($5:$5,D25,$6:$6)-SUMIF($5:$5,$D$24,$6:$6)+100)/100</f>
        <v>1</v>
      </c>
      <c r="F25" s="390"/>
      <c r="G25" s="381">
        <f>(SUMIF($7:$7,F25,$8:$8)-SUMIF($7:$7,$F$24,$8:$8)+100)/100</f>
        <v>1</v>
      </c>
      <c r="H25" s="390"/>
      <c r="I25" s="381">
        <f>(SUMIF($9:$9,H25,$10:$10)-SUMIF($9:$9,$H$24,$10:$10)+100)/100</f>
        <v>1</v>
      </c>
      <c r="J25" s="390"/>
      <c r="K25" s="381">
        <f>(SUMIF($11:$11,J25,$12:$12)-SUMIF($11:$11,$J$24,$12:$12)+100)/100</f>
        <v>1</v>
      </c>
      <c r="L25" s="390"/>
      <c r="M25" s="381">
        <f>(SUMIF($13:$13,L25,$14:$14)-SUMIF($13:$13,$L$24,$14:$14)+100)/100</f>
        <v>1</v>
      </c>
      <c r="N25" s="390"/>
      <c r="O25" s="381">
        <f>(SUMIF($15:$15,N25,$16:$16)-SUMIF($15:$15,$N$24,$16:$16)+100)/100</f>
        <v>1</v>
      </c>
      <c r="P25" s="390"/>
      <c r="Q25" s="381">
        <f>(SUMIF($17:$17,P25,$18:$18)-SUMIF($17:$17,$P$24,$18:$18)+100)/100</f>
        <v>1</v>
      </c>
      <c r="R25" s="441">
        <f>IF(B25="",0,ROUND($R$24*C25*E25*G25*I25*K25*M25*O25*Q25,0))</f>
        <v>0</v>
      </c>
      <c r="S25" s="380">
        <f t="shared" si="11"/>
        <v>0</v>
      </c>
    </row>
    <row r="26" spans="1:45">
      <c r="A26" s="388"/>
      <c r="B26" s="389"/>
      <c r="C26" s="381">
        <f t="shared" ref="C26:C89" si="12">IF(B26="",1,(LOOKUP(B26,$3:$3,$4:$4)-LOOKUP($B$24,$3:$3,$4:$4)+100)/100)</f>
        <v>1</v>
      </c>
      <c r="D26" s="390"/>
      <c r="E26" s="381">
        <f t="shared" ref="E26:E89" si="13">(SUMIF($5:$5,D26,$6:$6)-SUMIF($5:$5,$D$24,$6:$6)+100)/100</f>
        <v>1</v>
      </c>
      <c r="F26" s="390"/>
      <c r="G26" s="381">
        <f t="shared" ref="G26:G89" si="14">(SUMIF($7:$7,F26,$8:$8)-SUMIF($7:$7,$F$24,$8:$8)+100)/100</f>
        <v>1</v>
      </c>
      <c r="H26" s="390"/>
      <c r="I26" s="381">
        <f t="shared" ref="I26:I89" si="15">(SUMIF($9:$9,H26,$10:$10)-SUMIF($9:$9,$H$24,$10:$10)+100)/100</f>
        <v>1</v>
      </c>
      <c r="J26" s="390"/>
      <c r="K26" s="381">
        <f t="shared" ref="K26:K89" si="16">(SUMIF($11:$11,J26,$12:$12)-SUMIF($11:$11,$J$24,$12:$12)+100)/100</f>
        <v>1</v>
      </c>
      <c r="L26" s="390"/>
      <c r="M26" s="381">
        <f t="shared" ref="M26:M89" si="17">(SUMIF($13:$13,L26,$14:$14)-SUMIF($13:$13,$L$24,$14:$14)+100)/100</f>
        <v>1</v>
      </c>
      <c r="N26" s="390"/>
      <c r="O26" s="381">
        <f t="shared" ref="O26:O89" si="18">(SUMIF($15:$15,N26,$16:$16)-SUMIF($15:$15,$N$24,$16:$16)+100)/100</f>
        <v>1</v>
      </c>
      <c r="P26" s="390"/>
      <c r="Q26" s="381">
        <f t="shared" ref="Q26:Q89" si="19">(SUMIF($17:$17,P26,$18:$18)-SUMIF($17:$17,$P$24,$18:$18)+100)/100</f>
        <v>1</v>
      </c>
      <c r="R26" s="441">
        <f t="shared" ref="R26:R89" si="20">IF(B26="",0,ROUND($R$24*C26*E26*G26*I26*K26*M26*O26*Q26,0))</f>
        <v>0</v>
      </c>
      <c r="S26" s="380">
        <f t="shared" si="11"/>
        <v>0</v>
      </c>
    </row>
    <row r="27" spans="1:45">
      <c r="A27" s="388"/>
      <c r="B27" s="389"/>
      <c r="C27" s="381">
        <f t="shared" si="12"/>
        <v>1</v>
      </c>
      <c r="D27" s="390"/>
      <c r="E27" s="381">
        <f t="shared" si="13"/>
        <v>1</v>
      </c>
      <c r="F27" s="390"/>
      <c r="G27" s="381">
        <f t="shared" si="14"/>
        <v>1</v>
      </c>
      <c r="H27" s="390"/>
      <c r="I27" s="381">
        <f t="shared" si="15"/>
        <v>1</v>
      </c>
      <c r="J27" s="390"/>
      <c r="K27" s="381">
        <f t="shared" si="16"/>
        <v>1</v>
      </c>
      <c r="L27" s="390"/>
      <c r="M27" s="381">
        <f t="shared" si="17"/>
        <v>1</v>
      </c>
      <c r="N27" s="390"/>
      <c r="O27" s="381">
        <f t="shared" si="18"/>
        <v>1</v>
      </c>
      <c r="P27" s="390"/>
      <c r="Q27" s="381">
        <f t="shared" si="19"/>
        <v>1</v>
      </c>
      <c r="R27" s="441">
        <f t="shared" si="20"/>
        <v>0</v>
      </c>
      <c r="S27" s="380">
        <f t="shared" si="11"/>
        <v>0</v>
      </c>
    </row>
    <row r="28" spans="1:45">
      <c r="A28" s="388"/>
      <c r="B28" s="389"/>
      <c r="C28" s="381">
        <f t="shared" si="12"/>
        <v>1</v>
      </c>
      <c r="D28" s="390"/>
      <c r="E28" s="381">
        <f t="shared" si="13"/>
        <v>1</v>
      </c>
      <c r="F28" s="390"/>
      <c r="G28" s="381">
        <f t="shared" si="14"/>
        <v>1</v>
      </c>
      <c r="H28" s="390"/>
      <c r="I28" s="381">
        <f t="shared" si="15"/>
        <v>1</v>
      </c>
      <c r="J28" s="390"/>
      <c r="K28" s="381">
        <f t="shared" si="16"/>
        <v>1</v>
      </c>
      <c r="L28" s="390"/>
      <c r="M28" s="381">
        <f t="shared" si="17"/>
        <v>1</v>
      </c>
      <c r="N28" s="390"/>
      <c r="O28" s="381">
        <f t="shared" si="18"/>
        <v>1</v>
      </c>
      <c r="P28" s="390"/>
      <c r="Q28" s="381">
        <f t="shared" si="19"/>
        <v>1</v>
      </c>
      <c r="R28" s="441">
        <f t="shared" si="20"/>
        <v>0</v>
      </c>
      <c r="S28" s="380">
        <f t="shared" si="11"/>
        <v>0</v>
      </c>
    </row>
    <row r="29" spans="1:45">
      <c r="A29" s="388"/>
      <c r="B29" s="389"/>
      <c r="C29" s="381">
        <f t="shared" si="12"/>
        <v>1</v>
      </c>
      <c r="D29" s="390"/>
      <c r="E29" s="381">
        <f t="shared" si="13"/>
        <v>1</v>
      </c>
      <c r="F29" s="390"/>
      <c r="G29" s="381">
        <f t="shared" si="14"/>
        <v>1</v>
      </c>
      <c r="H29" s="390"/>
      <c r="I29" s="381">
        <f t="shared" si="15"/>
        <v>1</v>
      </c>
      <c r="J29" s="390"/>
      <c r="K29" s="381">
        <f t="shared" si="16"/>
        <v>1</v>
      </c>
      <c r="L29" s="390"/>
      <c r="M29" s="381">
        <f t="shared" si="17"/>
        <v>1</v>
      </c>
      <c r="N29" s="390"/>
      <c r="O29" s="381">
        <f t="shared" si="18"/>
        <v>1</v>
      </c>
      <c r="P29" s="390"/>
      <c r="Q29" s="381">
        <f t="shared" si="19"/>
        <v>1</v>
      </c>
      <c r="R29" s="441">
        <f t="shared" si="20"/>
        <v>0</v>
      </c>
      <c r="S29" s="380">
        <f t="shared" si="11"/>
        <v>0</v>
      </c>
    </row>
    <row r="30" spans="1:45">
      <c r="A30" s="388"/>
      <c r="B30" s="389"/>
      <c r="C30" s="381">
        <f t="shared" si="12"/>
        <v>1</v>
      </c>
      <c r="D30" s="390"/>
      <c r="E30" s="381">
        <f t="shared" si="13"/>
        <v>1</v>
      </c>
      <c r="F30" s="390"/>
      <c r="G30" s="381">
        <f t="shared" si="14"/>
        <v>1</v>
      </c>
      <c r="H30" s="390"/>
      <c r="I30" s="381">
        <f t="shared" si="15"/>
        <v>1</v>
      </c>
      <c r="J30" s="390"/>
      <c r="K30" s="381">
        <f t="shared" si="16"/>
        <v>1</v>
      </c>
      <c r="L30" s="390"/>
      <c r="M30" s="381">
        <f t="shared" si="17"/>
        <v>1</v>
      </c>
      <c r="N30" s="390"/>
      <c r="O30" s="381">
        <f t="shared" si="18"/>
        <v>1</v>
      </c>
      <c r="P30" s="390"/>
      <c r="Q30" s="381">
        <f t="shared" si="19"/>
        <v>1</v>
      </c>
      <c r="R30" s="441">
        <f t="shared" si="20"/>
        <v>0</v>
      </c>
      <c r="S30" s="380">
        <f t="shared" si="11"/>
        <v>0</v>
      </c>
    </row>
    <row r="31" spans="1:45">
      <c r="A31" s="388"/>
      <c r="B31" s="389"/>
      <c r="C31" s="381">
        <f t="shared" si="12"/>
        <v>1</v>
      </c>
      <c r="D31" s="390"/>
      <c r="E31" s="381">
        <f t="shared" si="13"/>
        <v>1</v>
      </c>
      <c r="F31" s="390"/>
      <c r="G31" s="381">
        <f t="shared" si="14"/>
        <v>1</v>
      </c>
      <c r="H31" s="390"/>
      <c r="I31" s="381">
        <f t="shared" si="15"/>
        <v>1</v>
      </c>
      <c r="J31" s="390"/>
      <c r="K31" s="381">
        <f t="shared" si="16"/>
        <v>1</v>
      </c>
      <c r="L31" s="390"/>
      <c r="M31" s="381">
        <f t="shared" si="17"/>
        <v>1</v>
      </c>
      <c r="N31" s="390"/>
      <c r="O31" s="381">
        <f t="shared" si="18"/>
        <v>1</v>
      </c>
      <c r="P31" s="390"/>
      <c r="Q31" s="381">
        <f t="shared" si="19"/>
        <v>1</v>
      </c>
      <c r="R31" s="441">
        <f t="shared" si="20"/>
        <v>0</v>
      </c>
      <c r="S31" s="380">
        <f t="shared" si="11"/>
        <v>0</v>
      </c>
    </row>
    <row r="32" spans="1:45">
      <c r="A32" s="388"/>
      <c r="B32" s="389"/>
      <c r="C32" s="381">
        <f t="shared" si="12"/>
        <v>1</v>
      </c>
      <c r="D32" s="390"/>
      <c r="E32" s="381">
        <f t="shared" si="13"/>
        <v>1</v>
      </c>
      <c r="F32" s="390"/>
      <c r="G32" s="381">
        <f t="shared" si="14"/>
        <v>1</v>
      </c>
      <c r="H32" s="390"/>
      <c r="I32" s="381">
        <f t="shared" si="15"/>
        <v>1</v>
      </c>
      <c r="J32" s="390"/>
      <c r="K32" s="381">
        <f t="shared" si="16"/>
        <v>1</v>
      </c>
      <c r="L32" s="390"/>
      <c r="M32" s="381">
        <f t="shared" si="17"/>
        <v>1</v>
      </c>
      <c r="N32" s="390"/>
      <c r="O32" s="381">
        <f t="shared" si="18"/>
        <v>1</v>
      </c>
      <c r="P32" s="390"/>
      <c r="Q32" s="381">
        <f t="shared" si="19"/>
        <v>1</v>
      </c>
      <c r="R32" s="441">
        <f t="shared" si="20"/>
        <v>0</v>
      </c>
      <c r="S32" s="380">
        <f t="shared" si="11"/>
        <v>0</v>
      </c>
    </row>
    <row r="33" spans="1:19">
      <c r="A33" s="388"/>
      <c r="B33" s="389"/>
      <c r="C33" s="381">
        <f t="shared" si="12"/>
        <v>1</v>
      </c>
      <c r="D33" s="390"/>
      <c r="E33" s="381">
        <f t="shared" si="13"/>
        <v>1</v>
      </c>
      <c r="F33" s="390"/>
      <c r="G33" s="381">
        <f t="shared" si="14"/>
        <v>1</v>
      </c>
      <c r="H33" s="390"/>
      <c r="I33" s="381">
        <f t="shared" si="15"/>
        <v>1</v>
      </c>
      <c r="J33" s="390"/>
      <c r="K33" s="381">
        <f t="shared" si="16"/>
        <v>1</v>
      </c>
      <c r="L33" s="390"/>
      <c r="M33" s="381">
        <f t="shared" si="17"/>
        <v>1</v>
      </c>
      <c r="N33" s="390"/>
      <c r="O33" s="381">
        <f t="shared" si="18"/>
        <v>1</v>
      </c>
      <c r="P33" s="390"/>
      <c r="Q33" s="381">
        <f t="shared" si="19"/>
        <v>1</v>
      </c>
      <c r="R33" s="441">
        <f t="shared" si="20"/>
        <v>0</v>
      </c>
      <c r="S33" s="380">
        <f t="shared" si="11"/>
        <v>0</v>
      </c>
    </row>
    <row r="34" spans="1:19">
      <c r="A34" s="388"/>
      <c r="B34" s="389"/>
      <c r="C34" s="381">
        <f t="shared" si="12"/>
        <v>1</v>
      </c>
      <c r="D34" s="390"/>
      <c r="E34" s="381">
        <f t="shared" si="13"/>
        <v>1</v>
      </c>
      <c r="F34" s="390"/>
      <c r="G34" s="381">
        <f t="shared" si="14"/>
        <v>1</v>
      </c>
      <c r="H34" s="390"/>
      <c r="I34" s="381">
        <f t="shared" si="15"/>
        <v>1</v>
      </c>
      <c r="J34" s="390"/>
      <c r="K34" s="381">
        <f t="shared" si="16"/>
        <v>1</v>
      </c>
      <c r="L34" s="390"/>
      <c r="M34" s="381">
        <f t="shared" si="17"/>
        <v>1</v>
      </c>
      <c r="N34" s="390"/>
      <c r="O34" s="381">
        <f t="shared" si="18"/>
        <v>1</v>
      </c>
      <c r="P34" s="390"/>
      <c r="Q34" s="381">
        <f t="shared" si="19"/>
        <v>1</v>
      </c>
      <c r="R34" s="441">
        <f t="shared" si="20"/>
        <v>0</v>
      </c>
      <c r="S34" s="380">
        <f t="shared" si="11"/>
        <v>0</v>
      </c>
    </row>
    <row r="35" spans="1:19">
      <c r="A35" s="388"/>
      <c r="B35" s="389"/>
      <c r="C35" s="381">
        <f t="shared" si="12"/>
        <v>1</v>
      </c>
      <c r="D35" s="390"/>
      <c r="E35" s="381">
        <f t="shared" si="13"/>
        <v>1</v>
      </c>
      <c r="F35" s="390"/>
      <c r="G35" s="381">
        <f t="shared" si="14"/>
        <v>1</v>
      </c>
      <c r="H35" s="390"/>
      <c r="I35" s="381">
        <f t="shared" si="15"/>
        <v>1</v>
      </c>
      <c r="J35" s="390"/>
      <c r="K35" s="381">
        <f t="shared" si="16"/>
        <v>1</v>
      </c>
      <c r="L35" s="390"/>
      <c r="M35" s="381">
        <f t="shared" si="17"/>
        <v>1</v>
      </c>
      <c r="N35" s="390"/>
      <c r="O35" s="381">
        <f t="shared" si="18"/>
        <v>1</v>
      </c>
      <c r="P35" s="390"/>
      <c r="Q35" s="381">
        <f t="shared" si="19"/>
        <v>1</v>
      </c>
      <c r="R35" s="441">
        <f t="shared" si="20"/>
        <v>0</v>
      </c>
      <c r="S35" s="380">
        <f t="shared" si="11"/>
        <v>0</v>
      </c>
    </row>
    <row r="36" spans="1:19">
      <c r="A36" s="388"/>
      <c r="B36" s="389"/>
      <c r="C36" s="381">
        <f t="shared" si="12"/>
        <v>1</v>
      </c>
      <c r="D36" s="390"/>
      <c r="E36" s="381">
        <f t="shared" si="13"/>
        <v>1</v>
      </c>
      <c r="F36" s="390"/>
      <c r="G36" s="381">
        <f t="shared" si="14"/>
        <v>1</v>
      </c>
      <c r="H36" s="390"/>
      <c r="I36" s="381">
        <f t="shared" si="15"/>
        <v>1</v>
      </c>
      <c r="J36" s="390"/>
      <c r="K36" s="381">
        <f t="shared" si="16"/>
        <v>1</v>
      </c>
      <c r="L36" s="390"/>
      <c r="M36" s="381">
        <f t="shared" si="17"/>
        <v>1</v>
      </c>
      <c r="N36" s="390"/>
      <c r="O36" s="381">
        <f t="shared" si="18"/>
        <v>1</v>
      </c>
      <c r="P36" s="390"/>
      <c r="Q36" s="381">
        <f t="shared" si="19"/>
        <v>1</v>
      </c>
      <c r="R36" s="441">
        <f t="shared" si="20"/>
        <v>0</v>
      </c>
      <c r="S36" s="380">
        <f t="shared" si="11"/>
        <v>0</v>
      </c>
    </row>
    <row r="37" spans="1:19">
      <c r="A37" s="388"/>
      <c r="B37" s="389"/>
      <c r="C37" s="381">
        <f t="shared" si="12"/>
        <v>1</v>
      </c>
      <c r="D37" s="390"/>
      <c r="E37" s="381">
        <f t="shared" si="13"/>
        <v>1</v>
      </c>
      <c r="F37" s="390"/>
      <c r="G37" s="381">
        <f t="shared" si="14"/>
        <v>1</v>
      </c>
      <c r="H37" s="390"/>
      <c r="I37" s="381">
        <f t="shared" si="15"/>
        <v>1</v>
      </c>
      <c r="J37" s="390"/>
      <c r="K37" s="381">
        <f t="shared" si="16"/>
        <v>1</v>
      </c>
      <c r="L37" s="390"/>
      <c r="M37" s="381">
        <f t="shared" si="17"/>
        <v>1</v>
      </c>
      <c r="N37" s="390"/>
      <c r="O37" s="381">
        <f t="shared" si="18"/>
        <v>1</v>
      </c>
      <c r="P37" s="390"/>
      <c r="Q37" s="381">
        <f t="shared" si="19"/>
        <v>1</v>
      </c>
      <c r="R37" s="441">
        <f t="shared" si="20"/>
        <v>0</v>
      </c>
      <c r="S37" s="380">
        <f t="shared" si="11"/>
        <v>0</v>
      </c>
    </row>
    <row r="38" spans="1:19">
      <c r="A38" s="388"/>
      <c r="B38" s="389"/>
      <c r="C38" s="381">
        <f t="shared" si="12"/>
        <v>1</v>
      </c>
      <c r="D38" s="390"/>
      <c r="E38" s="381">
        <f t="shared" si="13"/>
        <v>1</v>
      </c>
      <c r="F38" s="390"/>
      <c r="G38" s="381">
        <f t="shared" si="14"/>
        <v>1</v>
      </c>
      <c r="H38" s="390"/>
      <c r="I38" s="381">
        <f t="shared" si="15"/>
        <v>1</v>
      </c>
      <c r="J38" s="390"/>
      <c r="K38" s="381">
        <f t="shared" si="16"/>
        <v>1</v>
      </c>
      <c r="L38" s="390"/>
      <c r="M38" s="381">
        <f t="shared" si="17"/>
        <v>1</v>
      </c>
      <c r="N38" s="390"/>
      <c r="O38" s="381">
        <f t="shared" si="18"/>
        <v>1</v>
      </c>
      <c r="P38" s="390"/>
      <c r="Q38" s="381">
        <f t="shared" si="19"/>
        <v>1</v>
      </c>
      <c r="R38" s="441">
        <f t="shared" si="20"/>
        <v>0</v>
      </c>
      <c r="S38" s="380">
        <f t="shared" si="11"/>
        <v>0</v>
      </c>
    </row>
    <row r="39" spans="1:19">
      <c r="A39" s="388"/>
      <c r="B39" s="389"/>
      <c r="C39" s="381">
        <f t="shared" si="12"/>
        <v>1</v>
      </c>
      <c r="D39" s="390"/>
      <c r="E39" s="381">
        <f t="shared" si="13"/>
        <v>1</v>
      </c>
      <c r="F39" s="390"/>
      <c r="G39" s="381">
        <f t="shared" si="14"/>
        <v>1</v>
      </c>
      <c r="H39" s="390"/>
      <c r="I39" s="381">
        <f t="shared" si="15"/>
        <v>1</v>
      </c>
      <c r="J39" s="390"/>
      <c r="K39" s="381">
        <f t="shared" si="16"/>
        <v>1</v>
      </c>
      <c r="L39" s="390"/>
      <c r="M39" s="381">
        <f t="shared" si="17"/>
        <v>1</v>
      </c>
      <c r="N39" s="390"/>
      <c r="O39" s="381">
        <f t="shared" si="18"/>
        <v>1</v>
      </c>
      <c r="P39" s="390"/>
      <c r="Q39" s="381">
        <f t="shared" si="19"/>
        <v>1</v>
      </c>
      <c r="R39" s="441">
        <f t="shared" si="20"/>
        <v>0</v>
      </c>
      <c r="S39" s="380">
        <f t="shared" si="11"/>
        <v>0</v>
      </c>
    </row>
    <row r="40" spans="1:19">
      <c r="A40" s="388"/>
      <c r="B40" s="389"/>
      <c r="C40" s="381">
        <f t="shared" si="12"/>
        <v>1</v>
      </c>
      <c r="D40" s="390"/>
      <c r="E40" s="381">
        <f t="shared" si="13"/>
        <v>1</v>
      </c>
      <c r="F40" s="390"/>
      <c r="G40" s="381">
        <f t="shared" si="14"/>
        <v>1</v>
      </c>
      <c r="H40" s="390"/>
      <c r="I40" s="381">
        <f t="shared" si="15"/>
        <v>1</v>
      </c>
      <c r="J40" s="390"/>
      <c r="K40" s="381">
        <f t="shared" si="16"/>
        <v>1</v>
      </c>
      <c r="L40" s="390"/>
      <c r="M40" s="381">
        <f t="shared" si="17"/>
        <v>1</v>
      </c>
      <c r="N40" s="390"/>
      <c r="O40" s="381">
        <f t="shared" si="18"/>
        <v>1</v>
      </c>
      <c r="P40" s="390"/>
      <c r="Q40" s="381">
        <f t="shared" si="19"/>
        <v>1</v>
      </c>
      <c r="R40" s="441">
        <f t="shared" si="20"/>
        <v>0</v>
      </c>
      <c r="S40" s="380">
        <f t="shared" si="11"/>
        <v>0</v>
      </c>
    </row>
    <row r="41" spans="1:19">
      <c r="A41" s="388"/>
      <c r="B41" s="389"/>
      <c r="C41" s="381">
        <f t="shared" si="12"/>
        <v>1</v>
      </c>
      <c r="D41" s="390"/>
      <c r="E41" s="381">
        <f t="shared" si="13"/>
        <v>1</v>
      </c>
      <c r="F41" s="390"/>
      <c r="G41" s="381">
        <f t="shared" si="14"/>
        <v>1</v>
      </c>
      <c r="H41" s="390"/>
      <c r="I41" s="381">
        <f t="shared" si="15"/>
        <v>1</v>
      </c>
      <c r="J41" s="390"/>
      <c r="K41" s="381">
        <f t="shared" si="16"/>
        <v>1</v>
      </c>
      <c r="L41" s="390"/>
      <c r="M41" s="381">
        <f t="shared" si="17"/>
        <v>1</v>
      </c>
      <c r="N41" s="390"/>
      <c r="O41" s="381">
        <f t="shared" si="18"/>
        <v>1</v>
      </c>
      <c r="P41" s="390"/>
      <c r="Q41" s="381">
        <f t="shared" si="19"/>
        <v>1</v>
      </c>
      <c r="R41" s="441">
        <f t="shared" si="20"/>
        <v>0</v>
      </c>
      <c r="S41" s="380">
        <f t="shared" si="11"/>
        <v>0</v>
      </c>
    </row>
    <row r="42" spans="1:19">
      <c r="A42" s="388"/>
      <c r="B42" s="389"/>
      <c r="C42" s="381">
        <f t="shared" si="12"/>
        <v>1</v>
      </c>
      <c r="D42" s="390"/>
      <c r="E42" s="381">
        <f t="shared" si="13"/>
        <v>1</v>
      </c>
      <c r="F42" s="390"/>
      <c r="G42" s="381">
        <f t="shared" si="14"/>
        <v>1</v>
      </c>
      <c r="H42" s="390"/>
      <c r="I42" s="381">
        <f t="shared" si="15"/>
        <v>1</v>
      </c>
      <c r="J42" s="390"/>
      <c r="K42" s="381">
        <f t="shared" si="16"/>
        <v>1</v>
      </c>
      <c r="L42" s="390"/>
      <c r="M42" s="381">
        <f t="shared" si="17"/>
        <v>1</v>
      </c>
      <c r="N42" s="390"/>
      <c r="O42" s="381">
        <f t="shared" si="18"/>
        <v>1</v>
      </c>
      <c r="P42" s="390"/>
      <c r="Q42" s="381">
        <f t="shared" si="19"/>
        <v>1</v>
      </c>
      <c r="R42" s="441">
        <f t="shared" si="20"/>
        <v>0</v>
      </c>
      <c r="S42" s="380">
        <f t="shared" si="11"/>
        <v>0</v>
      </c>
    </row>
    <row r="43" spans="1:19">
      <c r="A43" s="388"/>
      <c r="B43" s="389"/>
      <c r="C43" s="381">
        <f t="shared" si="12"/>
        <v>1</v>
      </c>
      <c r="D43" s="390"/>
      <c r="E43" s="381">
        <f t="shared" si="13"/>
        <v>1</v>
      </c>
      <c r="F43" s="390"/>
      <c r="G43" s="381">
        <f t="shared" si="14"/>
        <v>1</v>
      </c>
      <c r="H43" s="390"/>
      <c r="I43" s="381">
        <f t="shared" si="15"/>
        <v>1</v>
      </c>
      <c r="J43" s="390"/>
      <c r="K43" s="381">
        <f t="shared" si="16"/>
        <v>1</v>
      </c>
      <c r="L43" s="390"/>
      <c r="M43" s="381">
        <f t="shared" si="17"/>
        <v>1</v>
      </c>
      <c r="N43" s="390"/>
      <c r="O43" s="381">
        <f t="shared" si="18"/>
        <v>1</v>
      </c>
      <c r="P43" s="390"/>
      <c r="Q43" s="381">
        <f t="shared" si="19"/>
        <v>1</v>
      </c>
      <c r="R43" s="441">
        <f t="shared" si="20"/>
        <v>0</v>
      </c>
      <c r="S43" s="380">
        <f t="shared" si="11"/>
        <v>0</v>
      </c>
    </row>
    <row r="44" spans="1:19">
      <c r="A44" s="388"/>
      <c r="B44" s="389"/>
      <c r="C44" s="381">
        <f t="shared" si="12"/>
        <v>1</v>
      </c>
      <c r="D44" s="390"/>
      <c r="E44" s="381">
        <f t="shared" si="13"/>
        <v>1</v>
      </c>
      <c r="F44" s="390"/>
      <c r="G44" s="381">
        <f t="shared" si="14"/>
        <v>1</v>
      </c>
      <c r="H44" s="390"/>
      <c r="I44" s="381">
        <f t="shared" si="15"/>
        <v>1</v>
      </c>
      <c r="J44" s="390"/>
      <c r="K44" s="381">
        <f t="shared" si="16"/>
        <v>1</v>
      </c>
      <c r="L44" s="390"/>
      <c r="M44" s="381">
        <f t="shared" si="17"/>
        <v>1</v>
      </c>
      <c r="N44" s="390"/>
      <c r="O44" s="381">
        <f t="shared" si="18"/>
        <v>1</v>
      </c>
      <c r="P44" s="390"/>
      <c r="Q44" s="381">
        <f t="shared" si="19"/>
        <v>1</v>
      </c>
      <c r="R44" s="441">
        <f t="shared" si="20"/>
        <v>0</v>
      </c>
      <c r="S44" s="380">
        <f t="shared" si="11"/>
        <v>0</v>
      </c>
    </row>
    <row r="45" spans="1:19">
      <c r="A45" s="388"/>
      <c r="B45" s="389"/>
      <c r="C45" s="381">
        <f t="shared" si="12"/>
        <v>1</v>
      </c>
      <c r="D45" s="390"/>
      <c r="E45" s="381">
        <f t="shared" si="13"/>
        <v>1</v>
      </c>
      <c r="F45" s="390"/>
      <c r="G45" s="381">
        <f t="shared" si="14"/>
        <v>1</v>
      </c>
      <c r="H45" s="390"/>
      <c r="I45" s="381">
        <f t="shared" si="15"/>
        <v>1</v>
      </c>
      <c r="J45" s="390"/>
      <c r="K45" s="381">
        <f t="shared" si="16"/>
        <v>1</v>
      </c>
      <c r="L45" s="390"/>
      <c r="M45" s="381">
        <f t="shared" si="17"/>
        <v>1</v>
      </c>
      <c r="N45" s="390"/>
      <c r="O45" s="381">
        <f t="shared" si="18"/>
        <v>1</v>
      </c>
      <c r="P45" s="390"/>
      <c r="Q45" s="381">
        <f t="shared" si="19"/>
        <v>1</v>
      </c>
      <c r="R45" s="441">
        <f t="shared" si="20"/>
        <v>0</v>
      </c>
      <c r="S45" s="380">
        <f t="shared" si="11"/>
        <v>0</v>
      </c>
    </row>
    <row r="46" spans="1:19">
      <c r="A46" s="388"/>
      <c r="B46" s="389"/>
      <c r="C46" s="381">
        <f t="shared" si="12"/>
        <v>1</v>
      </c>
      <c r="D46" s="390"/>
      <c r="E46" s="381">
        <f t="shared" si="13"/>
        <v>1</v>
      </c>
      <c r="F46" s="390"/>
      <c r="G46" s="381">
        <f t="shared" si="14"/>
        <v>1</v>
      </c>
      <c r="H46" s="390"/>
      <c r="I46" s="381">
        <f t="shared" si="15"/>
        <v>1</v>
      </c>
      <c r="J46" s="390"/>
      <c r="K46" s="381">
        <f t="shared" si="16"/>
        <v>1</v>
      </c>
      <c r="L46" s="390"/>
      <c r="M46" s="381">
        <f t="shared" si="17"/>
        <v>1</v>
      </c>
      <c r="N46" s="390"/>
      <c r="O46" s="381">
        <f t="shared" si="18"/>
        <v>1</v>
      </c>
      <c r="P46" s="390"/>
      <c r="Q46" s="381">
        <f t="shared" si="19"/>
        <v>1</v>
      </c>
      <c r="R46" s="441">
        <f t="shared" si="20"/>
        <v>0</v>
      </c>
      <c r="S46" s="380">
        <f t="shared" si="11"/>
        <v>0</v>
      </c>
    </row>
    <row r="47" spans="1:19">
      <c r="A47" s="388"/>
      <c r="B47" s="389"/>
      <c r="C47" s="381">
        <f t="shared" si="12"/>
        <v>1</v>
      </c>
      <c r="D47" s="390"/>
      <c r="E47" s="381">
        <f t="shared" si="13"/>
        <v>1</v>
      </c>
      <c r="F47" s="390"/>
      <c r="G47" s="381">
        <f t="shared" si="14"/>
        <v>1</v>
      </c>
      <c r="H47" s="390"/>
      <c r="I47" s="381">
        <f t="shared" si="15"/>
        <v>1</v>
      </c>
      <c r="J47" s="390"/>
      <c r="K47" s="381">
        <f t="shared" si="16"/>
        <v>1</v>
      </c>
      <c r="L47" s="390"/>
      <c r="M47" s="381">
        <f t="shared" si="17"/>
        <v>1</v>
      </c>
      <c r="N47" s="390"/>
      <c r="O47" s="381">
        <f t="shared" si="18"/>
        <v>1</v>
      </c>
      <c r="P47" s="390"/>
      <c r="Q47" s="381">
        <f t="shared" si="19"/>
        <v>1</v>
      </c>
      <c r="R47" s="441">
        <f t="shared" si="20"/>
        <v>0</v>
      </c>
      <c r="S47" s="380">
        <f t="shared" si="11"/>
        <v>0</v>
      </c>
    </row>
    <row r="48" spans="1:19">
      <c r="A48" s="388"/>
      <c r="B48" s="389"/>
      <c r="C48" s="381">
        <f t="shared" si="12"/>
        <v>1</v>
      </c>
      <c r="D48" s="390"/>
      <c r="E48" s="381">
        <f t="shared" si="13"/>
        <v>1</v>
      </c>
      <c r="F48" s="390"/>
      <c r="G48" s="381">
        <f t="shared" si="14"/>
        <v>1</v>
      </c>
      <c r="H48" s="390"/>
      <c r="I48" s="381">
        <f t="shared" si="15"/>
        <v>1</v>
      </c>
      <c r="J48" s="390"/>
      <c r="K48" s="381">
        <f t="shared" si="16"/>
        <v>1</v>
      </c>
      <c r="L48" s="390"/>
      <c r="M48" s="381">
        <f t="shared" si="17"/>
        <v>1</v>
      </c>
      <c r="N48" s="390"/>
      <c r="O48" s="381">
        <f t="shared" si="18"/>
        <v>1</v>
      </c>
      <c r="P48" s="390"/>
      <c r="Q48" s="381">
        <f t="shared" si="19"/>
        <v>1</v>
      </c>
      <c r="R48" s="441">
        <f t="shared" si="20"/>
        <v>0</v>
      </c>
      <c r="S48" s="380">
        <f t="shared" si="11"/>
        <v>0</v>
      </c>
    </row>
    <row r="49" spans="1:19">
      <c r="A49" s="388"/>
      <c r="B49" s="389"/>
      <c r="C49" s="381">
        <f t="shared" si="12"/>
        <v>1</v>
      </c>
      <c r="D49" s="390"/>
      <c r="E49" s="381">
        <f t="shared" si="13"/>
        <v>1</v>
      </c>
      <c r="F49" s="390"/>
      <c r="G49" s="381">
        <f t="shared" si="14"/>
        <v>1</v>
      </c>
      <c r="H49" s="390"/>
      <c r="I49" s="381">
        <f t="shared" si="15"/>
        <v>1</v>
      </c>
      <c r="J49" s="390"/>
      <c r="K49" s="381">
        <f t="shared" si="16"/>
        <v>1</v>
      </c>
      <c r="L49" s="390"/>
      <c r="M49" s="381">
        <f t="shared" si="17"/>
        <v>1</v>
      </c>
      <c r="N49" s="390"/>
      <c r="O49" s="381">
        <f t="shared" si="18"/>
        <v>1</v>
      </c>
      <c r="P49" s="390"/>
      <c r="Q49" s="381">
        <f t="shared" si="19"/>
        <v>1</v>
      </c>
      <c r="R49" s="441">
        <f t="shared" si="20"/>
        <v>0</v>
      </c>
      <c r="S49" s="380">
        <f t="shared" si="11"/>
        <v>0</v>
      </c>
    </row>
    <row r="50" spans="1:19">
      <c r="A50" s="388"/>
      <c r="B50" s="389"/>
      <c r="C50" s="381">
        <f t="shared" si="12"/>
        <v>1</v>
      </c>
      <c r="D50" s="390"/>
      <c r="E50" s="381">
        <f t="shared" si="13"/>
        <v>1</v>
      </c>
      <c r="F50" s="390"/>
      <c r="G50" s="381">
        <f t="shared" si="14"/>
        <v>1</v>
      </c>
      <c r="H50" s="390"/>
      <c r="I50" s="381">
        <f t="shared" si="15"/>
        <v>1</v>
      </c>
      <c r="J50" s="390"/>
      <c r="K50" s="381">
        <f t="shared" si="16"/>
        <v>1</v>
      </c>
      <c r="L50" s="390"/>
      <c r="M50" s="381">
        <f t="shared" si="17"/>
        <v>1</v>
      </c>
      <c r="N50" s="390"/>
      <c r="O50" s="381">
        <f t="shared" si="18"/>
        <v>1</v>
      </c>
      <c r="P50" s="390"/>
      <c r="Q50" s="381">
        <f t="shared" si="19"/>
        <v>1</v>
      </c>
      <c r="R50" s="441">
        <f t="shared" si="20"/>
        <v>0</v>
      </c>
      <c r="S50" s="380">
        <f t="shared" si="11"/>
        <v>0</v>
      </c>
    </row>
    <row r="51" spans="1:19">
      <c r="A51" s="388"/>
      <c r="B51" s="389"/>
      <c r="C51" s="381">
        <f t="shared" si="12"/>
        <v>1</v>
      </c>
      <c r="D51" s="390"/>
      <c r="E51" s="381">
        <f t="shared" si="13"/>
        <v>1</v>
      </c>
      <c r="F51" s="390"/>
      <c r="G51" s="381">
        <f t="shared" si="14"/>
        <v>1</v>
      </c>
      <c r="H51" s="390"/>
      <c r="I51" s="381">
        <f t="shared" si="15"/>
        <v>1</v>
      </c>
      <c r="J51" s="390"/>
      <c r="K51" s="381">
        <f t="shared" si="16"/>
        <v>1</v>
      </c>
      <c r="L51" s="390"/>
      <c r="M51" s="381">
        <f t="shared" si="17"/>
        <v>1</v>
      </c>
      <c r="N51" s="390"/>
      <c r="O51" s="381">
        <f t="shared" si="18"/>
        <v>1</v>
      </c>
      <c r="P51" s="390"/>
      <c r="Q51" s="381">
        <f t="shared" si="19"/>
        <v>1</v>
      </c>
      <c r="R51" s="441">
        <f t="shared" si="20"/>
        <v>0</v>
      </c>
      <c r="S51" s="380">
        <f t="shared" si="11"/>
        <v>0</v>
      </c>
    </row>
    <row r="52" spans="1:19">
      <c r="A52" s="388"/>
      <c r="B52" s="389"/>
      <c r="C52" s="381">
        <f t="shared" si="12"/>
        <v>1</v>
      </c>
      <c r="D52" s="390"/>
      <c r="E52" s="381">
        <f t="shared" si="13"/>
        <v>1</v>
      </c>
      <c r="F52" s="390"/>
      <c r="G52" s="381">
        <f t="shared" si="14"/>
        <v>1</v>
      </c>
      <c r="H52" s="390"/>
      <c r="I52" s="381">
        <f t="shared" si="15"/>
        <v>1</v>
      </c>
      <c r="J52" s="390"/>
      <c r="K52" s="381">
        <f t="shared" si="16"/>
        <v>1</v>
      </c>
      <c r="L52" s="390"/>
      <c r="M52" s="381">
        <f t="shared" si="17"/>
        <v>1</v>
      </c>
      <c r="N52" s="390"/>
      <c r="O52" s="381">
        <f t="shared" si="18"/>
        <v>1</v>
      </c>
      <c r="P52" s="390"/>
      <c r="Q52" s="381">
        <f t="shared" si="19"/>
        <v>1</v>
      </c>
      <c r="R52" s="441">
        <f t="shared" si="20"/>
        <v>0</v>
      </c>
      <c r="S52" s="380">
        <f t="shared" si="11"/>
        <v>0</v>
      </c>
    </row>
    <row r="53" spans="1:19">
      <c r="A53" s="388"/>
      <c r="B53" s="389"/>
      <c r="C53" s="381">
        <f t="shared" si="12"/>
        <v>1</v>
      </c>
      <c r="D53" s="390"/>
      <c r="E53" s="381">
        <f t="shared" si="13"/>
        <v>1</v>
      </c>
      <c r="F53" s="390"/>
      <c r="G53" s="381">
        <f t="shared" si="14"/>
        <v>1</v>
      </c>
      <c r="H53" s="390"/>
      <c r="I53" s="381">
        <f t="shared" si="15"/>
        <v>1</v>
      </c>
      <c r="J53" s="390"/>
      <c r="K53" s="381">
        <f t="shared" si="16"/>
        <v>1</v>
      </c>
      <c r="L53" s="390"/>
      <c r="M53" s="381">
        <f t="shared" si="17"/>
        <v>1</v>
      </c>
      <c r="N53" s="390"/>
      <c r="O53" s="381">
        <f t="shared" si="18"/>
        <v>1</v>
      </c>
      <c r="P53" s="390"/>
      <c r="Q53" s="381">
        <f t="shared" si="19"/>
        <v>1</v>
      </c>
      <c r="R53" s="441">
        <f t="shared" si="20"/>
        <v>0</v>
      </c>
      <c r="S53" s="380">
        <f t="shared" si="11"/>
        <v>0</v>
      </c>
    </row>
    <row r="54" spans="1:19">
      <c r="A54" s="388"/>
      <c r="B54" s="389"/>
      <c r="C54" s="381">
        <f t="shared" si="12"/>
        <v>1</v>
      </c>
      <c r="D54" s="390"/>
      <c r="E54" s="381">
        <f t="shared" si="13"/>
        <v>1</v>
      </c>
      <c r="F54" s="390"/>
      <c r="G54" s="381">
        <f t="shared" si="14"/>
        <v>1</v>
      </c>
      <c r="H54" s="390"/>
      <c r="I54" s="381">
        <f t="shared" si="15"/>
        <v>1</v>
      </c>
      <c r="J54" s="390"/>
      <c r="K54" s="381">
        <f t="shared" si="16"/>
        <v>1</v>
      </c>
      <c r="L54" s="390"/>
      <c r="M54" s="381">
        <f t="shared" si="17"/>
        <v>1</v>
      </c>
      <c r="N54" s="390"/>
      <c r="O54" s="381">
        <f t="shared" si="18"/>
        <v>1</v>
      </c>
      <c r="P54" s="390"/>
      <c r="Q54" s="381">
        <f t="shared" si="19"/>
        <v>1</v>
      </c>
      <c r="R54" s="441">
        <f t="shared" si="20"/>
        <v>0</v>
      </c>
      <c r="S54" s="380">
        <f t="shared" si="11"/>
        <v>0</v>
      </c>
    </row>
    <row r="55" spans="1:19">
      <c r="A55" s="388"/>
      <c r="B55" s="389"/>
      <c r="C55" s="381">
        <f t="shared" si="12"/>
        <v>1</v>
      </c>
      <c r="D55" s="390"/>
      <c r="E55" s="381">
        <f t="shared" si="13"/>
        <v>1</v>
      </c>
      <c r="F55" s="390"/>
      <c r="G55" s="381">
        <f t="shared" si="14"/>
        <v>1</v>
      </c>
      <c r="H55" s="390"/>
      <c r="I55" s="381">
        <f t="shared" si="15"/>
        <v>1</v>
      </c>
      <c r="J55" s="390"/>
      <c r="K55" s="381">
        <f t="shared" si="16"/>
        <v>1</v>
      </c>
      <c r="L55" s="390"/>
      <c r="M55" s="381">
        <f t="shared" si="17"/>
        <v>1</v>
      </c>
      <c r="N55" s="390"/>
      <c r="O55" s="381">
        <f t="shared" si="18"/>
        <v>1</v>
      </c>
      <c r="P55" s="390"/>
      <c r="Q55" s="381">
        <f t="shared" si="19"/>
        <v>1</v>
      </c>
      <c r="R55" s="441">
        <f t="shared" si="20"/>
        <v>0</v>
      </c>
      <c r="S55" s="380">
        <f t="shared" ref="S55:S77" si="21">ROUND(R55*B55/10000,0)</f>
        <v>0</v>
      </c>
    </row>
    <row r="56" spans="1:19">
      <c r="A56" s="388"/>
      <c r="B56" s="389"/>
      <c r="C56" s="381">
        <f t="shared" si="12"/>
        <v>1</v>
      </c>
      <c r="D56" s="390"/>
      <c r="E56" s="381">
        <f t="shared" si="13"/>
        <v>1</v>
      </c>
      <c r="F56" s="390"/>
      <c r="G56" s="381">
        <f t="shared" si="14"/>
        <v>1</v>
      </c>
      <c r="H56" s="390"/>
      <c r="I56" s="381">
        <f t="shared" si="15"/>
        <v>1</v>
      </c>
      <c r="J56" s="390"/>
      <c r="K56" s="381">
        <f t="shared" si="16"/>
        <v>1</v>
      </c>
      <c r="L56" s="390"/>
      <c r="M56" s="381">
        <f t="shared" si="17"/>
        <v>1</v>
      </c>
      <c r="N56" s="390"/>
      <c r="O56" s="381">
        <f t="shared" si="18"/>
        <v>1</v>
      </c>
      <c r="P56" s="390"/>
      <c r="Q56" s="381">
        <f t="shared" si="19"/>
        <v>1</v>
      </c>
      <c r="R56" s="441">
        <f t="shared" si="20"/>
        <v>0</v>
      </c>
      <c r="S56" s="380">
        <f t="shared" si="21"/>
        <v>0</v>
      </c>
    </row>
    <row r="57" spans="1:19">
      <c r="A57" s="388"/>
      <c r="B57" s="389"/>
      <c r="C57" s="381">
        <f t="shared" si="12"/>
        <v>1</v>
      </c>
      <c r="D57" s="390"/>
      <c r="E57" s="381">
        <f t="shared" si="13"/>
        <v>1</v>
      </c>
      <c r="F57" s="390"/>
      <c r="G57" s="381">
        <f t="shared" si="14"/>
        <v>1</v>
      </c>
      <c r="H57" s="390"/>
      <c r="I57" s="381">
        <f t="shared" si="15"/>
        <v>1</v>
      </c>
      <c r="J57" s="390"/>
      <c r="K57" s="381">
        <f t="shared" si="16"/>
        <v>1</v>
      </c>
      <c r="L57" s="390"/>
      <c r="M57" s="381">
        <f t="shared" si="17"/>
        <v>1</v>
      </c>
      <c r="N57" s="390"/>
      <c r="O57" s="381">
        <f t="shared" si="18"/>
        <v>1</v>
      </c>
      <c r="P57" s="390"/>
      <c r="Q57" s="381">
        <f t="shared" si="19"/>
        <v>1</v>
      </c>
      <c r="R57" s="441">
        <f t="shared" si="20"/>
        <v>0</v>
      </c>
      <c r="S57" s="380">
        <f t="shared" si="21"/>
        <v>0</v>
      </c>
    </row>
    <row r="58" spans="1:19">
      <c r="A58" s="388"/>
      <c r="B58" s="389"/>
      <c r="C58" s="381">
        <f t="shared" si="12"/>
        <v>1</v>
      </c>
      <c r="D58" s="390"/>
      <c r="E58" s="381">
        <f t="shared" si="13"/>
        <v>1</v>
      </c>
      <c r="F58" s="390"/>
      <c r="G58" s="381">
        <f t="shared" si="14"/>
        <v>1</v>
      </c>
      <c r="H58" s="390"/>
      <c r="I58" s="381">
        <f t="shared" si="15"/>
        <v>1</v>
      </c>
      <c r="J58" s="390"/>
      <c r="K58" s="381">
        <f t="shared" si="16"/>
        <v>1</v>
      </c>
      <c r="L58" s="390"/>
      <c r="M58" s="381">
        <f t="shared" si="17"/>
        <v>1</v>
      </c>
      <c r="N58" s="390"/>
      <c r="O58" s="381">
        <f t="shared" si="18"/>
        <v>1</v>
      </c>
      <c r="P58" s="390"/>
      <c r="Q58" s="381">
        <f t="shared" si="19"/>
        <v>1</v>
      </c>
      <c r="R58" s="441">
        <f t="shared" si="20"/>
        <v>0</v>
      </c>
      <c r="S58" s="380">
        <f t="shared" si="21"/>
        <v>0</v>
      </c>
    </row>
    <row r="59" spans="1:19">
      <c r="A59" s="388"/>
      <c r="B59" s="389"/>
      <c r="C59" s="381">
        <f t="shared" si="12"/>
        <v>1</v>
      </c>
      <c r="D59" s="390"/>
      <c r="E59" s="381">
        <f t="shared" si="13"/>
        <v>1</v>
      </c>
      <c r="F59" s="390"/>
      <c r="G59" s="381">
        <f t="shared" si="14"/>
        <v>1</v>
      </c>
      <c r="H59" s="390"/>
      <c r="I59" s="381">
        <f t="shared" si="15"/>
        <v>1</v>
      </c>
      <c r="J59" s="390"/>
      <c r="K59" s="381">
        <f t="shared" si="16"/>
        <v>1</v>
      </c>
      <c r="L59" s="390"/>
      <c r="M59" s="381">
        <f t="shared" si="17"/>
        <v>1</v>
      </c>
      <c r="N59" s="390"/>
      <c r="O59" s="381">
        <f t="shared" si="18"/>
        <v>1</v>
      </c>
      <c r="P59" s="390"/>
      <c r="Q59" s="381">
        <f t="shared" si="19"/>
        <v>1</v>
      </c>
      <c r="R59" s="441">
        <f t="shared" si="20"/>
        <v>0</v>
      </c>
      <c r="S59" s="380">
        <f t="shared" si="21"/>
        <v>0</v>
      </c>
    </row>
    <row r="60" spans="1:19">
      <c r="A60" s="388"/>
      <c r="B60" s="389"/>
      <c r="C60" s="381">
        <f t="shared" si="12"/>
        <v>1</v>
      </c>
      <c r="D60" s="390"/>
      <c r="E60" s="381">
        <f t="shared" si="13"/>
        <v>1</v>
      </c>
      <c r="F60" s="390"/>
      <c r="G60" s="381">
        <f t="shared" si="14"/>
        <v>1</v>
      </c>
      <c r="H60" s="390"/>
      <c r="I60" s="381">
        <f t="shared" si="15"/>
        <v>1</v>
      </c>
      <c r="J60" s="390"/>
      <c r="K60" s="381">
        <f t="shared" si="16"/>
        <v>1</v>
      </c>
      <c r="L60" s="390"/>
      <c r="M60" s="381">
        <f t="shared" si="17"/>
        <v>1</v>
      </c>
      <c r="N60" s="390"/>
      <c r="O60" s="381">
        <f t="shared" si="18"/>
        <v>1</v>
      </c>
      <c r="P60" s="390"/>
      <c r="Q60" s="381">
        <f t="shared" si="19"/>
        <v>1</v>
      </c>
      <c r="R60" s="441">
        <f t="shared" si="20"/>
        <v>0</v>
      </c>
      <c r="S60" s="380">
        <f t="shared" si="21"/>
        <v>0</v>
      </c>
    </row>
    <row r="61" spans="1:19">
      <c r="A61" s="388"/>
      <c r="B61" s="389"/>
      <c r="C61" s="381">
        <f t="shared" si="12"/>
        <v>1</v>
      </c>
      <c r="D61" s="390"/>
      <c r="E61" s="381">
        <f t="shared" si="13"/>
        <v>1</v>
      </c>
      <c r="F61" s="390"/>
      <c r="G61" s="381">
        <f t="shared" si="14"/>
        <v>1</v>
      </c>
      <c r="H61" s="390"/>
      <c r="I61" s="381">
        <f t="shared" si="15"/>
        <v>1</v>
      </c>
      <c r="J61" s="390"/>
      <c r="K61" s="381">
        <f t="shared" si="16"/>
        <v>1</v>
      </c>
      <c r="L61" s="390"/>
      <c r="M61" s="381">
        <f t="shared" si="17"/>
        <v>1</v>
      </c>
      <c r="N61" s="390"/>
      <c r="O61" s="381">
        <f t="shared" si="18"/>
        <v>1</v>
      </c>
      <c r="P61" s="390"/>
      <c r="Q61" s="381">
        <f t="shared" si="19"/>
        <v>1</v>
      </c>
      <c r="R61" s="441">
        <f t="shared" si="20"/>
        <v>0</v>
      </c>
      <c r="S61" s="380">
        <f t="shared" si="21"/>
        <v>0</v>
      </c>
    </row>
    <row r="62" spans="1:19">
      <c r="A62" s="388"/>
      <c r="B62" s="389"/>
      <c r="C62" s="381">
        <f t="shared" si="12"/>
        <v>1</v>
      </c>
      <c r="D62" s="390"/>
      <c r="E62" s="381">
        <f t="shared" si="13"/>
        <v>1</v>
      </c>
      <c r="F62" s="390"/>
      <c r="G62" s="381">
        <f t="shared" si="14"/>
        <v>1</v>
      </c>
      <c r="H62" s="390"/>
      <c r="I62" s="381">
        <f t="shared" si="15"/>
        <v>1</v>
      </c>
      <c r="J62" s="390"/>
      <c r="K62" s="381">
        <f t="shared" si="16"/>
        <v>1</v>
      </c>
      <c r="L62" s="390"/>
      <c r="M62" s="381">
        <f t="shared" si="17"/>
        <v>1</v>
      </c>
      <c r="N62" s="390"/>
      <c r="O62" s="381">
        <f t="shared" si="18"/>
        <v>1</v>
      </c>
      <c r="P62" s="390"/>
      <c r="Q62" s="381">
        <f t="shared" si="19"/>
        <v>1</v>
      </c>
      <c r="R62" s="441">
        <f t="shared" si="20"/>
        <v>0</v>
      </c>
      <c r="S62" s="380">
        <f t="shared" si="21"/>
        <v>0</v>
      </c>
    </row>
    <row r="63" spans="1:19">
      <c r="A63" s="388"/>
      <c r="B63" s="389"/>
      <c r="C63" s="381">
        <f t="shared" si="12"/>
        <v>1</v>
      </c>
      <c r="D63" s="390"/>
      <c r="E63" s="381">
        <f t="shared" si="13"/>
        <v>1</v>
      </c>
      <c r="F63" s="390"/>
      <c r="G63" s="381">
        <f t="shared" si="14"/>
        <v>1</v>
      </c>
      <c r="H63" s="390"/>
      <c r="I63" s="381">
        <f t="shared" si="15"/>
        <v>1</v>
      </c>
      <c r="J63" s="390"/>
      <c r="K63" s="381">
        <f t="shared" si="16"/>
        <v>1</v>
      </c>
      <c r="L63" s="390"/>
      <c r="M63" s="381">
        <f t="shared" si="17"/>
        <v>1</v>
      </c>
      <c r="N63" s="390"/>
      <c r="O63" s="381">
        <f t="shared" si="18"/>
        <v>1</v>
      </c>
      <c r="P63" s="390"/>
      <c r="Q63" s="381">
        <f t="shared" si="19"/>
        <v>1</v>
      </c>
      <c r="R63" s="441">
        <f t="shared" si="20"/>
        <v>0</v>
      </c>
      <c r="S63" s="380">
        <f t="shared" si="21"/>
        <v>0</v>
      </c>
    </row>
    <row r="64" spans="1:19">
      <c r="A64" s="388"/>
      <c r="B64" s="389"/>
      <c r="C64" s="381">
        <f t="shared" si="12"/>
        <v>1</v>
      </c>
      <c r="D64" s="390"/>
      <c r="E64" s="381">
        <f t="shared" si="13"/>
        <v>1</v>
      </c>
      <c r="F64" s="390"/>
      <c r="G64" s="381">
        <f t="shared" si="14"/>
        <v>1</v>
      </c>
      <c r="H64" s="390"/>
      <c r="I64" s="381">
        <f t="shared" si="15"/>
        <v>1</v>
      </c>
      <c r="J64" s="390"/>
      <c r="K64" s="381">
        <f t="shared" si="16"/>
        <v>1</v>
      </c>
      <c r="L64" s="390"/>
      <c r="M64" s="381">
        <f t="shared" si="17"/>
        <v>1</v>
      </c>
      <c r="N64" s="390"/>
      <c r="O64" s="381">
        <f t="shared" si="18"/>
        <v>1</v>
      </c>
      <c r="P64" s="390"/>
      <c r="Q64" s="381">
        <f t="shared" si="19"/>
        <v>1</v>
      </c>
      <c r="R64" s="441">
        <f t="shared" si="20"/>
        <v>0</v>
      </c>
      <c r="S64" s="380">
        <f t="shared" si="21"/>
        <v>0</v>
      </c>
    </row>
    <row r="65" spans="1:19">
      <c r="A65" s="388"/>
      <c r="B65" s="389"/>
      <c r="C65" s="381">
        <f t="shared" si="12"/>
        <v>1</v>
      </c>
      <c r="D65" s="390"/>
      <c r="E65" s="381">
        <f t="shared" si="13"/>
        <v>1</v>
      </c>
      <c r="F65" s="390"/>
      <c r="G65" s="381">
        <f t="shared" si="14"/>
        <v>1</v>
      </c>
      <c r="H65" s="390"/>
      <c r="I65" s="381">
        <f t="shared" si="15"/>
        <v>1</v>
      </c>
      <c r="J65" s="390"/>
      <c r="K65" s="381">
        <f t="shared" si="16"/>
        <v>1</v>
      </c>
      <c r="L65" s="390"/>
      <c r="M65" s="381">
        <f t="shared" si="17"/>
        <v>1</v>
      </c>
      <c r="N65" s="390"/>
      <c r="O65" s="381">
        <f t="shared" si="18"/>
        <v>1</v>
      </c>
      <c r="P65" s="390"/>
      <c r="Q65" s="381">
        <f t="shared" si="19"/>
        <v>1</v>
      </c>
      <c r="R65" s="441">
        <f t="shared" si="20"/>
        <v>0</v>
      </c>
      <c r="S65" s="380">
        <f t="shared" si="21"/>
        <v>0</v>
      </c>
    </row>
    <row r="66" spans="1:19">
      <c r="A66" s="388"/>
      <c r="B66" s="389"/>
      <c r="C66" s="381">
        <f t="shared" si="12"/>
        <v>1</v>
      </c>
      <c r="D66" s="390"/>
      <c r="E66" s="381">
        <f t="shared" si="13"/>
        <v>1</v>
      </c>
      <c r="F66" s="390"/>
      <c r="G66" s="381">
        <f t="shared" si="14"/>
        <v>1</v>
      </c>
      <c r="H66" s="390"/>
      <c r="I66" s="381">
        <f t="shared" si="15"/>
        <v>1</v>
      </c>
      <c r="J66" s="390"/>
      <c r="K66" s="381">
        <f t="shared" si="16"/>
        <v>1</v>
      </c>
      <c r="L66" s="390"/>
      <c r="M66" s="381">
        <f t="shared" si="17"/>
        <v>1</v>
      </c>
      <c r="N66" s="390"/>
      <c r="O66" s="381">
        <f t="shared" si="18"/>
        <v>1</v>
      </c>
      <c r="P66" s="390"/>
      <c r="Q66" s="381">
        <f t="shared" si="19"/>
        <v>1</v>
      </c>
      <c r="R66" s="441">
        <f t="shared" si="20"/>
        <v>0</v>
      </c>
      <c r="S66" s="380">
        <f t="shared" si="21"/>
        <v>0</v>
      </c>
    </row>
    <row r="67" spans="1:19">
      <c r="A67" s="388"/>
      <c r="B67" s="389"/>
      <c r="C67" s="381">
        <f t="shared" si="12"/>
        <v>1</v>
      </c>
      <c r="D67" s="390"/>
      <c r="E67" s="381">
        <f t="shared" si="13"/>
        <v>1</v>
      </c>
      <c r="F67" s="390"/>
      <c r="G67" s="381">
        <f t="shared" si="14"/>
        <v>1</v>
      </c>
      <c r="H67" s="390"/>
      <c r="I67" s="381">
        <f t="shared" si="15"/>
        <v>1</v>
      </c>
      <c r="J67" s="390"/>
      <c r="K67" s="381">
        <f t="shared" si="16"/>
        <v>1</v>
      </c>
      <c r="L67" s="390"/>
      <c r="M67" s="381">
        <f t="shared" si="17"/>
        <v>1</v>
      </c>
      <c r="N67" s="390"/>
      <c r="O67" s="381">
        <f t="shared" si="18"/>
        <v>1</v>
      </c>
      <c r="P67" s="390"/>
      <c r="Q67" s="381">
        <f t="shared" si="19"/>
        <v>1</v>
      </c>
      <c r="R67" s="441">
        <f t="shared" si="20"/>
        <v>0</v>
      </c>
      <c r="S67" s="380">
        <f t="shared" si="21"/>
        <v>0</v>
      </c>
    </row>
    <row r="68" spans="1:19">
      <c r="A68" s="388"/>
      <c r="B68" s="389"/>
      <c r="C68" s="381">
        <f t="shared" si="12"/>
        <v>1</v>
      </c>
      <c r="D68" s="390"/>
      <c r="E68" s="381">
        <f t="shared" si="13"/>
        <v>1</v>
      </c>
      <c r="F68" s="390"/>
      <c r="G68" s="381">
        <f t="shared" si="14"/>
        <v>1</v>
      </c>
      <c r="H68" s="390"/>
      <c r="I68" s="381">
        <f t="shared" si="15"/>
        <v>1</v>
      </c>
      <c r="J68" s="390"/>
      <c r="K68" s="381">
        <f t="shared" si="16"/>
        <v>1</v>
      </c>
      <c r="L68" s="390"/>
      <c r="M68" s="381">
        <f t="shared" si="17"/>
        <v>1</v>
      </c>
      <c r="N68" s="390"/>
      <c r="O68" s="381">
        <f t="shared" si="18"/>
        <v>1</v>
      </c>
      <c r="P68" s="390"/>
      <c r="Q68" s="381">
        <f t="shared" si="19"/>
        <v>1</v>
      </c>
      <c r="R68" s="441">
        <f t="shared" si="20"/>
        <v>0</v>
      </c>
      <c r="S68" s="380">
        <f t="shared" si="21"/>
        <v>0</v>
      </c>
    </row>
    <row r="69" spans="1:19">
      <c r="A69" s="388"/>
      <c r="B69" s="389"/>
      <c r="C69" s="381">
        <f t="shared" si="12"/>
        <v>1</v>
      </c>
      <c r="D69" s="390"/>
      <c r="E69" s="381">
        <f t="shared" si="13"/>
        <v>1</v>
      </c>
      <c r="F69" s="390"/>
      <c r="G69" s="381">
        <f t="shared" si="14"/>
        <v>1</v>
      </c>
      <c r="H69" s="390"/>
      <c r="I69" s="381">
        <f t="shared" si="15"/>
        <v>1</v>
      </c>
      <c r="J69" s="390"/>
      <c r="K69" s="381">
        <f t="shared" si="16"/>
        <v>1</v>
      </c>
      <c r="L69" s="390"/>
      <c r="M69" s="381">
        <f t="shared" si="17"/>
        <v>1</v>
      </c>
      <c r="N69" s="390"/>
      <c r="O69" s="381">
        <f t="shared" si="18"/>
        <v>1</v>
      </c>
      <c r="P69" s="390"/>
      <c r="Q69" s="381">
        <f t="shared" si="19"/>
        <v>1</v>
      </c>
      <c r="R69" s="441">
        <f t="shared" si="20"/>
        <v>0</v>
      </c>
      <c r="S69" s="380">
        <f t="shared" si="21"/>
        <v>0</v>
      </c>
    </row>
    <row r="70" spans="1:19">
      <c r="A70" s="388"/>
      <c r="B70" s="389"/>
      <c r="C70" s="381">
        <f t="shared" si="12"/>
        <v>1</v>
      </c>
      <c r="D70" s="390"/>
      <c r="E70" s="381">
        <f t="shared" si="13"/>
        <v>1</v>
      </c>
      <c r="F70" s="390"/>
      <c r="G70" s="381">
        <f t="shared" si="14"/>
        <v>1</v>
      </c>
      <c r="H70" s="390"/>
      <c r="I70" s="381">
        <f t="shared" si="15"/>
        <v>1</v>
      </c>
      <c r="J70" s="390"/>
      <c r="K70" s="381">
        <f t="shared" si="16"/>
        <v>1</v>
      </c>
      <c r="L70" s="390"/>
      <c r="M70" s="381">
        <f t="shared" si="17"/>
        <v>1</v>
      </c>
      <c r="N70" s="390"/>
      <c r="O70" s="381">
        <f t="shared" si="18"/>
        <v>1</v>
      </c>
      <c r="P70" s="390"/>
      <c r="Q70" s="381">
        <f t="shared" si="19"/>
        <v>1</v>
      </c>
      <c r="R70" s="441">
        <f t="shared" si="20"/>
        <v>0</v>
      </c>
      <c r="S70" s="380">
        <f t="shared" si="21"/>
        <v>0</v>
      </c>
    </row>
    <row r="71" spans="1:19">
      <c r="A71" s="388"/>
      <c r="B71" s="389"/>
      <c r="C71" s="381">
        <f t="shared" si="12"/>
        <v>1</v>
      </c>
      <c r="D71" s="390"/>
      <c r="E71" s="381">
        <f t="shared" si="13"/>
        <v>1</v>
      </c>
      <c r="F71" s="390"/>
      <c r="G71" s="381">
        <f t="shared" si="14"/>
        <v>1</v>
      </c>
      <c r="H71" s="390"/>
      <c r="I71" s="381">
        <f t="shared" si="15"/>
        <v>1</v>
      </c>
      <c r="J71" s="390"/>
      <c r="K71" s="381">
        <f t="shared" si="16"/>
        <v>1</v>
      </c>
      <c r="L71" s="390"/>
      <c r="M71" s="381">
        <f t="shared" si="17"/>
        <v>1</v>
      </c>
      <c r="N71" s="390"/>
      <c r="O71" s="381">
        <f t="shared" si="18"/>
        <v>1</v>
      </c>
      <c r="P71" s="390"/>
      <c r="Q71" s="381">
        <f t="shared" si="19"/>
        <v>1</v>
      </c>
      <c r="R71" s="441">
        <f t="shared" si="20"/>
        <v>0</v>
      </c>
      <c r="S71" s="380">
        <f t="shared" si="21"/>
        <v>0</v>
      </c>
    </row>
    <row r="72" spans="1:19">
      <c r="A72" s="388"/>
      <c r="B72" s="389"/>
      <c r="C72" s="381">
        <f t="shared" si="12"/>
        <v>1</v>
      </c>
      <c r="D72" s="390"/>
      <c r="E72" s="381">
        <f t="shared" si="13"/>
        <v>1</v>
      </c>
      <c r="F72" s="390"/>
      <c r="G72" s="381">
        <f t="shared" si="14"/>
        <v>1</v>
      </c>
      <c r="H72" s="390"/>
      <c r="I72" s="381">
        <f t="shared" si="15"/>
        <v>1</v>
      </c>
      <c r="J72" s="390"/>
      <c r="K72" s="381">
        <f t="shared" si="16"/>
        <v>1</v>
      </c>
      <c r="L72" s="390"/>
      <c r="M72" s="381">
        <f t="shared" si="17"/>
        <v>1</v>
      </c>
      <c r="N72" s="390"/>
      <c r="O72" s="381">
        <f t="shared" si="18"/>
        <v>1</v>
      </c>
      <c r="P72" s="390"/>
      <c r="Q72" s="381">
        <f t="shared" si="19"/>
        <v>1</v>
      </c>
      <c r="R72" s="441">
        <f t="shared" si="20"/>
        <v>0</v>
      </c>
      <c r="S72" s="380">
        <f t="shared" si="21"/>
        <v>0</v>
      </c>
    </row>
    <row r="73" spans="1:19">
      <c r="A73" s="388"/>
      <c r="B73" s="389"/>
      <c r="C73" s="381">
        <f t="shared" si="12"/>
        <v>1</v>
      </c>
      <c r="D73" s="390"/>
      <c r="E73" s="381">
        <f t="shared" si="13"/>
        <v>1</v>
      </c>
      <c r="F73" s="390"/>
      <c r="G73" s="381">
        <f t="shared" si="14"/>
        <v>1</v>
      </c>
      <c r="H73" s="390"/>
      <c r="I73" s="381">
        <f t="shared" si="15"/>
        <v>1</v>
      </c>
      <c r="J73" s="390"/>
      <c r="K73" s="381">
        <f t="shared" si="16"/>
        <v>1</v>
      </c>
      <c r="L73" s="390"/>
      <c r="M73" s="381">
        <f t="shared" si="17"/>
        <v>1</v>
      </c>
      <c r="N73" s="390"/>
      <c r="O73" s="381">
        <f t="shared" si="18"/>
        <v>1</v>
      </c>
      <c r="P73" s="390"/>
      <c r="Q73" s="381">
        <f t="shared" si="19"/>
        <v>1</v>
      </c>
      <c r="R73" s="441">
        <f t="shared" si="20"/>
        <v>0</v>
      </c>
      <c r="S73" s="380">
        <f t="shared" si="21"/>
        <v>0</v>
      </c>
    </row>
    <row r="74" spans="1:19">
      <c r="A74" s="388"/>
      <c r="B74" s="389"/>
      <c r="C74" s="381">
        <f t="shared" si="12"/>
        <v>1</v>
      </c>
      <c r="D74" s="390"/>
      <c r="E74" s="381">
        <f t="shared" si="13"/>
        <v>1</v>
      </c>
      <c r="F74" s="390"/>
      <c r="G74" s="381">
        <f t="shared" si="14"/>
        <v>1</v>
      </c>
      <c r="H74" s="390"/>
      <c r="I74" s="381">
        <f t="shared" si="15"/>
        <v>1</v>
      </c>
      <c r="J74" s="390"/>
      <c r="K74" s="381">
        <f t="shared" si="16"/>
        <v>1</v>
      </c>
      <c r="L74" s="390"/>
      <c r="M74" s="381">
        <f t="shared" si="17"/>
        <v>1</v>
      </c>
      <c r="N74" s="390"/>
      <c r="O74" s="381">
        <f t="shared" si="18"/>
        <v>1</v>
      </c>
      <c r="P74" s="390"/>
      <c r="Q74" s="381">
        <f t="shared" si="19"/>
        <v>1</v>
      </c>
      <c r="R74" s="441">
        <f t="shared" si="20"/>
        <v>0</v>
      </c>
      <c r="S74" s="380">
        <f t="shared" si="21"/>
        <v>0</v>
      </c>
    </row>
    <row r="75" spans="1:19">
      <c r="A75" s="388"/>
      <c r="B75" s="389"/>
      <c r="C75" s="381">
        <f t="shared" si="12"/>
        <v>1</v>
      </c>
      <c r="D75" s="390"/>
      <c r="E75" s="381">
        <f t="shared" si="13"/>
        <v>1</v>
      </c>
      <c r="F75" s="390"/>
      <c r="G75" s="381">
        <f t="shared" si="14"/>
        <v>1</v>
      </c>
      <c r="H75" s="390"/>
      <c r="I75" s="381">
        <f t="shared" si="15"/>
        <v>1</v>
      </c>
      <c r="J75" s="390"/>
      <c r="K75" s="381">
        <f t="shared" si="16"/>
        <v>1</v>
      </c>
      <c r="L75" s="390"/>
      <c r="M75" s="381">
        <f t="shared" si="17"/>
        <v>1</v>
      </c>
      <c r="N75" s="390"/>
      <c r="O75" s="381">
        <f t="shared" si="18"/>
        <v>1</v>
      </c>
      <c r="P75" s="390"/>
      <c r="Q75" s="381">
        <f t="shared" si="19"/>
        <v>1</v>
      </c>
      <c r="R75" s="441">
        <f t="shared" si="20"/>
        <v>0</v>
      </c>
      <c r="S75" s="380">
        <f t="shared" si="21"/>
        <v>0</v>
      </c>
    </row>
    <row r="76" spans="1:19">
      <c r="A76" s="388"/>
      <c r="B76" s="389"/>
      <c r="C76" s="381">
        <f t="shared" si="12"/>
        <v>1</v>
      </c>
      <c r="D76" s="390"/>
      <c r="E76" s="381">
        <f t="shared" si="13"/>
        <v>1</v>
      </c>
      <c r="F76" s="390"/>
      <c r="G76" s="381">
        <f t="shared" si="14"/>
        <v>1</v>
      </c>
      <c r="H76" s="390"/>
      <c r="I76" s="381">
        <f t="shared" si="15"/>
        <v>1</v>
      </c>
      <c r="J76" s="390"/>
      <c r="K76" s="381">
        <f t="shared" si="16"/>
        <v>1</v>
      </c>
      <c r="L76" s="390"/>
      <c r="M76" s="381">
        <f t="shared" si="17"/>
        <v>1</v>
      </c>
      <c r="N76" s="390"/>
      <c r="O76" s="381">
        <f t="shared" si="18"/>
        <v>1</v>
      </c>
      <c r="P76" s="390"/>
      <c r="Q76" s="381">
        <f t="shared" si="19"/>
        <v>1</v>
      </c>
      <c r="R76" s="441">
        <f t="shared" si="20"/>
        <v>0</v>
      </c>
      <c r="S76" s="380">
        <f t="shared" si="21"/>
        <v>0</v>
      </c>
    </row>
    <row r="77" spans="1:19">
      <c r="A77" s="388"/>
      <c r="B77" s="389"/>
      <c r="C77" s="381">
        <f t="shared" si="12"/>
        <v>1</v>
      </c>
      <c r="D77" s="390"/>
      <c r="E77" s="381">
        <f t="shared" si="13"/>
        <v>1</v>
      </c>
      <c r="F77" s="390"/>
      <c r="G77" s="381">
        <f t="shared" si="14"/>
        <v>1</v>
      </c>
      <c r="H77" s="390"/>
      <c r="I77" s="381">
        <f t="shared" si="15"/>
        <v>1</v>
      </c>
      <c r="J77" s="390"/>
      <c r="K77" s="381">
        <f t="shared" si="16"/>
        <v>1</v>
      </c>
      <c r="L77" s="390"/>
      <c r="M77" s="381">
        <f t="shared" si="17"/>
        <v>1</v>
      </c>
      <c r="N77" s="390"/>
      <c r="O77" s="381">
        <f t="shared" si="18"/>
        <v>1</v>
      </c>
      <c r="P77" s="390"/>
      <c r="Q77" s="381">
        <f t="shared" si="19"/>
        <v>1</v>
      </c>
      <c r="R77" s="441">
        <f t="shared" si="20"/>
        <v>0</v>
      </c>
      <c r="S77" s="380">
        <f t="shared" si="21"/>
        <v>0</v>
      </c>
    </row>
    <row r="78" spans="1:19">
      <c r="A78" s="388"/>
      <c r="B78" s="389"/>
      <c r="C78" s="381">
        <f t="shared" si="12"/>
        <v>1</v>
      </c>
      <c r="D78" s="390"/>
      <c r="E78" s="381">
        <f t="shared" si="13"/>
        <v>1</v>
      </c>
      <c r="F78" s="390"/>
      <c r="G78" s="381">
        <f t="shared" si="14"/>
        <v>1</v>
      </c>
      <c r="H78" s="390"/>
      <c r="I78" s="381">
        <f t="shared" si="15"/>
        <v>1</v>
      </c>
      <c r="J78" s="390"/>
      <c r="K78" s="381">
        <f t="shared" si="16"/>
        <v>1</v>
      </c>
      <c r="L78" s="390"/>
      <c r="M78" s="381">
        <f t="shared" si="17"/>
        <v>1</v>
      </c>
      <c r="N78" s="390"/>
      <c r="O78" s="381">
        <f t="shared" si="18"/>
        <v>1</v>
      </c>
      <c r="P78" s="390"/>
      <c r="Q78" s="381">
        <f t="shared" si="19"/>
        <v>1</v>
      </c>
      <c r="R78" s="441">
        <f t="shared" si="20"/>
        <v>0</v>
      </c>
      <c r="S78" s="380">
        <f t="shared" ref="S78:S122" si="22">ROUND(R78*B78/10000,0)</f>
        <v>0</v>
      </c>
    </row>
    <row r="79" spans="1:19">
      <c r="A79" s="388"/>
      <c r="B79" s="389"/>
      <c r="C79" s="381">
        <f t="shared" si="12"/>
        <v>1</v>
      </c>
      <c r="D79" s="390"/>
      <c r="E79" s="381">
        <f t="shared" si="13"/>
        <v>1</v>
      </c>
      <c r="F79" s="390"/>
      <c r="G79" s="381">
        <f t="shared" si="14"/>
        <v>1</v>
      </c>
      <c r="H79" s="390"/>
      <c r="I79" s="381">
        <f t="shared" si="15"/>
        <v>1</v>
      </c>
      <c r="J79" s="390"/>
      <c r="K79" s="381">
        <f t="shared" si="16"/>
        <v>1</v>
      </c>
      <c r="L79" s="390"/>
      <c r="M79" s="381">
        <f t="shared" si="17"/>
        <v>1</v>
      </c>
      <c r="N79" s="390"/>
      <c r="O79" s="381">
        <f t="shared" si="18"/>
        <v>1</v>
      </c>
      <c r="P79" s="390"/>
      <c r="Q79" s="381">
        <f t="shared" si="19"/>
        <v>1</v>
      </c>
      <c r="R79" s="441">
        <f t="shared" si="20"/>
        <v>0</v>
      </c>
      <c r="S79" s="380">
        <f t="shared" si="22"/>
        <v>0</v>
      </c>
    </row>
    <row r="80" spans="1:19">
      <c r="A80" s="388"/>
      <c r="B80" s="389"/>
      <c r="C80" s="381">
        <f t="shared" si="12"/>
        <v>1</v>
      </c>
      <c r="D80" s="390"/>
      <c r="E80" s="381">
        <f t="shared" si="13"/>
        <v>1</v>
      </c>
      <c r="F80" s="390"/>
      <c r="G80" s="381">
        <f t="shared" si="14"/>
        <v>1</v>
      </c>
      <c r="H80" s="390"/>
      <c r="I80" s="381">
        <f t="shared" si="15"/>
        <v>1</v>
      </c>
      <c r="J80" s="390"/>
      <c r="K80" s="381">
        <f t="shared" si="16"/>
        <v>1</v>
      </c>
      <c r="L80" s="390"/>
      <c r="M80" s="381">
        <f t="shared" si="17"/>
        <v>1</v>
      </c>
      <c r="N80" s="390"/>
      <c r="O80" s="381">
        <f t="shared" si="18"/>
        <v>1</v>
      </c>
      <c r="P80" s="390"/>
      <c r="Q80" s="381">
        <f t="shared" si="19"/>
        <v>1</v>
      </c>
      <c r="R80" s="441">
        <f t="shared" si="20"/>
        <v>0</v>
      </c>
      <c r="S80" s="380">
        <f t="shared" si="22"/>
        <v>0</v>
      </c>
    </row>
    <row r="81" spans="1:19">
      <c r="A81" s="388"/>
      <c r="B81" s="389"/>
      <c r="C81" s="381">
        <f t="shared" si="12"/>
        <v>1</v>
      </c>
      <c r="D81" s="390"/>
      <c r="E81" s="381">
        <f t="shared" si="13"/>
        <v>1</v>
      </c>
      <c r="F81" s="390"/>
      <c r="G81" s="381">
        <f t="shared" si="14"/>
        <v>1</v>
      </c>
      <c r="H81" s="390"/>
      <c r="I81" s="381">
        <f t="shared" si="15"/>
        <v>1</v>
      </c>
      <c r="J81" s="390"/>
      <c r="K81" s="381">
        <f t="shared" si="16"/>
        <v>1</v>
      </c>
      <c r="L81" s="390"/>
      <c r="M81" s="381">
        <f t="shared" si="17"/>
        <v>1</v>
      </c>
      <c r="N81" s="390"/>
      <c r="O81" s="381">
        <f t="shared" si="18"/>
        <v>1</v>
      </c>
      <c r="P81" s="390"/>
      <c r="Q81" s="381">
        <f t="shared" si="19"/>
        <v>1</v>
      </c>
      <c r="R81" s="441">
        <f t="shared" si="20"/>
        <v>0</v>
      </c>
      <c r="S81" s="380">
        <f t="shared" si="22"/>
        <v>0</v>
      </c>
    </row>
    <row r="82" spans="1:19">
      <c r="A82" s="388"/>
      <c r="B82" s="389"/>
      <c r="C82" s="381">
        <f t="shared" si="12"/>
        <v>1</v>
      </c>
      <c r="D82" s="390"/>
      <c r="E82" s="381">
        <f t="shared" si="13"/>
        <v>1</v>
      </c>
      <c r="F82" s="390"/>
      <c r="G82" s="381">
        <f t="shared" si="14"/>
        <v>1</v>
      </c>
      <c r="H82" s="390"/>
      <c r="I82" s="381">
        <f t="shared" si="15"/>
        <v>1</v>
      </c>
      <c r="J82" s="390"/>
      <c r="K82" s="381">
        <f t="shared" si="16"/>
        <v>1</v>
      </c>
      <c r="L82" s="390"/>
      <c r="M82" s="381">
        <f t="shared" si="17"/>
        <v>1</v>
      </c>
      <c r="N82" s="390"/>
      <c r="O82" s="381">
        <f t="shared" si="18"/>
        <v>1</v>
      </c>
      <c r="P82" s="390"/>
      <c r="Q82" s="381">
        <f t="shared" si="19"/>
        <v>1</v>
      </c>
      <c r="R82" s="441">
        <f t="shared" si="20"/>
        <v>0</v>
      </c>
      <c r="S82" s="380">
        <f t="shared" si="22"/>
        <v>0</v>
      </c>
    </row>
    <row r="83" spans="1:19">
      <c r="A83" s="388"/>
      <c r="B83" s="389"/>
      <c r="C83" s="381">
        <f t="shared" si="12"/>
        <v>1</v>
      </c>
      <c r="D83" s="390"/>
      <c r="E83" s="381">
        <f t="shared" si="13"/>
        <v>1</v>
      </c>
      <c r="F83" s="390"/>
      <c r="G83" s="381">
        <f t="shared" si="14"/>
        <v>1</v>
      </c>
      <c r="H83" s="390"/>
      <c r="I83" s="381">
        <f t="shared" si="15"/>
        <v>1</v>
      </c>
      <c r="J83" s="390"/>
      <c r="K83" s="381">
        <f t="shared" si="16"/>
        <v>1</v>
      </c>
      <c r="L83" s="390"/>
      <c r="M83" s="381">
        <f t="shared" si="17"/>
        <v>1</v>
      </c>
      <c r="N83" s="390"/>
      <c r="O83" s="381">
        <f t="shared" si="18"/>
        <v>1</v>
      </c>
      <c r="P83" s="390"/>
      <c r="Q83" s="381">
        <f t="shared" si="19"/>
        <v>1</v>
      </c>
      <c r="R83" s="441">
        <f t="shared" si="20"/>
        <v>0</v>
      </c>
      <c r="S83" s="380">
        <f t="shared" si="22"/>
        <v>0</v>
      </c>
    </row>
    <row r="84" spans="1:19">
      <c r="A84" s="388"/>
      <c r="B84" s="389"/>
      <c r="C84" s="381">
        <f t="shared" si="12"/>
        <v>1</v>
      </c>
      <c r="D84" s="390"/>
      <c r="E84" s="381">
        <f t="shared" si="13"/>
        <v>1</v>
      </c>
      <c r="F84" s="390"/>
      <c r="G84" s="381">
        <f t="shared" si="14"/>
        <v>1</v>
      </c>
      <c r="H84" s="390"/>
      <c r="I84" s="381">
        <f t="shared" si="15"/>
        <v>1</v>
      </c>
      <c r="J84" s="390"/>
      <c r="K84" s="381">
        <f t="shared" si="16"/>
        <v>1</v>
      </c>
      <c r="L84" s="390"/>
      <c r="M84" s="381">
        <f t="shared" si="17"/>
        <v>1</v>
      </c>
      <c r="N84" s="390"/>
      <c r="O84" s="381">
        <f t="shared" si="18"/>
        <v>1</v>
      </c>
      <c r="P84" s="390"/>
      <c r="Q84" s="381">
        <f t="shared" si="19"/>
        <v>1</v>
      </c>
      <c r="R84" s="441">
        <f t="shared" si="20"/>
        <v>0</v>
      </c>
      <c r="S84" s="380">
        <f t="shared" si="22"/>
        <v>0</v>
      </c>
    </row>
    <row r="85" spans="1:19">
      <c r="A85" s="388"/>
      <c r="B85" s="389"/>
      <c r="C85" s="381">
        <f t="shared" si="12"/>
        <v>1</v>
      </c>
      <c r="D85" s="390"/>
      <c r="E85" s="381">
        <f t="shared" si="13"/>
        <v>1</v>
      </c>
      <c r="F85" s="390"/>
      <c r="G85" s="381">
        <f t="shared" si="14"/>
        <v>1</v>
      </c>
      <c r="H85" s="390"/>
      <c r="I85" s="381">
        <f t="shared" si="15"/>
        <v>1</v>
      </c>
      <c r="J85" s="390"/>
      <c r="K85" s="381">
        <f t="shared" si="16"/>
        <v>1</v>
      </c>
      <c r="L85" s="390"/>
      <c r="M85" s="381">
        <f t="shared" si="17"/>
        <v>1</v>
      </c>
      <c r="N85" s="390"/>
      <c r="O85" s="381">
        <f t="shared" si="18"/>
        <v>1</v>
      </c>
      <c r="P85" s="390"/>
      <c r="Q85" s="381">
        <f t="shared" si="19"/>
        <v>1</v>
      </c>
      <c r="R85" s="441">
        <f t="shared" si="20"/>
        <v>0</v>
      </c>
      <c r="S85" s="380">
        <f t="shared" si="22"/>
        <v>0</v>
      </c>
    </row>
    <row r="86" spans="1:19">
      <c r="A86" s="388"/>
      <c r="B86" s="389"/>
      <c r="C86" s="381">
        <f t="shared" si="12"/>
        <v>1</v>
      </c>
      <c r="D86" s="390"/>
      <c r="E86" s="381">
        <f t="shared" si="13"/>
        <v>1</v>
      </c>
      <c r="F86" s="390"/>
      <c r="G86" s="381">
        <f t="shared" si="14"/>
        <v>1</v>
      </c>
      <c r="H86" s="390"/>
      <c r="I86" s="381">
        <f t="shared" si="15"/>
        <v>1</v>
      </c>
      <c r="J86" s="390"/>
      <c r="K86" s="381">
        <f t="shared" si="16"/>
        <v>1</v>
      </c>
      <c r="L86" s="390"/>
      <c r="M86" s="381">
        <f t="shared" si="17"/>
        <v>1</v>
      </c>
      <c r="N86" s="390"/>
      <c r="O86" s="381">
        <f t="shared" si="18"/>
        <v>1</v>
      </c>
      <c r="P86" s="390"/>
      <c r="Q86" s="381">
        <f t="shared" si="19"/>
        <v>1</v>
      </c>
      <c r="R86" s="441">
        <f t="shared" si="20"/>
        <v>0</v>
      </c>
      <c r="S86" s="380">
        <f t="shared" si="22"/>
        <v>0</v>
      </c>
    </row>
    <row r="87" spans="1:19">
      <c r="A87" s="388"/>
      <c r="B87" s="389"/>
      <c r="C87" s="381">
        <f t="shared" si="12"/>
        <v>1</v>
      </c>
      <c r="D87" s="390"/>
      <c r="E87" s="381">
        <f t="shared" si="13"/>
        <v>1</v>
      </c>
      <c r="F87" s="390"/>
      <c r="G87" s="381">
        <f t="shared" si="14"/>
        <v>1</v>
      </c>
      <c r="H87" s="390"/>
      <c r="I87" s="381">
        <f t="shared" si="15"/>
        <v>1</v>
      </c>
      <c r="J87" s="390"/>
      <c r="K87" s="381">
        <f t="shared" si="16"/>
        <v>1</v>
      </c>
      <c r="L87" s="390"/>
      <c r="M87" s="381">
        <f t="shared" si="17"/>
        <v>1</v>
      </c>
      <c r="N87" s="390"/>
      <c r="O87" s="381">
        <f t="shared" si="18"/>
        <v>1</v>
      </c>
      <c r="P87" s="390"/>
      <c r="Q87" s="381">
        <f t="shared" si="19"/>
        <v>1</v>
      </c>
      <c r="R87" s="441">
        <f t="shared" si="20"/>
        <v>0</v>
      </c>
      <c r="S87" s="380">
        <f t="shared" si="22"/>
        <v>0</v>
      </c>
    </row>
    <row r="88" spans="1:19">
      <c r="A88" s="388"/>
      <c r="B88" s="389"/>
      <c r="C88" s="381">
        <f t="shared" si="12"/>
        <v>1</v>
      </c>
      <c r="D88" s="390"/>
      <c r="E88" s="381">
        <f t="shared" si="13"/>
        <v>1</v>
      </c>
      <c r="F88" s="390"/>
      <c r="G88" s="381">
        <f t="shared" si="14"/>
        <v>1</v>
      </c>
      <c r="H88" s="390"/>
      <c r="I88" s="381">
        <f t="shared" si="15"/>
        <v>1</v>
      </c>
      <c r="J88" s="390"/>
      <c r="K88" s="381">
        <f t="shared" si="16"/>
        <v>1</v>
      </c>
      <c r="L88" s="390"/>
      <c r="M88" s="381">
        <f t="shared" si="17"/>
        <v>1</v>
      </c>
      <c r="N88" s="390"/>
      <c r="O88" s="381">
        <f t="shared" si="18"/>
        <v>1</v>
      </c>
      <c r="P88" s="390"/>
      <c r="Q88" s="381">
        <f t="shared" si="19"/>
        <v>1</v>
      </c>
      <c r="R88" s="441">
        <f t="shared" si="20"/>
        <v>0</v>
      </c>
      <c r="S88" s="380">
        <f t="shared" si="22"/>
        <v>0</v>
      </c>
    </row>
    <row r="89" spans="1:19">
      <c r="A89" s="388"/>
      <c r="B89" s="389"/>
      <c r="C89" s="381">
        <f t="shared" si="12"/>
        <v>1</v>
      </c>
      <c r="D89" s="390"/>
      <c r="E89" s="381">
        <f t="shared" si="13"/>
        <v>1</v>
      </c>
      <c r="F89" s="390"/>
      <c r="G89" s="381">
        <f t="shared" si="14"/>
        <v>1</v>
      </c>
      <c r="H89" s="390"/>
      <c r="I89" s="381">
        <f t="shared" si="15"/>
        <v>1</v>
      </c>
      <c r="J89" s="390"/>
      <c r="K89" s="381">
        <f t="shared" si="16"/>
        <v>1</v>
      </c>
      <c r="L89" s="390"/>
      <c r="M89" s="381">
        <f t="shared" si="17"/>
        <v>1</v>
      </c>
      <c r="N89" s="390"/>
      <c r="O89" s="381">
        <f t="shared" si="18"/>
        <v>1</v>
      </c>
      <c r="P89" s="390"/>
      <c r="Q89" s="381">
        <f t="shared" si="19"/>
        <v>1</v>
      </c>
      <c r="R89" s="441">
        <f t="shared" si="20"/>
        <v>0</v>
      </c>
      <c r="S89" s="380">
        <f t="shared" si="22"/>
        <v>0</v>
      </c>
    </row>
    <row r="90" spans="1:19">
      <c r="A90" s="388"/>
      <c r="B90" s="389"/>
      <c r="C90" s="381">
        <f t="shared" ref="C90:C153" si="23">IF(B90="",1,(LOOKUP(B90,$3:$3,$4:$4)-LOOKUP($B$24,$3:$3,$4:$4)+100)/100)</f>
        <v>1</v>
      </c>
      <c r="D90" s="390"/>
      <c r="E90" s="381">
        <f t="shared" ref="E90:E153" si="24">(SUMIF($5:$5,D90,$6:$6)-SUMIF($5:$5,$D$24,$6:$6)+100)/100</f>
        <v>1</v>
      </c>
      <c r="F90" s="390"/>
      <c r="G90" s="381">
        <f t="shared" ref="G90:G153" si="25">(SUMIF($7:$7,F90,$8:$8)-SUMIF($7:$7,$F$24,$8:$8)+100)/100</f>
        <v>1</v>
      </c>
      <c r="H90" s="390"/>
      <c r="I90" s="381">
        <f t="shared" ref="I90:I153" si="26">(SUMIF($9:$9,H90,$10:$10)-SUMIF($9:$9,$H$24,$10:$10)+100)/100</f>
        <v>1</v>
      </c>
      <c r="J90" s="390"/>
      <c r="K90" s="381">
        <f t="shared" ref="K90:K153" si="27">(SUMIF($11:$11,J90,$12:$12)-SUMIF($11:$11,$J$24,$12:$12)+100)/100</f>
        <v>1</v>
      </c>
      <c r="L90" s="390"/>
      <c r="M90" s="381">
        <f t="shared" ref="M90:M153" si="28">(SUMIF($13:$13,L90,$14:$14)-SUMIF($13:$13,$L$24,$14:$14)+100)/100</f>
        <v>1</v>
      </c>
      <c r="N90" s="390"/>
      <c r="O90" s="381">
        <f t="shared" ref="O90:O153" si="29">(SUMIF($15:$15,N90,$16:$16)-SUMIF($15:$15,$N$24,$16:$16)+100)/100</f>
        <v>1</v>
      </c>
      <c r="P90" s="390"/>
      <c r="Q90" s="381">
        <f t="shared" ref="Q90:Q153" si="30">(SUMIF($17:$17,P90,$18:$18)-SUMIF($17:$17,$P$24,$18:$18)+100)/100</f>
        <v>1</v>
      </c>
      <c r="R90" s="441">
        <f t="shared" ref="R90:R153" si="31">IF(B90="",0,ROUND($R$24*C90*E90*G90*I90*K90*M90*O90*Q90,0))</f>
        <v>0</v>
      </c>
      <c r="S90" s="380">
        <f t="shared" si="22"/>
        <v>0</v>
      </c>
    </row>
    <row r="91" spans="1:19">
      <c r="A91" s="388"/>
      <c r="B91" s="389"/>
      <c r="C91" s="381">
        <f t="shared" si="23"/>
        <v>1</v>
      </c>
      <c r="D91" s="390"/>
      <c r="E91" s="381">
        <f t="shared" si="24"/>
        <v>1</v>
      </c>
      <c r="F91" s="390"/>
      <c r="G91" s="381">
        <f t="shared" si="25"/>
        <v>1</v>
      </c>
      <c r="H91" s="390"/>
      <c r="I91" s="381">
        <f t="shared" si="26"/>
        <v>1</v>
      </c>
      <c r="J91" s="390"/>
      <c r="K91" s="381">
        <f t="shared" si="27"/>
        <v>1</v>
      </c>
      <c r="L91" s="390"/>
      <c r="M91" s="381">
        <f t="shared" si="28"/>
        <v>1</v>
      </c>
      <c r="N91" s="390"/>
      <c r="O91" s="381">
        <f t="shared" si="29"/>
        <v>1</v>
      </c>
      <c r="P91" s="390"/>
      <c r="Q91" s="381">
        <f t="shared" si="30"/>
        <v>1</v>
      </c>
      <c r="R91" s="441">
        <f t="shared" si="31"/>
        <v>0</v>
      </c>
      <c r="S91" s="380">
        <f t="shared" si="22"/>
        <v>0</v>
      </c>
    </row>
    <row r="92" spans="1:19">
      <c r="A92" s="388"/>
      <c r="B92" s="389"/>
      <c r="C92" s="381">
        <f t="shared" si="23"/>
        <v>1</v>
      </c>
      <c r="D92" s="390"/>
      <c r="E92" s="381">
        <f t="shared" si="24"/>
        <v>1</v>
      </c>
      <c r="F92" s="390"/>
      <c r="G92" s="381">
        <f t="shared" si="25"/>
        <v>1</v>
      </c>
      <c r="H92" s="390"/>
      <c r="I92" s="381">
        <f t="shared" si="26"/>
        <v>1</v>
      </c>
      <c r="J92" s="390"/>
      <c r="K92" s="381">
        <f t="shared" si="27"/>
        <v>1</v>
      </c>
      <c r="L92" s="390"/>
      <c r="M92" s="381">
        <f t="shared" si="28"/>
        <v>1</v>
      </c>
      <c r="N92" s="390"/>
      <c r="O92" s="381">
        <f t="shared" si="29"/>
        <v>1</v>
      </c>
      <c r="P92" s="390"/>
      <c r="Q92" s="381">
        <f t="shared" si="30"/>
        <v>1</v>
      </c>
      <c r="R92" s="441">
        <f t="shared" si="31"/>
        <v>0</v>
      </c>
      <c r="S92" s="380">
        <f t="shared" si="22"/>
        <v>0</v>
      </c>
    </row>
    <row r="93" spans="1:19">
      <c r="A93" s="388"/>
      <c r="B93" s="389"/>
      <c r="C93" s="381">
        <f t="shared" si="23"/>
        <v>1</v>
      </c>
      <c r="D93" s="390"/>
      <c r="E93" s="381">
        <f t="shared" si="24"/>
        <v>1</v>
      </c>
      <c r="F93" s="390"/>
      <c r="G93" s="381">
        <f t="shared" si="25"/>
        <v>1</v>
      </c>
      <c r="H93" s="390"/>
      <c r="I93" s="381">
        <f t="shared" si="26"/>
        <v>1</v>
      </c>
      <c r="J93" s="390"/>
      <c r="K93" s="381">
        <f t="shared" si="27"/>
        <v>1</v>
      </c>
      <c r="L93" s="390"/>
      <c r="M93" s="381">
        <f t="shared" si="28"/>
        <v>1</v>
      </c>
      <c r="N93" s="390"/>
      <c r="O93" s="381">
        <f t="shared" si="29"/>
        <v>1</v>
      </c>
      <c r="P93" s="390"/>
      <c r="Q93" s="381">
        <f t="shared" si="30"/>
        <v>1</v>
      </c>
      <c r="R93" s="441">
        <f t="shared" si="31"/>
        <v>0</v>
      </c>
      <c r="S93" s="380">
        <f t="shared" si="22"/>
        <v>0</v>
      </c>
    </row>
    <row r="94" spans="1:19">
      <c r="A94" s="388"/>
      <c r="B94" s="389"/>
      <c r="C94" s="381">
        <f t="shared" si="23"/>
        <v>1</v>
      </c>
      <c r="D94" s="390"/>
      <c r="E94" s="381">
        <f t="shared" si="24"/>
        <v>1</v>
      </c>
      <c r="F94" s="390"/>
      <c r="G94" s="381">
        <f t="shared" si="25"/>
        <v>1</v>
      </c>
      <c r="H94" s="390"/>
      <c r="I94" s="381">
        <f t="shared" si="26"/>
        <v>1</v>
      </c>
      <c r="J94" s="390"/>
      <c r="K94" s="381">
        <f t="shared" si="27"/>
        <v>1</v>
      </c>
      <c r="L94" s="390"/>
      <c r="M94" s="381">
        <f t="shared" si="28"/>
        <v>1</v>
      </c>
      <c r="N94" s="390"/>
      <c r="O94" s="381">
        <f t="shared" si="29"/>
        <v>1</v>
      </c>
      <c r="P94" s="390"/>
      <c r="Q94" s="381">
        <f t="shared" si="30"/>
        <v>1</v>
      </c>
      <c r="R94" s="441">
        <f t="shared" si="31"/>
        <v>0</v>
      </c>
      <c r="S94" s="380">
        <f t="shared" si="22"/>
        <v>0</v>
      </c>
    </row>
    <row r="95" spans="1:19">
      <c r="A95" s="388"/>
      <c r="B95" s="389"/>
      <c r="C95" s="381">
        <f t="shared" si="23"/>
        <v>1</v>
      </c>
      <c r="D95" s="390"/>
      <c r="E95" s="381">
        <f t="shared" si="24"/>
        <v>1</v>
      </c>
      <c r="F95" s="390"/>
      <c r="G95" s="381">
        <f t="shared" si="25"/>
        <v>1</v>
      </c>
      <c r="H95" s="390"/>
      <c r="I95" s="381">
        <f t="shared" si="26"/>
        <v>1</v>
      </c>
      <c r="J95" s="390"/>
      <c r="K95" s="381">
        <f t="shared" si="27"/>
        <v>1</v>
      </c>
      <c r="L95" s="390"/>
      <c r="M95" s="381">
        <f t="shared" si="28"/>
        <v>1</v>
      </c>
      <c r="N95" s="390"/>
      <c r="O95" s="381">
        <f t="shared" si="29"/>
        <v>1</v>
      </c>
      <c r="P95" s="390"/>
      <c r="Q95" s="381">
        <f t="shared" si="30"/>
        <v>1</v>
      </c>
      <c r="R95" s="441">
        <f t="shared" si="31"/>
        <v>0</v>
      </c>
      <c r="S95" s="380">
        <f t="shared" si="22"/>
        <v>0</v>
      </c>
    </row>
    <row r="96" spans="1:19">
      <c r="A96" s="388"/>
      <c r="B96" s="389"/>
      <c r="C96" s="381">
        <f t="shared" si="23"/>
        <v>1</v>
      </c>
      <c r="D96" s="390"/>
      <c r="E96" s="381">
        <f t="shared" si="24"/>
        <v>1</v>
      </c>
      <c r="F96" s="390"/>
      <c r="G96" s="381">
        <f t="shared" si="25"/>
        <v>1</v>
      </c>
      <c r="H96" s="390"/>
      <c r="I96" s="381">
        <f t="shared" si="26"/>
        <v>1</v>
      </c>
      <c r="J96" s="390"/>
      <c r="K96" s="381">
        <f t="shared" si="27"/>
        <v>1</v>
      </c>
      <c r="L96" s="390"/>
      <c r="M96" s="381">
        <f t="shared" si="28"/>
        <v>1</v>
      </c>
      <c r="N96" s="390"/>
      <c r="O96" s="381">
        <f t="shared" si="29"/>
        <v>1</v>
      </c>
      <c r="P96" s="390"/>
      <c r="Q96" s="381">
        <f t="shared" si="30"/>
        <v>1</v>
      </c>
      <c r="R96" s="441">
        <f t="shared" si="31"/>
        <v>0</v>
      </c>
      <c r="S96" s="380">
        <f t="shared" si="22"/>
        <v>0</v>
      </c>
    </row>
    <row r="97" spans="1:19">
      <c r="A97" s="388"/>
      <c r="B97" s="389"/>
      <c r="C97" s="381">
        <f t="shared" si="23"/>
        <v>1</v>
      </c>
      <c r="D97" s="390"/>
      <c r="E97" s="381">
        <f t="shared" si="24"/>
        <v>1</v>
      </c>
      <c r="F97" s="390"/>
      <c r="G97" s="381">
        <f t="shared" si="25"/>
        <v>1</v>
      </c>
      <c r="H97" s="390"/>
      <c r="I97" s="381">
        <f t="shared" si="26"/>
        <v>1</v>
      </c>
      <c r="J97" s="390"/>
      <c r="K97" s="381">
        <f t="shared" si="27"/>
        <v>1</v>
      </c>
      <c r="L97" s="390"/>
      <c r="M97" s="381">
        <f t="shared" si="28"/>
        <v>1</v>
      </c>
      <c r="N97" s="390"/>
      <c r="O97" s="381">
        <f t="shared" si="29"/>
        <v>1</v>
      </c>
      <c r="P97" s="390"/>
      <c r="Q97" s="381">
        <f t="shared" si="30"/>
        <v>1</v>
      </c>
      <c r="R97" s="441">
        <f t="shared" si="31"/>
        <v>0</v>
      </c>
      <c r="S97" s="380">
        <f t="shared" si="22"/>
        <v>0</v>
      </c>
    </row>
    <row r="98" spans="1:19">
      <c r="A98" s="388"/>
      <c r="B98" s="389"/>
      <c r="C98" s="381">
        <f t="shared" si="23"/>
        <v>1</v>
      </c>
      <c r="D98" s="390"/>
      <c r="E98" s="381">
        <f t="shared" si="24"/>
        <v>1</v>
      </c>
      <c r="F98" s="390"/>
      <c r="G98" s="381">
        <f t="shared" si="25"/>
        <v>1</v>
      </c>
      <c r="H98" s="390"/>
      <c r="I98" s="381">
        <f t="shared" si="26"/>
        <v>1</v>
      </c>
      <c r="J98" s="390"/>
      <c r="K98" s="381">
        <f t="shared" si="27"/>
        <v>1</v>
      </c>
      <c r="L98" s="390"/>
      <c r="M98" s="381">
        <f t="shared" si="28"/>
        <v>1</v>
      </c>
      <c r="N98" s="390"/>
      <c r="O98" s="381">
        <f t="shared" si="29"/>
        <v>1</v>
      </c>
      <c r="P98" s="390"/>
      <c r="Q98" s="381">
        <f t="shared" si="30"/>
        <v>1</v>
      </c>
      <c r="R98" s="441">
        <f t="shared" si="31"/>
        <v>0</v>
      </c>
      <c r="S98" s="380">
        <f t="shared" si="22"/>
        <v>0</v>
      </c>
    </row>
    <row r="99" spans="1:19">
      <c r="A99" s="388"/>
      <c r="B99" s="389"/>
      <c r="C99" s="381">
        <f t="shared" si="23"/>
        <v>1</v>
      </c>
      <c r="D99" s="390"/>
      <c r="E99" s="381">
        <f t="shared" si="24"/>
        <v>1</v>
      </c>
      <c r="F99" s="390"/>
      <c r="G99" s="381">
        <f t="shared" si="25"/>
        <v>1</v>
      </c>
      <c r="H99" s="390"/>
      <c r="I99" s="381">
        <f t="shared" si="26"/>
        <v>1</v>
      </c>
      <c r="J99" s="390"/>
      <c r="K99" s="381">
        <f t="shared" si="27"/>
        <v>1</v>
      </c>
      <c r="L99" s="390"/>
      <c r="M99" s="381">
        <f t="shared" si="28"/>
        <v>1</v>
      </c>
      <c r="N99" s="390"/>
      <c r="O99" s="381">
        <f t="shared" si="29"/>
        <v>1</v>
      </c>
      <c r="P99" s="390"/>
      <c r="Q99" s="381">
        <f t="shared" si="30"/>
        <v>1</v>
      </c>
      <c r="R99" s="441">
        <f t="shared" si="31"/>
        <v>0</v>
      </c>
      <c r="S99" s="380">
        <f t="shared" si="22"/>
        <v>0</v>
      </c>
    </row>
    <row r="100" spans="1:19">
      <c r="A100" s="388"/>
      <c r="B100" s="389"/>
      <c r="C100" s="381">
        <f t="shared" si="23"/>
        <v>1</v>
      </c>
      <c r="D100" s="390"/>
      <c r="E100" s="381">
        <f t="shared" si="24"/>
        <v>1</v>
      </c>
      <c r="F100" s="390"/>
      <c r="G100" s="381">
        <f t="shared" si="25"/>
        <v>1</v>
      </c>
      <c r="H100" s="390"/>
      <c r="I100" s="381">
        <f t="shared" si="26"/>
        <v>1</v>
      </c>
      <c r="J100" s="390"/>
      <c r="K100" s="381">
        <f t="shared" si="27"/>
        <v>1</v>
      </c>
      <c r="L100" s="390"/>
      <c r="M100" s="381">
        <f t="shared" si="28"/>
        <v>1</v>
      </c>
      <c r="N100" s="390"/>
      <c r="O100" s="381">
        <f t="shared" si="29"/>
        <v>1</v>
      </c>
      <c r="P100" s="390"/>
      <c r="Q100" s="381">
        <f t="shared" si="30"/>
        <v>1</v>
      </c>
      <c r="R100" s="441">
        <f t="shared" si="31"/>
        <v>0</v>
      </c>
      <c r="S100" s="380">
        <f t="shared" si="22"/>
        <v>0</v>
      </c>
    </row>
    <row r="101" spans="1:19">
      <c r="A101" s="388"/>
      <c r="B101" s="389"/>
      <c r="C101" s="381">
        <f t="shared" si="23"/>
        <v>1</v>
      </c>
      <c r="D101" s="390"/>
      <c r="E101" s="381">
        <f t="shared" si="24"/>
        <v>1</v>
      </c>
      <c r="F101" s="390"/>
      <c r="G101" s="381">
        <f t="shared" si="25"/>
        <v>1</v>
      </c>
      <c r="H101" s="390"/>
      <c r="I101" s="381">
        <f t="shared" si="26"/>
        <v>1</v>
      </c>
      <c r="J101" s="390"/>
      <c r="K101" s="381">
        <f t="shared" si="27"/>
        <v>1</v>
      </c>
      <c r="L101" s="390"/>
      <c r="M101" s="381">
        <f t="shared" si="28"/>
        <v>1</v>
      </c>
      <c r="N101" s="390"/>
      <c r="O101" s="381">
        <f t="shared" si="29"/>
        <v>1</v>
      </c>
      <c r="P101" s="390"/>
      <c r="Q101" s="381">
        <f t="shared" si="30"/>
        <v>1</v>
      </c>
      <c r="R101" s="441">
        <f t="shared" si="31"/>
        <v>0</v>
      </c>
      <c r="S101" s="380">
        <f t="shared" si="22"/>
        <v>0</v>
      </c>
    </row>
    <row r="102" spans="1:19">
      <c r="A102" s="388"/>
      <c r="B102" s="389"/>
      <c r="C102" s="381">
        <f t="shared" si="23"/>
        <v>1</v>
      </c>
      <c r="D102" s="390"/>
      <c r="E102" s="381">
        <f t="shared" si="24"/>
        <v>1</v>
      </c>
      <c r="F102" s="390"/>
      <c r="G102" s="381">
        <f t="shared" si="25"/>
        <v>1</v>
      </c>
      <c r="H102" s="390"/>
      <c r="I102" s="381">
        <f t="shared" si="26"/>
        <v>1</v>
      </c>
      <c r="J102" s="390"/>
      <c r="K102" s="381">
        <f t="shared" si="27"/>
        <v>1</v>
      </c>
      <c r="L102" s="390"/>
      <c r="M102" s="381">
        <f t="shared" si="28"/>
        <v>1</v>
      </c>
      <c r="N102" s="390"/>
      <c r="O102" s="381">
        <f t="shared" si="29"/>
        <v>1</v>
      </c>
      <c r="P102" s="390"/>
      <c r="Q102" s="381">
        <f t="shared" si="30"/>
        <v>1</v>
      </c>
      <c r="R102" s="441">
        <f t="shared" si="31"/>
        <v>0</v>
      </c>
      <c r="S102" s="380">
        <f t="shared" si="22"/>
        <v>0</v>
      </c>
    </row>
    <row r="103" spans="1:19">
      <c r="A103" s="388"/>
      <c r="B103" s="389"/>
      <c r="C103" s="381">
        <f t="shared" si="23"/>
        <v>1</v>
      </c>
      <c r="D103" s="390"/>
      <c r="E103" s="381">
        <f t="shared" si="24"/>
        <v>1</v>
      </c>
      <c r="F103" s="390"/>
      <c r="G103" s="381">
        <f t="shared" si="25"/>
        <v>1</v>
      </c>
      <c r="H103" s="390"/>
      <c r="I103" s="381">
        <f t="shared" si="26"/>
        <v>1</v>
      </c>
      <c r="J103" s="390"/>
      <c r="K103" s="381">
        <f t="shared" si="27"/>
        <v>1</v>
      </c>
      <c r="L103" s="390"/>
      <c r="M103" s="381">
        <f t="shared" si="28"/>
        <v>1</v>
      </c>
      <c r="N103" s="390"/>
      <c r="O103" s="381">
        <f t="shared" si="29"/>
        <v>1</v>
      </c>
      <c r="P103" s="390"/>
      <c r="Q103" s="381">
        <f t="shared" si="30"/>
        <v>1</v>
      </c>
      <c r="R103" s="441">
        <f t="shared" si="31"/>
        <v>0</v>
      </c>
      <c r="S103" s="380">
        <f t="shared" si="22"/>
        <v>0</v>
      </c>
    </row>
    <row r="104" spans="1:19">
      <c r="A104" s="388"/>
      <c r="B104" s="389"/>
      <c r="C104" s="381">
        <f t="shared" si="23"/>
        <v>1</v>
      </c>
      <c r="D104" s="390"/>
      <c r="E104" s="381">
        <f t="shared" si="24"/>
        <v>1</v>
      </c>
      <c r="F104" s="390"/>
      <c r="G104" s="381">
        <f t="shared" si="25"/>
        <v>1</v>
      </c>
      <c r="H104" s="390"/>
      <c r="I104" s="381">
        <f t="shared" si="26"/>
        <v>1</v>
      </c>
      <c r="J104" s="390"/>
      <c r="K104" s="381">
        <f t="shared" si="27"/>
        <v>1</v>
      </c>
      <c r="L104" s="390"/>
      <c r="M104" s="381">
        <f t="shared" si="28"/>
        <v>1</v>
      </c>
      <c r="N104" s="390"/>
      <c r="O104" s="381">
        <f t="shared" si="29"/>
        <v>1</v>
      </c>
      <c r="P104" s="390"/>
      <c r="Q104" s="381">
        <f t="shared" si="30"/>
        <v>1</v>
      </c>
      <c r="R104" s="441">
        <f t="shared" si="31"/>
        <v>0</v>
      </c>
      <c r="S104" s="380">
        <f t="shared" si="22"/>
        <v>0</v>
      </c>
    </row>
    <row r="105" spans="1:19">
      <c r="A105" s="388"/>
      <c r="B105" s="389"/>
      <c r="C105" s="381">
        <f t="shared" si="23"/>
        <v>1</v>
      </c>
      <c r="D105" s="390"/>
      <c r="E105" s="381">
        <f t="shared" si="24"/>
        <v>1</v>
      </c>
      <c r="F105" s="390"/>
      <c r="G105" s="381">
        <f t="shared" si="25"/>
        <v>1</v>
      </c>
      <c r="H105" s="390"/>
      <c r="I105" s="381">
        <f t="shared" si="26"/>
        <v>1</v>
      </c>
      <c r="J105" s="390"/>
      <c r="K105" s="381">
        <f t="shared" si="27"/>
        <v>1</v>
      </c>
      <c r="L105" s="390"/>
      <c r="M105" s="381">
        <f t="shared" si="28"/>
        <v>1</v>
      </c>
      <c r="N105" s="390"/>
      <c r="O105" s="381">
        <f t="shared" si="29"/>
        <v>1</v>
      </c>
      <c r="P105" s="390"/>
      <c r="Q105" s="381">
        <f t="shared" si="30"/>
        <v>1</v>
      </c>
      <c r="R105" s="441">
        <f t="shared" si="31"/>
        <v>0</v>
      </c>
      <c r="S105" s="380">
        <f t="shared" si="22"/>
        <v>0</v>
      </c>
    </row>
    <row r="106" spans="1:19">
      <c r="A106" s="388"/>
      <c r="B106" s="389"/>
      <c r="C106" s="381">
        <f t="shared" si="23"/>
        <v>1</v>
      </c>
      <c r="D106" s="390"/>
      <c r="E106" s="381">
        <f t="shared" si="24"/>
        <v>1</v>
      </c>
      <c r="F106" s="390"/>
      <c r="G106" s="381">
        <f t="shared" si="25"/>
        <v>1</v>
      </c>
      <c r="H106" s="390"/>
      <c r="I106" s="381">
        <f t="shared" si="26"/>
        <v>1</v>
      </c>
      <c r="J106" s="390"/>
      <c r="K106" s="381">
        <f t="shared" si="27"/>
        <v>1</v>
      </c>
      <c r="L106" s="390"/>
      <c r="M106" s="381">
        <f t="shared" si="28"/>
        <v>1</v>
      </c>
      <c r="N106" s="390"/>
      <c r="O106" s="381">
        <f t="shared" si="29"/>
        <v>1</v>
      </c>
      <c r="P106" s="390"/>
      <c r="Q106" s="381">
        <f t="shared" si="30"/>
        <v>1</v>
      </c>
      <c r="R106" s="441">
        <f t="shared" si="31"/>
        <v>0</v>
      </c>
      <c r="S106" s="380">
        <f t="shared" si="22"/>
        <v>0</v>
      </c>
    </row>
    <row r="107" spans="1:19">
      <c r="A107" s="388"/>
      <c r="B107" s="389"/>
      <c r="C107" s="381">
        <f t="shared" si="23"/>
        <v>1</v>
      </c>
      <c r="D107" s="390"/>
      <c r="E107" s="381">
        <f t="shared" si="24"/>
        <v>1</v>
      </c>
      <c r="F107" s="390"/>
      <c r="G107" s="381">
        <f t="shared" si="25"/>
        <v>1</v>
      </c>
      <c r="H107" s="390"/>
      <c r="I107" s="381">
        <f t="shared" si="26"/>
        <v>1</v>
      </c>
      <c r="J107" s="390"/>
      <c r="K107" s="381">
        <f t="shared" si="27"/>
        <v>1</v>
      </c>
      <c r="L107" s="390"/>
      <c r="M107" s="381">
        <f t="shared" si="28"/>
        <v>1</v>
      </c>
      <c r="N107" s="390"/>
      <c r="O107" s="381">
        <f t="shared" si="29"/>
        <v>1</v>
      </c>
      <c r="P107" s="390"/>
      <c r="Q107" s="381">
        <f t="shared" si="30"/>
        <v>1</v>
      </c>
      <c r="R107" s="441">
        <f t="shared" si="31"/>
        <v>0</v>
      </c>
      <c r="S107" s="380">
        <f t="shared" si="22"/>
        <v>0</v>
      </c>
    </row>
    <row r="108" spans="1:19">
      <c r="A108" s="388"/>
      <c r="B108" s="389"/>
      <c r="C108" s="381">
        <f t="shared" si="23"/>
        <v>1</v>
      </c>
      <c r="D108" s="390"/>
      <c r="E108" s="381">
        <f t="shared" si="24"/>
        <v>1</v>
      </c>
      <c r="F108" s="390"/>
      <c r="G108" s="381">
        <f t="shared" si="25"/>
        <v>1</v>
      </c>
      <c r="H108" s="390"/>
      <c r="I108" s="381">
        <f t="shared" si="26"/>
        <v>1</v>
      </c>
      <c r="J108" s="390"/>
      <c r="K108" s="381">
        <f t="shared" si="27"/>
        <v>1</v>
      </c>
      <c r="L108" s="390"/>
      <c r="M108" s="381">
        <f t="shared" si="28"/>
        <v>1</v>
      </c>
      <c r="N108" s="390"/>
      <c r="O108" s="381">
        <f t="shared" si="29"/>
        <v>1</v>
      </c>
      <c r="P108" s="390"/>
      <c r="Q108" s="381">
        <f t="shared" si="30"/>
        <v>1</v>
      </c>
      <c r="R108" s="441">
        <f t="shared" si="31"/>
        <v>0</v>
      </c>
      <c r="S108" s="380">
        <f t="shared" si="22"/>
        <v>0</v>
      </c>
    </row>
    <row r="109" spans="1:19">
      <c r="A109" s="388"/>
      <c r="B109" s="389"/>
      <c r="C109" s="381">
        <f t="shared" si="23"/>
        <v>1</v>
      </c>
      <c r="D109" s="390"/>
      <c r="E109" s="381">
        <f t="shared" si="24"/>
        <v>1</v>
      </c>
      <c r="F109" s="390"/>
      <c r="G109" s="381">
        <f t="shared" si="25"/>
        <v>1</v>
      </c>
      <c r="H109" s="390"/>
      <c r="I109" s="381">
        <f t="shared" si="26"/>
        <v>1</v>
      </c>
      <c r="J109" s="390"/>
      <c r="K109" s="381">
        <f t="shared" si="27"/>
        <v>1</v>
      </c>
      <c r="L109" s="390"/>
      <c r="M109" s="381">
        <f t="shared" si="28"/>
        <v>1</v>
      </c>
      <c r="N109" s="390"/>
      <c r="O109" s="381">
        <f t="shared" si="29"/>
        <v>1</v>
      </c>
      <c r="P109" s="390"/>
      <c r="Q109" s="381">
        <f t="shared" si="30"/>
        <v>1</v>
      </c>
      <c r="R109" s="441">
        <f t="shared" si="31"/>
        <v>0</v>
      </c>
      <c r="S109" s="380">
        <f t="shared" si="22"/>
        <v>0</v>
      </c>
    </row>
    <row r="110" spans="1:19">
      <c r="A110" s="388"/>
      <c r="B110" s="389"/>
      <c r="C110" s="381">
        <f t="shared" si="23"/>
        <v>1</v>
      </c>
      <c r="D110" s="390"/>
      <c r="E110" s="381">
        <f t="shared" si="24"/>
        <v>1</v>
      </c>
      <c r="F110" s="390"/>
      <c r="G110" s="381">
        <f t="shared" si="25"/>
        <v>1</v>
      </c>
      <c r="H110" s="390"/>
      <c r="I110" s="381">
        <f t="shared" si="26"/>
        <v>1</v>
      </c>
      <c r="J110" s="390"/>
      <c r="K110" s="381">
        <f t="shared" si="27"/>
        <v>1</v>
      </c>
      <c r="L110" s="390"/>
      <c r="M110" s="381">
        <f t="shared" si="28"/>
        <v>1</v>
      </c>
      <c r="N110" s="390"/>
      <c r="O110" s="381">
        <f t="shared" si="29"/>
        <v>1</v>
      </c>
      <c r="P110" s="390"/>
      <c r="Q110" s="381">
        <f t="shared" si="30"/>
        <v>1</v>
      </c>
      <c r="R110" s="441">
        <f t="shared" si="31"/>
        <v>0</v>
      </c>
      <c r="S110" s="380">
        <f t="shared" si="22"/>
        <v>0</v>
      </c>
    </row>
    <row r="111" spans="1:19">
      <c r="A111" s="388"/>
      <c r="B111" s="389"/>
      <c r="C111" s="381">
        <f t="shared" si="23"/>
        <v>1</v>
      </c>
      <c r="D111" s="390"/>
      <c r="E111" s="381">
        <f t="shared" si="24"/>
        <v>1</v>
      </c>
      <c r="F111" s="390"/>
      <c r="G111" s="381">
        <f t="shared" si="25"/>
        <v>1</v>
      </c>
      <c r="H111" s="390"/>
      <c r="I111" s="381">
        <f t="shared" si="26"/>
        <v>1</v>
      </c>
      <c r="J111" s="390"/>
      <c r="K111" s="381">
        <f t="shared" si="27"/>
        <v>1</v>
      </c>
      <c r="L111" s="390"/>
      <c r="M111" s="381">
        <f t="shared" si="28"/>
        <v>1</v>
      </c>
      <c r="N111" s="390"/>
      <c r="O111" s="381">
        <f t="shared" si="29"/>
        <v>1</v>
      </c>
      <c r="P111" s="390"/>
      <c r="Q111" s="381">
        <f t="shared" si="30"/>
        <v>1</v>
      </c>
      <c r="R111" s="441">
        <f t="shared" si="31"/>
        <v>0</v>
      </c>
      <c r="S111" s="380">
        <f t="shared" si="22"/>
        <v>0</v>
      </c>
    </row>
    <row r="112" spans="1:19">
      <c r="A112" s="388"/>
      <c r="B112" s="389"/>
      <c r="C112" s="381">
        <f t="shared" si="23"/>
        <v>1</v>
      </c>
      <c r="D112" s="390"/>
      <c r="E112" s="381">
        <f t="shared" si="24"/>
        <v>1</v>
      </c>
      <c r="F112" s="390"/>
      <c r="G112" s="381">
        <f t="shared" si="25"/>
        <v>1</v>
      </c>
      <c r="H112" s="390"/>
      <c r="I112" s="381">
        <f t="shared" si="26"/>
        <v>1</v>
      </c>
      <c r="J112" s="390"/>
      <c r="K112" s="381">
        <f t="shared" si="27"/>
        <v>1</v>
      </c>
      <c r="L112" s="390"/>
      <c r="M112" s="381">
        <f t="shared" si="28"/>
        <v>1</v>
      </c>
      <c r="N112" s="390"/>
      <c r="O112" s="381">
        <f t="shared" si="29"/>
        <v>1</v>
      </c>
      <c r="P112" s="390"/>
      <c r="Q112" s="381">
        <f t="shared" si="30"/>
        <v>1</v>
      </c>
      <c r="R112" s="441">
        <f t="shared" si="31"/>
        <v>0</v>
      </c>
      <c r="S112" s="380">
        <f t="shared" si="22"/>
        <v>0</v>
      </c>
    </row>
    <row r="113" spans="1:19">
      <c r="A113" s="388"/>
      <c r="B113" s="389"/>
      <c r="C113" s="381">
        <f t="shared" si="23"/>
        <v>1</v>
      </c>
      <c r="D113" s="390"/>
      <c r="E113" s="381">
        <f t="shared" si="24"/>
        <v>1</v>
      </c>
      <c r="F113" s="390"/>
      <c r="G113" s="381">
        <f t="shared" si="25"/>
        <v>1</v>
      </c>
      <c r="H113" s="390"/>
      <c r="I113" s="381">
        <f t="shared" si="26"/>
        <v>1</v>
      </c>
      <c r="J113" s="390"/>
      <c r="K113" s="381">
        <f t="shared" si="27"/>
        <v>1</v>
      </c>
      <c r="L113" s="390"/>
      <c r="M113" s="381">
        <f t="shared" si="28"/>
        <v>1</v>
      </c>
      <c r="N113" s="390"/>
      <c r="O113" s="381">
        <f t="shared" si="29"/>
        <v>1</v>
      </c>
      <c r="P113" s="390"/>
      <c r="Q113" s="381">
        <f t="shared" si="30"/>
        <v>1</v>
      </c>
      <c r="R113" s="441">
        <f t="shared" si="31"/>
        <v>0</v>
      </c>
      <c r="S113" s="380">
        <f t="shared" si="22"/>
        <v>0</v>
      </c>
    </row>
    <row r="114" spans="1:19">
      <c r="A114" s="388"/>
      <c r="B114" s="389"/>
      <c r="C114" s="381">
        <f t="shared" si="23"/>
        <v>1</v>
      </c>
      <c r="D114" s="390"/>
      <c r="E114" s="381">
        <f t="shared" si="24"/>
        <v>1</v>
      </c>
      <c r="F114" s="390"/>
      <c r="G114" s="381">
        <f t="shared" si="25"/>
        <v>1</v>
      </c>
      <c r="H114" s="390"/>
      <c r="I114" s="381">
        <f t="shared" si="26"/>
        <v>1</v>
      </c>
      <c r="J114" s="390"/>
      <c r="K114" s="381">
        <f t="shared" si="27"/>
        <v>1</v>
      </c>
      <c r="L114" s="390"/>
      <c r="M114" s="381">
        <f t="shared" si="28"/>
        <v>1</v>
      </c>
      <c r="N114" s="390"/>
      <c r="O114" s="381">
        <f t="shared" si="29"/>
        <v>1</v>
      </c>
      <c r="P114" s="390"/>
      <c r="Q114" s="381">
        <f t="shared" si="30"/>
        <v>1</v>
      </c>
      <c r="R114" s="441">
        <f t="shared" si="31"/>
        <v>0</v>
      </c>
      <c r="S114" s="380">
        <f t="shared" si="22"/>
        <v>0</v>
      </c>
    </row>
    <row r="115" spans="1:19">
      <c r="A115" s="388"/>
      <c r="B115" s="389"/>
      <c r="C115" s="381">
        <f t="shared" si="23"/>
        <v>1</v>
      </c>
      <c r="D115" s="390"/>
      <c r="E115" s="381">
        <f t="shared" si="24"/>
        <v>1</v>
      </c>
      <c r="F115" s="390"/>
      <c r="G115" s="381">
        <f t="shared" si="25"/>
        <v>1</v>
      </c>
      <c r="H115" s="390"/>
      <c r="I115" s="381">
        <f t="shared" si="26"/>
        <v>1</v>
      </c>
      <c r="J115" s="390"/>
      <c r="K115" s="381">
        <f t="shared" si="27"/>
        <v>1</v>
      </c>
      <c r="L115" s="390"/>
      <c r="M115" s="381">
        <f t="shared" si="28"/>
        <v>1</v>
      </c>
      <c r="N115" s="390"/>
      <c r="O115" s="381">
        <f t="shared" si="29"/>
        <v>1</v>
      </c>
      <c r="P115" s="390"/>
      <c r="Q115" s="381">
        <f t="shared" si="30"/>
        <v>1</v>
      </c>
      <c r="R115" s="441">
        <f t="shared" si="31"/>
        <v>0</v>
      </c>
      <c r="S115" s="380">
        <f t="shared" si="22"/>
        <v>0</v>
      </c>
    </row>
    <row r="116" spans="1:19">
      <c r="A116" s="388"/>
      <c r="B116" s="389"/>
      <c r="C116" s="381">
        <f t="shared" si="23"/>
        <v>1</v>
      </c>
      <c r="D116" s="390"/>
      <c r="E116" s="381">
        <f t="shared" si="24"/>
        <v>1</v>
      </c>
      <c r="F116" s="390"/>
      <c r="G116" s="381">
        <f t="shared" si="25"/>
        <v>1</v>
      </c>
      <c r="H116" s="390"/>
      <c r="I116" s="381">
        <f t="shared" si="26"/>
        <v>1</v>
      </c>
      <c r="J116" s="390"/>
      <c r="K116" s="381">
        <f t="shared" si="27"/>
        <v>1</v>
      </c>
      <c r="L116" s="390"/>
      <c r="M116" s="381">
        <f t="shared" si="28"/>
        <v>1</v>
      </c>
      <c r="N116" s="390"/>
      <c r="O116" s="381">
        <f t="shared" si="29"/>
        <v>1</v>
      </c>
      <c r="P116" s="390"/>
      <c r="Q116" s="381">
        <f t="shared" si="30"/>
        <v>1</v>
      </c>
      <c r="R116" s="441">
        <f t="shared" si="31"/>
        <v>0</v>
      </c>
      <c r="S116" s="380">
        <f t="shared" si="22"/>
        <v>0</v>
      </c>
    </row>
    <row r="117" spans="1:19">
      <c r="A117" s="388"/>
      <c r="B117" s="389"/>
      <c r="C117" s="381">
        <f t="shared" si="23"/>
        <v>1</v>
      </c>
      <c r="D117" s="390"/>
      <c r="E117" s="381">
        <f t="shared" si="24"/>
        <v>1</v>
      </c>
      <c r="F117" s="390"/>
      <c r="G117" s="381">
        <f t="shared" si="25"/>
        <v>1</v>
      </c>
      <c r="H117" s="390"/>
      <c r="I117" s="381">
        <f t="shared" si="26"/>
        <v>1</v>
      </c>
      <c r="J117" s="390"/>
      <c r="K117" s="381">
        <f t="shared" si="27"/>
        <v>1</v>
      </c>
      <c r="L117" s="390"/>
      <c r="M117" s="381">
        <f t="shared" si="28"/>
        <v>1</v>
      </c>
      <c r="N117" s="390"/>
      <c r="O117" s="381">
        <f t="shared" si="29"/>
        <v>1</v>
      </c>
      <c r="P117" s="390"/>
      <c r="Q117" s="381">
        <f t="shared" si="30"/>
        <v>1</v>
      </c>
      <c r="R117" s="441">
        <f t="shared" si="31"/>
        <v>0</v>
      </c>
      <c r="S117" s="380">
        <f t="shared" si="22"/>
        <v>0</v>
      </c>
    </row>
    <row r="118" spans="1:19">
      <c r="A118" s="388"/>
      <c r="B118" s="389"/>
      <c r="C118" s="381">
        <f t="shared" si="23"/>
        <v>1</v>
      </c>
      <c r="D118" s="390"/>
      <c r="E118" s="381">
        <f t="shared" si="24"/>
        <v>1</v>
      </c>
      <c r="F118" s="390"/>
      <c r="G118" s="381">
        <f t="shared" si="25"/>
        <v>1</v>
      </c>
      <c r="H118" s="390"/>
      <c r="I118" s="381">
        <f t="shared" si="26"/>
        <v>1</v>
      </c>
      <c r="J118" s="390"/>
      <c r="K118" s="381">
        <f t="shared" si="27"/>
        <v>1</v>
      </c>
      <c r="L118" s="390"/>
      <c r="M118" s="381">
        <f t="shared" si="28"/>
        <v>1</v>
      </c>
      <c r="N118" s="390"/>
      <c r="O118" s="381">
        <f t="shared" si="29"/>
        <v>1</v>
      </c>
      <c r="P118" s="390"/>
      <c r="Q118" s="381">
        <f t="shared" si="30"/>
        <v>1</v>
      </c>
      <c r="R118" s="441">
        <f t="shared" si="31"/>
        <v>0</v>
      </c>
      <c r="S118" s="380">
        <f t="shared" si="22"/>
        <v>0</v>
      </c>
    </row>
    <row r="119" spans="1:19">
      <c r="A119" s="388"/>
      <c r="B119" s="389"/>
      <c r="C119" s="381">
        <f t="shared" si="23"/>
        <v>1</v>
      </c>
      <c r="D119" s="390"/>
      <c r="E119" s="381">
        <f t="shared" si="24"/>
        <v>1</v>
      </c>
      <c r="F119" s="390"/>
      <c r="G119" s="381">
        <f t="shared" si="25"/>
        <v>1</v>
      </c>
      <c r="H119" s="390"/>
      <c r="I119" s="381">
        <f t="shared" si="26"/>
        <v>1</v>
      </c>
      <c r="J119" s="390"/>
      <c r="K119" s="381">
        <f t="shared" si="27"/>
        <v>1</v>
      </c>
      <c r="L119" s="390"/>
      <c r="M119" s="381">
        <f t="shared" si="28"/>
        <v>1</v>
      </c>
      <c r="N119" s="390"/>
      <c r="O119" s="381">
        <f t="shared" si="29"/>
        <v>1</v>
      </c>
      <c r="P119" s="390"/>
      <c r="Q119" s="381">
        <f t="shared" si="30"/>
        <v>1</v>
      </c>
      <c r="R119" s="441">
        <f t="shared" si="31"/>
        <v>0</v>
      </c>
      <c r="S119" s="380">
        <f t="shared" si="22"/>
        <v>0</v>
      </c>
    </row>
    <row r="120" spans="1:19">
      <c r="A120" s="388"/>
      <c r="B120" s="389"/>
      <c r="C120" s="381">
        <f t="shared" si="23"/>
        <v>1</v>
      </c>
      <c r="D120" s="390"/>
      <c r="E120" s="381">
        <f t="shared" si="24"/>
        <v>1</v>
      </c>
      <c r="F120" s="390"/>
      <c r="G120" s="381">
        <f t="shared" si="25"/>
        <v>1</v>
      </c>
      <c r="H120" s="390"/>
      <c r="I120" s="381">
        <f t="shared" si="26"/>
        <v>1</v>
      </c>
      <c r="J120" s="390"/>
      <c r="K120" s="381">
        <f t="shared" si="27"/>
        <v>1</v>
      </c>
      <c r="L120" s="390"/>
      <c r="M120" s="381">
        <f t="shared" si="28"/>
        <v>1</v>
      </c>
      <c r="N120" s="390"/>
      <c r="O120" s="381">
        <f t="shared" si="29"/>
        <v>1</v>
      </c>
      <c r="P120" s="390"/>
      <c r="Q120" s="381">
        <f t="shared" si="30"/>
        <v>1</v>
      </c>
      <c r="R120" s="441">
        <f t="shared" si="31"/>
        <v>0</v>
      </c>
      <c r="S120" s="380">
        <f t="shared" si="22"/>
        <v>0</v>
      </c>
    </row>
    <row r="121" spans="1:19">
      <c r="A121" s="388"/>
      <c r="B121" s="389"/>
      <c r="C121" s="381">
        <f t="shared" si="23"/>
        <v>1</v>
      </c>
      <c r="D121" s="390"/>
      <c r="E121" s="381">
        <f t="shared" si="24"/>
        <v>1</v>
      </c>
      <c r="F121" s="390"/>
      <c r="G121" s="381">
        <f t="shared" si="25"/>
        <v>1</v>
      </c>
      <c r="H121" s="390"/>
      <c r="I121" s="381">
        <f t="shared" si="26"/>
        <v>1</v>
      </c>
      <c r="J121" s="390"/>
      <c r="K121" s="381">
        <f t="shared" si="27"/>
        <v>1</v>
      </c>
      <c r="L121" s="390"/>
      <c r="M121" s="381">
        <f t="shared" si="28"/>
        <v>1</v>
      </c>
      <c r="N121" s="390"/>
      <c r="O121" s="381">
        <f t="shared" si="29"/>
        <v>1</v>
      </c>
      <c r="P121" s="390"/>
      <c r="Q121" s="381">
        <f t="shared" si="30"/>
        <v>1</v>
      </c>
      <c r="R121" s="441">
        <f t="shared" si="31"/>
        <v>0</v>
      </c>
      <c r="S121" s="380">
        <f t="shared" si="22"/>
        <v>0</v>
      </c>
    </row>
    <row r="122" spans="1:19">
      <c r="A122" s="388"/>
      <c r="B122" s="389"/>
      <c r="C122" s="381">
        <f t="shared" si="23"/>
        <v>1</v>
      </c>
      <c r="D122" s="390"/>
      <c r="E122" s="381">
        <f t="shared" si="24"/>
        <v>1</v>
      </c>
      <c r="F122" s="390"/>
      <c r="G122" s="381">
        <f t="shared" si="25"/>
        <v>1</v>
      </c>
      <c r="H122" s="390"/>
      <c r="I122" s="381">
        <f t="shared" si="26"/>
        <v>1</v>
      </c>
      <c r="J122" s="390"/>
      <c r="K122" s="381">
        <f t="shared" si="27"/>
        <v>1</v>
      </c>
      <c r="L122" s="390"/>
      <c r="M122" s="381">
        <f t="shared" si="28"/>
        <v>1</v>
      </c>
      <c r="N122" s="390"/>
      <c r="O122" s="381">
        <f t="shared" si="29"/>
        <v>1</v>
      </c>
      <c r="P122" s="390"/>
      <c r="Q122" s="381">
        <f t="shared" si="30"/>
        <v>1</v>
      </c>
      <c r="R122" s="441">
        <f t="shared" si="31"/>
        <v>0</v>
      </c>
      <c r="S122" s="380">
        <f t="shared" si="22"/>
        <v>0</v>
      </c>
    </row>
    <row r="123" spans="1:19">
      <c r="A123" s="388"/>
      <c r="B123" s="389"/>
      <c r="C123" s="381">
        <f t="shared" si="23"/>
        <v>1</v>
      </c>
      <c r="D123" s="390"/>
      <c r="E123" s="381">
        <f t="shared" si="24"/>
        <v>1</v>
      </c>
      <c r="F123" s="390"/>
      <c r="G123" s="381">
        <f t="shared" si="25"/>
        <v>1</v>
      </c>
      <c r="H123" s="390"/>
      <c r="I123" s="381">
        <f t="shared" si="26"/>
        <v>1</v>
      </c>
      <c r="J123" s="390"/>
      <c r="K123" s="381">
        <f t="shared" si="27"/>
        <v>1</v>
      </c>
      <c r="L123" s="390"/>
      <c r="M123" s="381">
        <f t="shared" si="28"/>
        <v>1</v>
      </c>
      <c r="N123" s="390"/>
      <c r="O123" s="381">
        <f t="shared" si="29"/>
        <v>1</v>
      </c>
      <c r="P123" s="390"/>
      <c r="Q123" s="381">
        <f t="shared" si="30"/>
        <v>1</v>
      </c>
      <c r="R123" s="441">
        <f t="shared" si="31"/>
        <v>0</v>
      </c>
      <c r="S123" s="380">
        <f t="shared" ref="S123:S186" si="32">ROUND(R123*B123/10000,0)</f>
        <v>0</v>
      </c>
    </row>
    <row r="124" spans="1:19">
      <c r="A124" s="388"/>
      <c r="B124" s="389"/>
      <c r="C124" s="381">
        <f t="shared" si="23"/>
        <v>1</v>
      </c>
      <c r="D124" s="390"/>
      <c r="E124" s="381">
        <f t="shared" si="24"/>
        <v>1</v>
      </c>
      <c r="F124" s="390"/>
      <c r="G124" s="381">
        <f t="shared" si="25"/>
        <v>1</v>
      </c>
      <c r="H124" s="390"/>
      <c r="I124" s="381">
        <f t="shared" si="26"/>
        <v>1</v>
      </c>
      <c r="J124" s="390"/>
      <c r="K124" s="381">
        <f t="shared" si="27"/>
        <v>1</v>
      </c>
      <c r="L124" s="390"/>
      <c r="M124" s="381">
        <f t="shared" si="28"/>
        <v>1</v>
      </c>
      <c r="N124" s="390"/>
      <c r="O124" s="381">
        <f t="shared" si="29"/>
        <v>1</v>
      </c>
      <c r="P124" s="390"/>
      <c r="Q124" s="381">
        <f t="shared" si="30"/>
        <v>1</v>
      </c>
      <c r="R124" s="441">
        <f t="shared" si="31"/>
        <v>0</v>
      </c>
      <c r="S124" s="380">
        <f t="shared" si="32"/>
        <v>0</v>
      </c>
    </row>
    <row r="125" spans="1:19">
      <c r="A125" s="388"/>
      <c r="B125" s="389"/>
      <c r="C125" s="381">
        <f t="shared" si="23"/>
        <v>1</v>
      </c>
      <c r="D125" s="390"/>
      <c r="E125" s="381">
        <f t="shared" si="24"/>
        <v>1</v>
      </c>
      <c r="F125" s="390"/>
      <c r="G125" s="381">
        <f t="shared" si="25"/>
        <v>1</v>
      </c>
      <c r="H125" s="390"/>
      <c r="I125" s="381">
        <f t="shared" si="26"/>
        <v>1</v>
      </c>
      <c r="J125" s="390"/>
      <c r="K125" s="381">
        <f t="shared" si="27"/>
        <v>1</v>
      </c>
      <c r="L125" s="390"/>
      <c r="M125" s="381">
        <f t="shared" si="28"/>
        <v>1</v>
      </c>
      <c r="N125" s="390"/>
      <c r="O125" s="381">
        <f t="shared" si="29"/>
        <v>1</v>
      </c>
      <c r="P125" s="390"/>
      <c r="Q125" s="381">
        <f t="shared" si="30"/>
        <v>1</v>
      </c>
      <c r="R125" s="441">
        <f t="shared" si="31"/>
        <v>0</v>
      </c>
      <c r="S125" s="380">
        <f t="shared" si="32"/>
        <v>0</v>
      </c>
    </row>
    <row r="126" spans="1:19">
      <c r="A126" s="388"/>
      <c r="B126" s="389"/>
      <c r="C126" s="381">
        <f t="shared" si="23"/>
        <v>1</v>
      </c>
      <c r="D126" s="390"/>
      <c r="E126" s="381">
        <f t="shared" si="24"/>
        <v>1</v>
      </c>
      <c r="F126" s="390"/>
      <c r="G126" s="381">
        <f t="shared" si="25"/>
        <v>1</v>
      </c>
      <c r="H126" s="390"/>
      <c r="I126" s="381">
        <f t="shared" si="26"/>
        <v>1</v>
      </c>
      <c r="J126" s="390"/>
      <c r="K126" s="381">
        <f t="shared" si="27"/>
        <v>1</v>
      </c>
      <c r="L126" s="390"/>
      <c r="M126" s="381">
        <f t="shared" si="28"/>
        <v>1</v>
      </c>
      <c r="N126" s="390"/>
      <c r="O126" s="381">
        <f t="shared" si="29"/>
        <v>1</v>
      </c>
      <c r="P126" s="390"/>
      <c r="Q126" s="381">
        <f t="shared" si="30"/>
        <v>1</v>
      </c>
      <c r="R126" s="441">
        <f t="shared" si="31"/>
        <v>0</v>
      </c>
      <c r="S126" s="380">
        <f t="shared" si="32"/>
        <v>0</v>
      </c>
    </row>
    <row r="127" spans="1:19">
      <c r="A127" s="388"/>
      <c r="B127" s="389"/>
      <c r="C127" s="381">
        <f t="shared" si="23"/>
        <v>1</v>
      </c>
      <c r="D127" s="390"/>
      <c r="E127" s="381">
        <f t="shared" si="24"/>
        <v>1</v>
      </c>
      <c r="F127" s="390"/>
      <c r="G127" s="381">
        <f t="shared" si="25"/>
        <v>1</v>
      </c>
      <c r="H127" s="390"/>
      <c r="I127" s="381">
        <f t="shared" si="26"/>
        <v>1</v>
      </c>
      <c r="J127" s="390"/>
      <c r="K127" s="381">
        <f t="shared" si="27"/>
        <v>1</v>
      </c>
      <c r="L127" s="390"/>
      <c r="M127" s="381">
        <f t="shared" si="28"/>
        <v>1</v>
      </c>
      <c r="N127" s="390"/>
      <c r="O127" s="381">
        <f t="shared" si="29"/>
        <v>1</v>
      </c>
      <c r="P127" s="390"/>
      <c r="Q127" s="381">
        <f t="shared" si="30"/>
        <v>1</v>
      </c>
      <c r="R127" s="441">
        <f t="shared" si="31"/>
        <v>0</v>
      </c>
      <c r="S127" s="380">
        <f t="shared" si="32"/>
        <v>0</v>
      </c>
    </row>
    <row r="128" spans="1:19">
      <c r="A128" s="388"/>
      <c r="B128" s="389"/>
      <c r="C128" s="381">
        <f t="shared" si="23"/>
        <v>1</v>
      </c>
      <c r="D128" s="390"/>
      <c r="E128" s="381">
        <f t="shared" si="24"/>
        <v>1</v>
      </c>
      <c r="F128" s="390"/>
      <c r="G128" s="381">
        <f t="shared" si="25"/>
        <v>1</v>
      </c>
      <c r="H128" s="390"/>
      <c r="I128" s="381">
        <f t="shared" si="26"/>
        <v>1</v>
      </c>
      <c r="J128" s="390"/>
      <c r="K128" s="381">
        <f t="shared" si="27"/>
        <v>1</v>
      </c>
      <c r="L128" s="390"/>
      <c r="M128" s="381">
        <f t="shared" si="28"/>
        <v>1</v>
      </c>
      <c r="N128" s="390"/>
      <c r="O128" s="381">
        <f t="shared" si="29"/>
        <v>1</v>
      </c>
      <c r="P128" s="390"/>
      <c r="Q128" s="381">
        <f t="shared" si="30"/>
        <v>1</v>
      </c>
      <c r="R128" s="441">
        <f t="shared" si="31"/>
        <v>0</v>
      </c>
      <c r="S128" s="380">
        <f t="shared" si="32"/>
        <v>0</v>
      </c>
    </row>
    <row r="129" spans="1:19">
      <c r="A129" s="388"/>
      <c r="B129" s="389"/>
      <c r="C129" s="381">
        <f t="shared" si="23"/>
        <v>1</v>
      </c>
      <c r="D129" s="390"/>
      <c r="E129" s="381">
        <f t="shared" si="24"/>
        <v>1</v>
      </c>
      <c r="F129" s="390"/>
      <c r="G129" s="381">
        <f t="shared" si="25"/>
        <v>1</v>
      </c>
      <c r="H129" s="390"/>
      <c r="I129" s="381">
        <f t="shared" si="26"/>
        <v>1</v>
      </c>
      <c r="J129" s="390"/>
      <c r="K129" s="381">
        <f t="shared" si="27"/>
        <v>1</v>
      </c>
      <c r="L129" s="390"/>
      <c r="M129" s="381">
        <f t="shared" si="28"/>
        <v>1</v>
      </c>
      <c r="N129" s="390"/>
      <c r="O129" s="381">
        <f t="shared" si="29"/>
        <v>1</v>
      </c>
      <c r="P129" s="390"/>
      <c r="Q129" s="381">
        <f t="shared" si="30"/>
        <v>1</v>
      </c>
      <c r="R129" s="441">
        <f t="shared" si="31"/>
        <v>0</v>
      </c>
      <c r="S129" s="380">
        <f t="shared" si="32"/>
        <v>0</v>
      </c>
    </row>
    <row r="130" spans="1:19">
      <c r="A130" s="388"/>
      <c r="B130" s="389"/>
      <c r="C130" s="381">
        <f t="shared" si="23"/>
        <v>1</v>
      </c>
      <c r="D130" s="390"/>
      <c r="E130" s="381">
        <f t="shared" si="24"/>
        <v>1</v>
      </c>
      <c r="F130" s="390"/>
      <c r="G130" s="381">
        <f t="shared" si="25"/>
        <v>1</v>
      </c>
      <c r="H130" s="390"/>
      <c r="I130" s="381">
        <f t="shared" si="26"/>
        <v>1</v>
      </c>
      <c r="J130" s="390"/>
      <c r="K130" s="381">
        <f t="shared" si="27"/>
        <v>1</v>
      </c>
      <c r="L130" s="390"/>
      <c r="M130" s="381">
        <f t="shared" si="28"/>
        <v>1</v>
      </c>
      <c r="N130" s="390"/>
      <c r="O130" s="381">
        <f t="shared" si="29"/>
        <v>1</v>
      </c>
      <c r="P130" s="390"/>
      <c r="Q130" s="381">
        <f t="shared" si="30"/>
        <v>1</v>
      </c>
      <c r="R130" s="441">
        <f t="shared" si="31"/>
        <v>0</v>
      </c>
      <c r="S130" s="380">
        <f t="shared" si="32"/>
        <v>0</v>
      </c>
    </row>
    <row r="131" spans="1:19">
      <c r="A131" s="388"/>
      <c r="B131" s="389"/>
      <c r="C131" s="381">
        <f t="shared" si="23"/>
        <v>1</v>
      </c>
      <c r="D131" s="390"/>
      <c r="E131" s="381">
        <f t="shared" si="24"/>
        <v>1</v>
      </c>
      <c r="F131" s="390"/>
      <c r="G131" s="381">
        <f t="shared" si="25"/>
        <v>1</v>
      </c>
      <c r="H131" s="390"/>
      <c r="I131" s="381">
        <f t="shared" si="26"/>
        <v>1</v>
      </c>
      <c r="J131" s="390"/>
      <c r="K131" s="381">
        <f t="shared" si="27"/>
        <v>1</v>
      </c>
      <c r="L131" s="390"/>
      <c r="M131" s="381">
        <f t="shared" si="28"/>
        <v>1</v>
      </c>
      <c r="N131" s="390"/>
      <c r="O131" s="381">
        <f t="shared" si="29"/>
        <v>1</v>
      </c>
      <c r="P131" s="390"/>
      <c r="Q131" s="381">
        <f t="shared" si="30"/>
        <v>1</v>
      </c>
      <c r="R131" s="441">
        <f t="shared" si="31"/>
        <v>0</v>
      </c>
      <c r="S131" s="380">
        <f t="shared" si="32"/>
        <v>0</v>
      </c>
    </row>
    <row r="132" spans="1:19">
      <c r="A132" s="388"/>
      <c r="B132" s="389"/>
      <c r="C132" s="381">
        <f t="shared" si="23"/>
        <v>1</v>
      </c>
      <c r="D132" s="390"/>
      <c r="E132" s="381">
        <f t="shared" si="24"/>
        <v>1</v>
      </c>
      <c r="F132" s="390"/>
      <c r="G132" s="381">
        <f t="shared" si="25"/>
        <v>1</v>
      </c>
      <c r="H132" s="390"/>
      <c r="I132" s="381">
        <f t="shared" si="26"/>
        <v>1</v>
      </c>
      <c r="J132" s="390"/>
      <c r="K132" s="381">
        <f t="shared" si="27"/>
        <v>1</v>
      </c>
      <c r="L132" s="390"/>
      <c r="M132" s="381">
        <f t="shared" si="28"/>
        <v>1</v>
      </c>
      <c r="N132" s="390"/>
      <c r="O132" s="381">
        <f t="shared" si="29"/>
        <v>1</v>
      </c>
      <c r="P132" s="390"/>
      <c r="Q132" s="381">
        <f t="shared" si="30"/>
        <v>1</v>
      </c>
      <c r="R132" s="441">
        <f t="shared" si="31"/>
        <v>0</v>
      </c>
      <c r="S132" s="380">
        <f t="shared" si="32"/>
        <v>0</v>
      </c>
    </row>
    <row r="133" spans="1:19">
      <c r="A133" s="388"/>
      <c r="B133" s="389"/>
      <c r="C133" s="381">
        <f t="shared" si="23"/>
        <v>1</v>
      </c>
      <c r="D133" s="390"/>
      <c r="E133" s="381">
        <f t="shared" si="24"/>
        <v>1</v>
      </c>
      <c r="F133" s="390"/>
      <c r="G133" s="381">
        <f t="shared" si="25"/>
        <v>1</v>
      </c>
      <c r="H133" s="390"/>
      <c r="I133" s="381">
        <f t="shared" si="26"/>
        <v>1</v>
      </c>
      <c r="J133" s="390"/>
      <c r="K133" s="381">
        <f t="shared" si="27"/>
        <v>1</v>
      </c>
      <c r="L133" s="390"/>
      <c r="M133" s="381">
        <f t="shared" si="28"/>
        <v>1</v>
      </c>
      <c r="N133" s="390"/>
      <c r="O133" s="381">
        <f t="shared" si="29"/>
        <v>1</v>
      </c>
      <c r="P133" s="390"/>
      <c r="Q133" s="381">
        <f t="shared" si="30"/>
        <v>1</v>
      </c>
      <c r="R133" s="441">
        <f t="shared" si="31"/>
        <v>0</v>
      </c>
      <c r="S133" s="380">
        <f t="shared" si="32"/>
        <v>0</v>
      </c>
    </row>
    <row r="134" spans="1:19">
      <c r="A134" s="388"/>
      <c r="B134" s="389"/>
      <c r="C134" s="381">
        <f t="shared" si="23"/>
        <v>1</v>
      </c>
      <c r="D134" s="390"/>
      <c r="E134" s="381">
        <f t="shared" si="24"/>
        <v>1</v>
      </c>
      <c r="F134" s="390"/>
      <c r="G134" s="381">
        <f t="shared" si="25"/>
        <v>1</v>
      </c>
      <c r="H134" s="390"/>
      <c r="I134" s="381">
        <f t="shared" si="26"/>
        <v>1</v>
      </c>
      <c r="J134" s="390"/>
      <c r="K134" s="381">
        <f t="shared" si="27"/>
        <v>1</v>
      </c>
      <c r="L134" s="390"/>
      <c r="M134" s="381">
        <f t="shared" si="28"/>
        <v>1</v>
      </c>
      <c r="N134" s="390"/>
      <c r="O134" s="381">
        <f t="shared" si="29"/>
        <v>1</v>
      </c>
      <c r="P134" s="390"/>
      <c r="Q134" s="381">
        <f t="shared" si="30"/>
        <v>1</v>
      </c>
      <c r="R134" s="441">
        <f t="shared" si="31"/>
        <v>0</v>
      </c>
      <c r="S134" s="380">
        <f t="shared" si="32"/>
        <v>0</v>
      </c>
    </row>
    <row r="135" spans="1:19">
      <c r="A135" s="388"/>
      <c r="B135" s="389"/>
      <c r="C135" s="381">
        <f t="shared" si="23"/>
        <v>1</v>
      </c>
      <c r="D135" s="390"/>
      <c r="E135" s="381">
        <f t="shared" si="24"/>
        <v>1</v>
      </c>
      <c r="F135" s="390"/>
      <c r="G135" s="381">
        <f t="shared" si="25"/>
        <v>1</v>
      </c>
      <c r="H135" s="390"/>
      <c r="I135" s="381">
        <f t="shared" si="26"/>
        <v>1</v>
      </c>
      <c r="J135" s="390"/>
      <c r="K135" s="381">
        <f t="shared" si="27"/>
        <v>1</v>
      </c>
      <c r="L135" s="390"/>
      <c r="M135" s="381">
        <f t="shared" si="28"/>
        <v>1</v>
      </c>
      <c r="N135" s="390"/>
      <c r="O135" s="381">
        <f t="shared" si="29"/>
        <v>1</v>
      </c>
      <c r="P135" s="390"/>
      <c r="Q135" s="381">
        <f t="shared" si="30"/>
        <v>1</v>
      </c>
      <c r="R135" s="441">
        <f t="shared" si="31"/>
        <v>0</v>
      </c>
      <c r="S135" s="380">
        <f t="shared" si="32"/>
        <v>0</v>
      </c>
    </row>
    <row r="136" spans="1:19">
      <c r="A136" s="388"/>
      <c r="B136" s="389"/>
      <c r="C136" s="381">
        <f t="shared" si="23"/>
        <v>1</v>
      </c>
      <c r="D136" s="390"/>
      <c r="E136" s="381">
        <f t="shared" si="24"/>
        <v>1</v>
      </c>
      <c r="F136" s="390"/>
      <c r="G136" s="381">
        <f t="shared" si="25"/>
        <v>1</v>
      </c>
      <c r="H136" s="390"/>
      <c r="I136" s="381">
        <f t="shared" si="26"/>
        <v>1</v>
      </c>
      <c r="J136" s="390"/>
      <c r="K136" s="381">
        <f t="shared" si="27"/>
        <v>1</v>
      </c>
      <c r="L136" s="390"/>
      <c r="M136" s="381">
        <f t="shared" si="28"/>
        <v>1</v>
      </c>
      <c r="N136" s="390"/>
      <c r="O136" s="381">
        <f t="shared" si="29"/>
        <v>1</v>
      </c>
      <c r="P136" s="390"/>
      <c r="Q136" s="381">
        <f t="shared" si="30"/>
        <v>1</v>
      </c>
      <c r="R136" s="441">
        <f t="shared" si="31"/>
        <v>0</v>
      </c>
      <c r="S136" s="380">
        <f t="shared" si="32"/>
        <v>0</v>
      </c>
    </row>
    <row r="137" spans="1:19">
      <c r="A137" s="388"/>
      <c r="B137" s="389"/>
      <c r="C137" s="381">
        <f t="shared" si="23"/>
        <v>1</v>
      </c>
      <c r="D137" s="390"/>
      <c r="E137" s="381">
        <f t="shared" si="24"/>
        <v>1</v>
      </c>
      <c r="F137" s="390"/>
      <c r="G137" s="381">
        <f t="shared" si="25"/>
        <v>1</v>
      </c>
      <c r="H137" s="390"/>
      <c r="I137" s="381">
        <f t="shared" si="26"/>
        <v>1</v>
      </c>
      <c r="J137" s="390"/>
      <c r="K137" s="381">
        <f t="shared" si="27"/>
        <v>1</v>
      </c>
      <c r="L137" s="390"/>
      <c r="M137" s="381">
        <f t="shared" si="28"/>
        <v>1</v>
      </c>
      <c r="N137" s="390"/>
      <c r="O137" s="381">
        <f t="shared" si="29"/>
        <v>1</v>
      </c>
      <c r="P137" s="390"/>
      <c r="Q137" s="381">
        <f t="shared" si="30"/>
        <v>1</v>
      </c>
      <c r="R137" s="441">
        <f t="shared" si="31"/>
        <v>0</v>
      </c>
      <c r="S137" s="380">
        <f t="shared" si="32"/>
        <v>0</v>
      </c>
    </row>
    <row r="138" spans="1:19">
      <c r="A138" s="388"/>
      <c r="B138" s="389"/>
      <c r="C138" s="381">
        <f t="shared" si="23"/>
        <v>1</v>
      </c>
      <c r="D138" s="390"/>
      <c r="E138" s="381">
        <f t="shared" si="24"/>
        <v>1</v>
      </c>
      <c r="F138" s="390"/>
      <c r="G138" s="381">
        <f t="shared" si="25"/>
        <v>1</v>
      </c>
      <c r="H138" s="390"/>
      <c r="I138" s="381">
        <f t="shared" si="26"/>
        <v>1</v>
      </c>
      <c r="J138" s="390"/>
      <c r="K138" s="381">
        <f t="shared" si="27"/>
        <v>1</v>
      </c>
      <c r="L138" s="390"/>
      <c r="M138" s="381">
        <f t="shared" si="28"/>
        <v>1</v>
      </c>
      <c r="N138" s="390"/>
      <c r="O138" s="381">
        <f t="shared" si="29"/>
        <v>1</v>
      </c>
      <c r="P138" s="390"/>
      <c r="Q138" s="381">
        <f t="shared" si="30"/>
        <v>1</v>
      </c>
      <c r="R138" s="441">
        <f t="shared" si="31"/>
        <v>0</v>
      </c>
      <c r="S138" s="380">
        <f t="shared" si="32"/>
        <v>0</v>
      </c>
    </row>
    <row r="139" spans="1:19">
      <c r="A139" s="388"/>
      <c r="B139" s="389"/>
      <c r="C139" s="381">
        <f t="shared" si="23"/>
        <v>1</v>
      </c>
      <c r="D139" s="390"/>
      <c r="E139" s="381">
        <f t="shared" si="24"/>
        <v>1</v>
      </c>
      <c r="F139" s="390"/>
      <c r="G139" s="381">
        <f t="shared" si="25"/>
        <v>1</v>
      </c>
      <c r="H139" s="390"/>
      <c r="I139" s="381">
        <f t="shared" si="26"/>
        <v>1</v>
      </c>
      <c r="J139" s="390"/>
      <c r="K139" s="381">
        <f t="shared" si="27"/>
        <v>1</v>
      </c>
      <c r="L139" s="390"/>
      <c r="M139" s="381">
        <f t="shared" si="28"/>
        <v>1</v>
      </c>
      <c r="N139" s="390"/>
      <c r="O139" s="381">
        <f t="shared" si="29"/>
        <v>1</v>
      </c>
      <c r="P139" s="390"/>
      <c r="Q139" s="381">
        <f t="shared" si="30"/>
        <v>1</v>
      </c>
      <c r="R139" s="441">
        <f t="shared" si="31"/>
        <v>0</v>
      </c>
      <c r="S139" s="380">
        <f t="shared" si="32"/>
        <v>0</v>
      </c>
    </row>
    <row r="140" spans="1:19">
      <c r="A140" s="388"/>
      <c r="B140" s="389"/>
      <c r="C140" s="381">
        <f t="shared" si="23"/>
        <v>1</v>
      </c>
      <c r="D140" s="390"/>
      <c r="E140" s="381">
        <f t="shared" si="24"/>
        <v>1</v>
      </c>
      <c r="F140" s="390"/>
      <c r="G140" s="381">
        <f t="shared" si="25"/>
        <v>1</v>
      </c>
      <c r="H140" s="390"/>
      <c r="I140" s="381">
        <f t="shared" si="26"/>
        <v>1</v>
      </c>
      <c r="J140" s="390"/>
      <c r="K140" s="381">
        <f t="shared" si="27"/>
        <v>1</v>
      </c>
      <c r="L140" s="390"/>
      <c r="M140" s="381">
        <f t="shared" si="28"/>
        <v>1</v>
      </c>
      <c r="N140" s="390"/>
      <c r="O140" s="381">
        <f t="shared" si="29"/>
        <v>1</v>
      </c>
      <c r="P140" s="390"/>
      <c r="Q140" s="381">
        <f t="shared" si="30"/>
        <v>1</v>
      </c>
      <c r="R140" s="441">
        <f t="shared" si="31"/>
        <v>0</v>
      </c>
      <c r="S140" s="380">
        <f t="shared" si="32"/>
        <v>0</v>
      </c>
    </row>
    <row r="141" spans="1:19">
      <c r="A141" s="388"/>
      <c r="B141" s="389"/>
      <c r="C141" s="381">
        <f t="shared" si="23"/>
        <v>1</v>
      </c>
      <c r="D141" s="390"/>
      <c r="E141" s="381">
        <f t="shared" si="24"/>
        <v>1</v>
      </c>
      <c r="F141" s="390"/>
      <c r="G141" s="381">
        <f t="shared" si="25"/>
        <v>1</v>
      </c>
      <c r="H141" s="390"/>
      <c r="I141" s="381">
        <f t="shared" si="26"/>
        <v>1</v>
      </c>
      <c r="J141" s="390"/>
      <c r="K141" s="381">
        <f t="shared" si="27"/>
        <v>1</v>
      </c>
      <c r="L141" s="390"/>
      <c r="M141" s="381">
        <f t="shared" si="28"/>
        <v>1</v>
      </c>
      <c r="N141" s="390"/>
      <c r="O141" s="381">
        <f t="shared" si="29"/>
        <v>1</v>
      </c>
      <c r="P141" s="390"/>
      <c r="Q141" s="381">
        <f t="shared" si="30"/>
        <v>1</v>
      </c>
      <c r="R141" s="441">
        <f t="shared" si="31"/>
        <v>0</v>
      </c>
      <c r="S141" s="380">
        <f t="shared" si="32"/>
        <v>0</v>
      </c>
    </row>
    <row r="142" spans="1:19">
      <c r="A142" s="388"/>
      <c r="B142" s="389"/>
      <c r="C142" s="381">
        <f t="shared" si="23"/>
        <v>1</v>
      </c>
      <c r="D142" s="390"/>
      <c r="E142" s="381">
        <f t="shared" si="24"/>
        <v>1</v>
      </c>
      <c r="F142" s="390"/>
      <c r="G142" s="381">
        <f t="shared" si="25"/>
        <v>1</v>
      </c>
      <c r="H142" s="390"/>
      <c r="I142" s="381">
        <f t="shared" si="26"/>
        <v>1</v>
      </c>
      <c r="J142" s="390"/>
      <c r="K142" s="381">
        <f t="shared" si="27"/>
        <v>1</v>
      </c>
      <c r="L142" s="390"/>
      <c r="M142" s="381">
        <f t="shared" si="28"/>
        <v>1</v>
      </c>
      <c r="N142" s="390"/>
      <c r="O142" s="381">
        <f t="shared" si="29"/>
        <v>1</v>
      </c>
      <c r="P142" s="390"/>
      <c r="Q142" s="381">
        <f t="shared" si="30"/>
        <v>1</v>
      </c>
      <c r="R142" s="441">
        <f t="shared" si="31"/>
        <v>0</v>
      </c>
      <c r="S142" s="380">
        <f t="shared" si="32"/>
        <v>0</v>
      </c>
    </row>
    <row r="143" spans="1:19">
      <c r="A143" s="388"/>
      <c r="B143" s="389"/>
      <c r="C143" s="381">
        <f t="shared" si="23"/>
        <v>1</v>
      </c>
      <c r="D143" s="390"/>
      <c r="E143" s="381">
        <f t="shared" si="24"/>
        <v>1</v>
      </c>
      <c r="F143" s="390"/>
      <c r="G143" s="381">
        <f t="shared" si="25"/>
        <v>1</v>
      </c>
      <c r="H143" s="390"/>
      <c r="I143" s="381">
        <f t="shared" si="26"/>
        <v>1</v>
      </c>
      <c r="J143" s="390"/>
      <c r="K143" s="381">
        <f t="shared" si="27"/>
        <v>1</v>
      </c>
      <c r="L143" s="390"/>
      <c r="M143" s="381">
        <f t="shared" si="28"/>
        <v>1</v>
      </c>
      <c r="N143" s="390"/>
      <c r="O143" s="381">
        <f t="shared" si="29"/>
        <v>1</v>
      </c>
      <c r="P143" s="390"/>
      <c r="Q143" s="381">
        <f t="shared" si="30"/>
        <v>1</v>
      </c>
      <c r="R143" s="441">
        <f t="shared" si="31"/>
        <v>0</v>
      </c>
      <c r="S143" s="380">
        <f t="shared" si="32"/>
        <v>0</v>
      </c>
    </row>
    <row r="144" spans="1:19">
      <c r="A144" s="388"/>
      <c r="B144" s="389"/>
      <c r="C144" s="381">
        <f t="shared" si="23"/>
        <v>1</v>
      </c>
      <c r="D144" s="390"/>
      <c r="E144" s="381">
        <f t="shared" si="24"/>
        <v>1</v>
      </c>
      <c r="F144" s="390"/>
      <c r="G144" s="381">
        <f t="shared" si="25"/>
        <v>1</v>
      </c>
      <c r="H144" s="390"/>
      <c r="I144" s="381">
        <f t="shared" si="26"/>
        <v>1</v>
      </c>
      <c r="J144" s="390"/>
      <c r="K144" s="381">
        <f t="shared" si="27"/>
        <v>1</v>
      </c>
      <c r="L144" s="390"/>
      <c r="M144" s="381">
        <f t="shared" si="28"/>
        <v>1</v>
      </c>
      <c r="N144" s="390"/>
      <c r="O144" s="381">
        <f t="shared" si="29"/>
        <v>1</v>
      </c>
      <c r="P144" s="390"/>
      <c r="Q144" s="381">
        <f t="shared" si="30"/>
        <v>1</v>
      </c>
      <c r="R144" s="441">
        <f t="shared" si="31"/>
        <v>0</v>
      </c>
      <c r="S144" s="380">
        <f t="shared" si="32"/>
        <v>0</v>
      </c>
    </row>
    <row r="145" spans="1:19">
      <c r="A145" s="388"/>
      <c r="B145" s="389"/>
      <c r="C145" s="381">
        <f t="shared" si="23"/>
        <v>1</v>
      </c>
      <c r="D145" s="390"/>
      <c r="E145" s="381">
        <f t="shared" si="24"/>
        <v>1</v>
      </c>
      <c r="F145" s="390"/>
      <c r="G145" s="381">
        <f t="shared" si="25"/>
        <v>1</v>
      </c>
      <c r="H145" s="390"/>
      <c r="I145" s="381">
        <f t="shared" si="26"/>
        <v>1</v>
      </c>
      <c r="J145" s="390"/>
      <c r="K145" s="381">
        <f t="shared" si="27"/>
        <v>1</v>
      </c>
      <c r="L145" s="390"/>
      <c r="M145" s="381">
        <f t="shared" si="28"/>
        <v>1</v>
      </c>
      <c r="N145" s="390"/>
      <c r="O145" s="381">
        <f t="shared" si="29"/>
        <v>1</v>
      </c>
      <c r="P145" s="390"/>
      <c r="Q145" s="381">
        <f t="shared" si="30"/>
        <v>1</v>
      </c>
      <c r="R145" s="441">
        <f t="shared" si="31"/>
        <v>0</v>
      </c>
      <c r="S145" s="380">
        <f t="shared" si="32"/>
        <v>0</v>
      </c>
    </row>
    <row r="146" spans="1:19">
      <c r="A146" s="388"/>
      <c r="B146" s="389"/>
      <c r="C146" s="381">
        <f t="shared" si="23"/>
        <v>1</v>
      </c>
      <c r="D146" s="390"/>
      <c r="E146" s="381">
        <f t="shared" si="24"/>
        <v>1</v>
      </c>
      <c r="F146" s="390"/>
      <c r="G146" s="381">
        <f t="shared" si="25"/>
        <v>1</v>
      </c>
      <c r="H146" s="390"/>
      <c r="I146" s="381">
        <f t="shared" si="26"/>
        <v>1</v>
      </c>
      <c r="J146" s="390"/>
      <c r="K146" s="381">
        <f t="shared" si="27"/>
        <v>1</v>
      </c>
      <c r="L146" s="390"/>
      <c r="M146" s="381">
        <f t="shared" si="28"/>
        <v>1</v>
      </c>
      <c r="N146" s="390"/>
      <c r="O146" s="381">
        <f t="shared" si="29"/>
        <v>1</v>
      </c>
      <c r="P146" s="390"/>
      <c r="Q146" s="381">
        <f t="shared" si="30"/>
        <v>1</v>
      </c>
      <c r="R146" s="441">
        <f t="shared" si="31"/>
        <v>0</v>
      </c>
      <c r="S146" s="380">
        <f t="shared" si="32"/>
        <v>0</v>
      </c>
    </row>
    <row r="147" spans="1:19">
      <c r="A147" s="388"/>
      <c r="B147" s="389"/>
      <c r="C147" s="381">
        <f t="shared" si="23"/>
        <v>1</v>
      </c>
      <c r="D147" s="390"/>
      <c r="E147" s="381">
        <f t="shared" si="24"/>
        <v>1</v>
      </c>
      <c r="F147" s="390"/>
      <c r="G147" s="381">
        <f t="shared" si="25"/>
        <v>1</v>
      </c>
      <c r="H147" s="390"/>
      <c r="I147" s="381">
        <f t="shared" si="26"/>
        <v>1</v>
      </c>
      <c r="J147" s="390"/>
      <c r="K147" s="381">
        <f t="shared" si="27"/>
        <v>1</v>
      </c>
      <c r="L147" s="390"/>
      <c r="M147" s="381">
        <f t="shared" si="28"/>
        <v>1</v>
      </c>
      <c r="N147" s="390"/>
      <c r="O147" s="381">
        <f t="shared" si="29"/>
        <v>1</v>
      </c>
      <c r="P147" s="390"/>
      <c r="Q147" s="381">
        <f t="shared" si="30"/>
        <v>1</v>
      </c>
      <c r="R147" s="441">
        <f t="shared" si="31"/>
        <v>0</v>
      </c>
      <c r="S147" s="380">
        <f t="shared" si="32"/>
        <v>0</v>
      </c>
    </row>
    <row r="148" spans="1:19">
      <c r="A148" s="388"/>
      <c r="B148" s="389"/>
      <c r="C148" s="381">
        <f t="shared" si="23"/>
        <v>1</v>
      </c>
      <c r="D148" s="390"/>
      <c r="E148" s="381">
        <f t="shared" si="24"/>
        <v>1</v>
      </c>
      <c r="F148" s="390"/>
      <c r="G148" s="381">
        <f t="shared" si="25"/>
        <v>1</v>
      </c>
      <c r="H148" s="390"/>
      <c r="I148" s="381">
        <f t="shared" si="26"/>
        <v>1</v>
      </c>
      <c r="J148" s="390"/>
      <c r="K148" s="381">
        <f t="shared" si="27"/>
        <v>1</v>
      </c>
      <c r="L148" s="390"/>
      <c r="M148" s="381">
        <f t="shared" si="28"/>
        <v>1</v>
      </c>
      <c r="N148" s="390"/>
      <c r="O148" s="381">
        <f t="shared" si="29"/>
        <v>1</v>
      </c>
      <c r="P148" s="390"/>
      <c r="Q148" s="381">
        <f t="shared" si="30"/>
        <v>1</v>
      </c>
      <c r="R148" s="441">
        <f t="shared" si="31"/>
        <v>0</v>
      </c>
      <c r="S148" s="380">
        <f t="shared" si="32"/>
        <v>0</v>
      </c>
    </row>
    <row r="149" spans="1:19">
      <c r="A149" s="388"/>
      <c r="B149" s="389"/>
      <c r="C149" s="381">
        <f t="shared" si="23"/>
        <v>1</v>
      </c>
      <c r="D149" s="390"/>
      <c r="E149" s="381">
        <f t="shared" si="24"/>
        <v>1</v>
      </c>
      <c r="F149" s="390"/>
      <c r="G149" s="381">
        <f t="shared" si="25"/>
        <v>1</v>
      </c>
      <c r="H149" s="390"/>
      <c r="I149" s="381">
        <f t="shared" si="26"/>
        <v>1</v>
      </c>
      <c r="J149" s="390"/>
      <c r="K149" s="381">
        <f t="shared" si="27"/>
        <v>1</v>
      </c>
      <c r="L149" s="390"/>
      <c r="M149" s="381">
        <f t="shared" si="28"/>
        <v>1</v>
      </c>
      <c r="N149" s="390"/>
      <c r="O149" s="381">
        <f t="shared" si="29"/>
        <v>1</v>
      </c>
      <c r="P149" s="390"/>
      <c r="Q149" s="381">
        <f t="shared" si="30"/>
        <v>1</v>
      </c>
      <c r="R149" s="441">
        <f t="shared" si="31"/>
        <v>0</v>
      </c>
      <c r="S149" s="380">
        <f t="shared" si="32"/>
        <v>0</v>
      </c>
    </row>
    <row r="150" spans="1:19">
      <c r="A150" s="388"/>
      <c r="B150" s="389"/>
      <c r="C150" s="381">
        <f t="shared" si="23"/>
        <v>1</v>
      </c>
      <c r="D150" s="390"/>
      <c r="E150" s="381">
        <f t="shared" si="24"/>
        <v>1</v>
      </c>
      <c r="F150" s="390"/>
      <c r="G150" s="381">
        <f t="shared" si="25"/>
        <v>1</v>
      </c>
      <c r="H150" s="390"/>
      <c r="I150" s="381">
        <f t="shared" si="26"/>
        <v>1</v>
      </c>
      <c r="J150" s="390"/>
      <c r="K150" s="381">
        <f t="shared" si="27"/>
        <v>1</v>
      </c>
      <c r="L150" s="390"/>
      <c r="M150" s="381">
        <f t="shared" si="28"/>
        <v>1</v>
      </c>
      <c r="N150" s="390"/>
      <c r="O150" s="381">
        <f t="shared" si="29"/>
        <v>1</v>
      </c>
      <c r="P150" s="390"/>
      <c r="Q150" s="381">
        <f t="shared" si="30"/>
        <v>1</v>
      </c>
      <c r="R150" s="441">
        <f t="shared" si="31"/>
        <v>0</v>
      </c>
      <c r="S150" s="380">
        <f t="shared" si="32"/>
        <v>0</v>
      </c>
    </row>
    <row r="151" spans="1:19">
      <c r="A151" s="388"/>
      <c r="B151" s="389"/>
      <c r="C151" s="381">
        <f t="shared" si="23"/>
        <v>1</v>
      </c>
      <c r="D151" s="390"/>
      <c r="E151" s="381">
        <f t="shared" si="24"/>
        <v>1</v>
      </c>
      <c r="F151" s="390"/>
      <c r="G151" s="381">
        <f t="shared" si="25"/>
        <v>1</v>
      </c>
      <c r="H151" s="390"/>
      <c r="I151" s="381">
        <f t="shared" si="26"/>
        <v>1</v>
      </c>
      <c r="J151" s="390"/>
      <c r="K151" s="381">
        <f t="shared" si="27"/>
        <v>1</v>
      </c>
      <c r="L151" s="390"/>
      <c r="M151" s="381">
        <f t="shared" si="28"/>
        <v>1</v>
      </c>
      <c r="N151" s="390"/>
      <c r="O151" s="381">
        <f t="shared" si="29"/>
        <v>1</v>
      </c>
      <c r="P151" s="390"/>
      <c r="Q151" s="381">
        <f t="shared" si="30"/>
        <v>1</v>
      </c>
      <c r="R151" s="441">
        <f t="shared" si="31"/>
        <v>0</v>
      </c>
      <c r="S151" s="380">
        <f t="shared" si="32"/>
        <v>0</v>
      </c>
    </row>
    <row r="152" spans="1:19">
      <c r="A152" s="388"/>
      <c r="B152" s="389"/>
      <c r="C152" s="381">
        <f t="shared" si="23"/>
        <v>1</v>
      </c>
      <c r="D152" s="390"/>
      <c r="E152" s="381">
        <f t="shared" si="24"/>
        <v>1</v>
      </c>
      <c r="F152" s="390"/>
      <c r="G152" s="381">
        <f t="shared" si="25"/>
        <v>1</v>
      </c>
      <c r="H152" s="390"/>
      <c r="I152" s="381">
        <f t="shared" si="26"/>
        <v>1</v>
      </c>
      <c r="J152" s="390"/>
      <c r="K152" s="381">
        <f t="shared" si="27"/>
        <v>1</v>
      </c>
      <c r="L152" s="390"/>
      <c r="M152" s="381">
        <f t="shared" si="28"/>
        <v>1</v>
      </c>
      <c r="N152" s="390"/>
      <c r="O152" s="381">
        <f t="shared" si="29"/>
        <v>1</v>
      </c>
      <c r="P152" s="390"/>
      <c r="Q152" s="381">
        <f t="shared" si="30"/>
        <v>1</v>
      </c>
      <c r="R152" s="441">
        <f t="shared" si="31"/>
        <v>0</v>
      </c>
      <c r="S152" s="380">
        <f t="shared" si="32"/>
        <v>0</v>
      </c>
    </row>
    <row r="153" spans="1:19">
      <c r="A153" s="388"/>
      <c r="B153" s="389"/>
      <c r="C153" s="381">
        <f t="shared" si="23"/>
        <v>1</v>
      </c>
      <c r="D153" s="390"/>
      <c r="E153" s="381">
        <f t="shared" si="24"/>
        <v>1</v>
      </c>
      <c r="F153" s="390"/>
      <c r="G153" s="381">
        <f t="shared" si="25"/>
        <v>1</v>
      </c>
      <c r="H153" s="390"/>
      <c r="I153" s="381">
        <f t="shared" si="26"/>
        <v>1</v>
      </c>
      <c r="J153" s="390"/>
      <c r="K153" s="381">
        <f t="shared" si="27"/>
        <v>1</v>
      </c>
      <c r="L153" s="390"/>
      <c r="M153" s="381">
        <f t="shared" si="28"/>
        <v>1</v>
      </c>
      <c r="N153" s="390"/>
      <c r="O153" s="381">
        <f t="shared" si="29"/>
        <v>1</v>
      </c>
      <c r="P153" s="390"/>
      <c r="Q153" s="381">
        <f t="shared" si="30"/>
        <v>1</v>
      </c>
      <c r="R153" s="441">
        <f t="shared" si="31"/>
        <v>0</v>
      </c>
      <c r="S153" s="380">
        <f t="shared" si="32"/>
        <v>0</v>
      </c>
    </row>
    <row r="154" spans="1:19">
      <c r="A154" s="388"/>
      <c r="B154" s="389"/>
      <c r="C154" s="381">
        <f t="shared" ref="C154:C217" si="33">IF(B154="",1,(LOOKUP(B154,$3:$3,$4:$4)-LOOKUP($B$24,$3:$3,$4:$4)+100)/100)</f>
        <v>1</v>
      </c>
      <c r="D154" s="390"/>
      <c r="E154" s="381">
        <f t="shared" ref="E154:E217" si="34">(SUMIF($5:$5,D154,$6:$6)-SUMIF($5:$5,$D$24,$6:$6)+100)/100</f>
        <v>1</v>
      </c>
      <c r="F154" s="390"/>
      <c r="G154" s="381">
        <f t="shared" ref="G154:G217" si="35">(SUMIF($7:$7,F154,$8:$8)-SUMIF($7:$7,$F$24,$8:$8)+100)/100</f>
        <v>1</v>
      </c>
      <c r="H154" s="390"/>
      <c r="I154" s="381">
        <f t="shared" ref="I154:I217" si="36">(SUMIF($9:$9,H154,$10:$10)-SUMIF($9:$9,$H$24,$10:$10)+100)/100</f>
        <v>1</v>
      </c>
      <c r="J154" s="390"/>
      <c r="K154" s="381">
        <f t="shared" ref="K154:K217" si="37">(SUMIF($11:$11,J154,$12:$12)-SUMIF($11:$11,$J$24,$12:$12)+100)/100</f>
        <v>1</v>
      </c>
      <c r="L154" s="390"/>
      <c r="M154" s="381">
        <f t="shared" ref="M154:M217" si="38">(SUMIF($13:$13,L154,$14:$14)-SUMIF($13:$13,$L$24,$14:$14)+100)/100</f>
        <v>1</v>
      </c>
      <c r="N154" s="390"/>
      <c r="O154" s="381">
        <f t="shared" ref="O154:O217" si="39">(SUMIF($15:$15,N154,$16:$16)-SUMIF($15:$15,$N$24,$16:$16)+100)/100</f>
        <v>1</v>
      </c>
      <c r="P154" s="390"/>
      <c r="Q154" s="381">
        <f t="shared" ref="Q154:Q217" si="40">(SUMIF($17:$17,P154,$18:$18)-SUMIF($17:$17,$P$24,$18:$18)+100)/100</f>
        <v>1</v>
      </c>
      <c r="R154" s="441">
        <f t="shared" ref="R154:R217" si="41">IF(B154="",0,ROUND($R$24*C154*E154*G154*I154*K154*M154*O154*Q154,0))</f>
        <v>0</v>
      </c>
      <c r="S154" s="380">
        <f t="shared" si="32"/>
        <v>0</v>
      </c>
    </row>
    <row r="155" spans="1:19">
      <c r="A155" s="388"/>
      <c r="B155" s="389"/>
      <c r="C155" s="381">
        <f t="shared" si="33"/>
        <v>1</v>
      </c>
      <c r="D155" s="390"/>
      <c r="E155" s="381">
        <f t="shared" si="34"/>
        <v>1</v>
      </c>
      <c r="F155" s="390"/>
      <c r="G155" s="381">
        <f t="shared" si="35"/>
        <v>1</v>
      </c>
      <c r="H155" s="390"/>
      <c r="I155" s="381">
        <f t="shared" si="36"/>
        <v>1</v>
      </c>
      <c r="J155" s="390"/>
      <c r="K155" s="381">
        <f t="shared" si="37"/>
        <v>1</v>
      </c>
      <c r="L155" s="390"/>
      <c r="M155" s="381">
        <f t="shared" si="38"/>
        <v>1</v>
      </c>
      <c r="N155" s="390"/>
      <c r="O155" s="381">
        <f t="shared" si="39"/>
        <v>1</v>
      </c>
      <c r="P155" s="390"/>
      <c r="Q155" s="381">
        <f t="shared" si="40"/>
        <v>1</v>
      </c>
      <c r="R155" s="441">
        <f t="shared" si="41"/>
        <v>0</v>
      </c>
      <c r="S155" s="380">
        <f t="shared" si="32"/>
        <v>0</v>
      </c>
    </row>
    <row r="156" spans="1:19">
      <c r="A156" s="388"/>
      <c r="B156" s="389"/>
      <c r="C156" s="381">
        <f t="shared" si="33"/>
        <v>1</v>
      </c>
      <c r="D156" s="390"/>
      <c r="E156" s="381">
        <f t="shared" si="34"/>
        <v>1</v>
      </c>
      <c r="F156" s="390"/>
      <c r="G156" s="381">
        <f t="shared" si="35"/>
        <v>1</v>
      </c>
      <c r="H156" s="390"/>
      <c r="I156" s="381">
        <f t="shared" si="36"/>
        <v>1</v>
      </c>
      <c r="J156" s="390"/>
      <c r="K156" s="381">
        <f t="shared" si="37"/>
        <v>1</v>
      </c>
      <c r="L156" s="390"/>
      <c r="M156" s="381">
        <f t="shared" si="38"/>
        <v>1</v>
      </c>
      <c r="N156" s="390"/>
      <c r="O156" s="381">
        <f t="shared" si="39"/>
        <v>1</v>
      </c>
      <c r="P156" s="390"/>
      <c r="Q156" s="381">
        <f t="shared" si="40"/>
        <v>1</v>
      </c>
      <c r="R156" s="441">
        <f t="shared" si="41"/>
        <v>0</v>
      </c>
      <c r="S156" s="380">
        <f t="shared" si="32"/>
        <v>0</v>
      </c>
    </row>
    <row r="157" spans="1:19">
      <c r="A157" s="388"/>
      <c r="B157" s="389"/>
      <c r="C157" s="381">
        <f t="shared" si="33"/>
        <v>1</v>
      </c>
      <c r="D157" s="390"/>
      <c r="E157" s="381">
        <f t="shared" si="34"/>
        <v>1</v>
      </c>
      <c r="F157" s="390"/>
      <c r="G157" s="381">
        <f t="shared" si="35"/>
        <v>1</v>
      </c>
      <c r="H157" s="390"/>
      <c r="I157" s="381">
        <f t="shared" si="36"/>
        <v>1</v>
      </c>
      <c r="J157" s="390"/>
      <c r="K157" s="381">
        <f t="shared" si="37"/>
        <v>1</v>
      </c>
      <c r="L157" s="390"/>
      <c r="M157" s="381">
        <f t="shared" si="38"/>
        <v>1</v>
      </c>
      <c r="N157" s="390"/>
      <c r="O157" s="381">
        <f t="shared" si="39"/>
        <v>1</v>
      </c>
      <c r="P157" s="390"/>
      <c r="Q157" s="381">
        <f t="shared" si="40"/>
        <v>1</v>
      </c>
      <c r="R157" s="441">
        <f t="shared" si="41"/>
        <v>0</v>
      </c>
      <c r="S157" s="380">
        <f t="shared" si="32"/>
        <v>0</v>
      </c>
    </row>
    <row r="158" spans="1:19">
      <c r="A158" s="388"/>
      <c r="B158" s="389"/>
      <c r="C158" s="381">
        <f t="shared" si="33"/>
        <v>1</v>
      </c>
      <c r="D158" s="390"/>
      <c r="E158" s="381">
        <f t="shared" si="34"/>
        <v>1</v>
      </c>
      <c r="F158" s="390"/>
      <c r="G158" s="381">
        <f t="shared" si="35"/>
        <v>1</v>
      </c>
      <c r="H158" s="390"/>
      <c r="I158" s="381">
        <f t="shared" si="36"/>
        <v>1</v>
      </c>
      <c r="J158" s="390"/>
      <c r="K158" s="381">
        <f t="shared" si="37"/>
        <v>1</v>
      </c>
      <c r="L158" s="390"/>
      <c r="M158" s="381">
        <f t="shared" si="38"/>
        <v>1</v>
      </c>
      <c r="N158" s="390"/>
      <c r="O158" s="381">
        <f t="shared" si="39"/>
        <v>1</v>
      </c>
      <c r="P158" s="390"/>
      <c r="Q158" s="381">
        <f t="shared" si="40"/>
        <v>1</v>
      </c>
      <c r="R158" s="441">
        <f t="shared" si="41"/>
        <v>0</v>
      </c>
      <c r="S158" s="380">
        <f t="shared" si="32"/>
        <v>0</v>
      </c>
    </row>
    <row r="159" spans="1:19">
      <c r="A159" s="388"/>
      <c r="B159" s="389"/>
      <c r="C159" s="381">
        <f t="shared" si="33"/>
        <v>1</v>
      </c>
      <c r="D159" s="390"/>
      <c r="E159" s="381">
        <f t="shared" si="34"/>
        <v>1</v>
      </c>
      <c r="F159" s="390"/>
      <c r="G159" s="381">
        <f t="shared" si="35"/>
        <v>1</v>
      </c>
      <c r="H159" s="390"/>
      <c r="I159" s="381">
        <f t="shared" si="36"/>
        <v>1</v>
      </c>
      <c r="J159" s="390"/>
      <c r="K159" s="381">
        <f t="shared" si="37"/>
        <v>1</v>
      </c>
      <c r="L159" s="390"/>
      <c r="M159" s="381">
        <f t="shared" si="38"/>
        <v>1</v>
      </c>
      <c r="N159" s="390"/>
      <c r="O159" s="381">
        <f t="shared" si="39"/>
        <v>1</v>
      </c>
      <c r="P159" s="390"/>
      <c r="Q159" s="381">
        <f t="shared" si="40"/>
        <v>1</v>
      </c>
      <c r="R159" s="441">
        <f t="shared" si="41"/>
        <v>0</v>
      </c>
      <c r="S159" s="380">
        <f t="shared" si="32"/>
        <v>0</v>
      </c>
    </row>
    <row r="160" spans="1:19">
      <c r="A160" s="388"/>
      <c r="B160" s="389"/>
      <c r="C160" s="381">
        <f t="shared" si="33"/>
        <v>1</v>
      </c>
      <c r="D160" s="390"/>
      <c r="E160" s="381">
        <f t="shared" si="34"/>
        <v>1</v>
      </c>
      <c r="F160" s="390"/>
      <c r="G160" s="381">
        <f t="shared" si="35"/>
        <v>1</v>
      </c>
      <c r="H160" s="390"/>
      <c r="I160" s="381">
        <f t="shared" si="36"/>
        <v>1</v>
      </c>
      <c r="J160" s="390"/>
      <c r="K160" s="381">
        <f t="shared" si="37"/>
        <v>1</v>
      </c>
      <c r="L160" s="390"/>
      <c r="M160" s="381">
        <f t="shared" si="38"/>
        <v>1</v>
      </c>
      <c r="N160" s="390"/>
      <c r="O160" s="381">
        <f t="shared" si="39"/>
        <v>1</v>
      </c>
      <c r="P160" s="390"/>
      <c r="Q160" s="381">
        <f t="shared" si="40"/>
        <v>1</v>
      </c>
      <c r="R160" s="441">
        <f t="shared" si="41"/>
        <v>0</v>
      </c>
      <c r="S160" s="380">
        <f t="shared" si="32"/>
        <v>0</v>
      </c>
    </row>
    <row r="161" spans="1:19">
      <c r="A161" s="388"/>
      <c r="B161" s="389"/>
      <c r="C161" s="381">
        <f t="shared" si="33"/>
        <v>1</v>
      </c>
      <c r="D161" s="390"/>
      <c r="E161" s="381">
        <f t="shared" si="34"/>
        <v>1</v>
      </c>
      <c r="F161" s="390"/>
      <c r="G161" s="381">
        <f t="shared" si="35"/>
        <v>1</v>
      </c>
      <c r="H161" s="390"/>
      <c r="I161" s="381">
        <f t="shared" si="36"/>
        <v>1</v>
      </c>
      <c r="J161" s="390"/>
      <c r="K161" s="381">
        <f t="shared" si="37"/>
        <v>1</v>
      </c>
      <c r="L161" s="390"/>
      <c r="M161" s="381">
        <f t="shared" si="38"/>
        <v>1</v>
      </c>
      <c r="N161" s="390"/>
      <c r="O161" s="381">
        <f t="shared" si="39"/>
        <v>1</v>
      </c>
      <c r="P161" s="390"/>
      <c r="Q161" s="381">
        <f t="shared" si="40"/>
        <v>1</v>
      </c>
      <c r="R161" s="441">
        <f t="shared" si="41"/>
        <v>0</v>
      </c>
      <c r="S161" s="380">
        <f t="shared" si="32"/>
        <v>0</v>
      </c>
    </row>
    <row r="162" spans="1:19">
      <c r="A162" s="388"/>
      <c r="B162" s="389"/>
      <c r="C162" s="381">
        <f t="shared" si="33"/>
        <v>1</v>
      </c>
      <c r="D162" s="390"/>
      <c r="E162" s="381">
        <f t="shared" si="34"/>
        <v>1</v>
      </c>
      <c r="F162" s="390"/>
      <c r="G162" s="381">
        <f t="shared" si="35"/>
        <v>1</v>
      </c>
      <c r="H162" s="390"/>
      <c r="I162" s="381">
        <f t="shared" si="36"/>
        <v>1</v>
      </c>
      <c r="J162" s="390"/>
      <c r="K162" s="381">
        <f t="shared" si="37"/>
        <v>1</v>
      </c>
      <c r="L162" s="390"/>
      <c r="M162" s="381">
        <f t="shared" si="38"/>
        <v>1</v>
      </c>
      <c r="N162" s="390"/>
      <c r="O162" s="381">
        <f t="shared" si="39"/>
        <v>1</v>
      </c>
      <c r="P162" s="390"/>
      <c r="Q162" s="381">
        <f t="shared" si="40"/>
        <v>1</v>
      </c>
      <c r="R162" s="441">
        <f t="shared" si="41"/>
        <v>0</v>
      </c>
      <c r="S162" s="380">
        <f t="shared" si="32"/>
        <v>0</v>
      </c>
    </row>
    <row r="163" spans="1:19">
      <c r="A163" s="388"/>
      <c r="B163" s="389"/>
      <c r="C163" s="381">
        <f t="shared" si="33"/>
        <v>1</v>
      </c>
      <c r="D163" s="390"/>
      <c r="E163" s="381">
        <f t="shared" si="34"/>
        <v>1</v>
      </c>
      <c r="F163" s="390"/>
      <c r="G163" s="381">
        <f t="shared" si="35"/>
        <v>1</v>
      </c>
      <c r="H163" s="390"/>
      <c r="I163" s="381">
        <f t="shared" si="36"/>
        <v>1</v>
      </c>
      <c r="J163" s="390"/>
      <c r="K163" s="381">
        <f t="shared" si="37"/>
        <v>1</v>
      </c>
      <c r="L163" s="390"/>
      <c r="M163" s="381">
        <f t="shared" si="38"/>
        <v>1</v>
      </c>
      <c r="N163" s="390"/>
      <c r="O163" s="381">
        <f t="shared" si="39"/>
        <v>1</v>
      </c>
      <c r="P163" s="390"/>
      <c r="Q163" s="381">
        <f t="shared" si="40"/>
        <v>1</v>
      </c>
      <c r="R163" s="441">
        <f t="shared" si="41"/>
        <v>0</v>
      </c>
      <c r="S163" s="380">
        <f t="shared" si="32"/>
        <v>0</v>
      </c>
    </row>
    <row r="164" spans="1:19">
      <c r="A164" s="388"/>
      <c r="B164" s="389"/>
      <c r="C164" s="381">
        <f t="shared" si="33"/>
        <v>1</v>
      </c>
      <c r="D164" s="390"/>
      <c r="E164" s="381">
        <f t="shared" si="34"/>
        <v>1</v>
      </c>
      <c r="F164" s="390"/>
      <c r="G164" s="381">
        <f t="shared" si="35"/>
        <v>1</v>
      </c>
      <c r="H164" s="390"/>
      <c r="I164" s="381">
        <f t="shared" si="36"/>
        <v>1</v>
      </c>
      <c r="J164" s="390"/>
      <c r="K164" s="381">
        <f t="shared" si="37"/>
        <v>1</v>
      </c>
      <c r="L164" s="390"/>
      <c r="M164" s="381">
        <f t="shared" si="38"/>
        <v>1</v>
      </c>
      <c r="N164" s="390"/>
      <c r="O164" s="381">
        <f t="shared" si="39"/>
        <v>1</v>
      </c>
      <c r="P164" s="390"/>
      <c r="Q164" s="381">
        <f t="shared" si="40"/>
        <v>1</v>
      </c>
      <c r="R164" s="441">
        <f t="shared" si="41"/>
        <v>0</v>
      </c>
      <c r="S164" s="380">
        <f t="shared" si="32"/>
        <v>0</v>
      </c>
    </row>
    <row r="165" spans="1:19">
      <c r="A165" s="388"/>
      <c r="B165" s="389"/>
      <c r="C165" s="381">
        <f t="shared" si="33"/>
        <v>1</v>
      </c>
      <c r="D165" s="390"/>
      <c r="E165" s="381">
        <f t="shared" si="34"/>
        <v>1</v>
      </c>
      <c r="F165" s="390"/>
      <c r="G165" s="381">
        <f t="shared" si="35"/>
        <v>1</v>
      </c>
      <c r="H165" s="390"/>
      <c r="I165" s="381">
        <f t="shared" si="36"/>
        <v>1</v>
      </c>
      <c r="J165" s="390"/>
      <c r="K165" s="381">
        <f t="shared" si="37"/>
        <v>1</v>
      </c>
      <c r="L165" s="390"/>
      <c r="M165" s="381">
        <f t="shared" si="38"/>
        <v>1</v>
      </c>
      <c r="N165" s="390"/>
      <c r="O165" s="381">
        <f t="shared" si="39"/>
        <v>1</v>
      </c>
      <c r="P165" s="390"/>
      <c r="Q165" s="381">
        <f t="shared" si="40"/>
        <v>1</v>
      </c>
      <c r="R165" s="441">
        <f t="shared" si="41"/>
        <v>0</v>
      </c>
      <c r="S165" s="380">
        <f t="shared" si="32"/>
        <v>0</v>
      </c>
    </row>
    <row r="166" spans="1:19">
      <c r="A166" s="388"/>
      <c r="B166" s="389"/>
      <c r="C166" s="381">
        <f t="shared" si="33"/>
        <v>1</v>
      </c>
      <c r="D166" s="390"/>
      <c r="E166" s="381">
        <f t="shared" si="34"/>
        <v>1</v>
      </c>
      <c r="F166" s="390"/>
      <c r="G166" s="381">
        <f t="shared" si="35"/>
        <v>1</v>
      </c>
      <c r="H166" s="390"/>
      <c r="I166" s="381">
        <f t="shared" si="36"/>
        <v>1</v>
      </c>
      <c r="J166" s="390"/>
      <c r="K166" s="381">
        <f t="shared" si="37"/>
        <v>1</v>
      </c>
      <c r="L166" s="390"/>
      <c r="M166" s="381">
        <f t="shared" si="38"/>
        <v>1</v>
      </c>
      <c r="N166" s="390"/>
      <c r="O166" s="381">
        <f t="shared" si="39"/>
        <v>1</v>
      </c>
      <c r="P166" s="390"/>
      <c r="Q166" s="381">
        <f t="shared" si="40"/>
        <v>1</v>
      </c>
      <c r="R166" s="441">
        <f t="shared" si="41"/>
        <v>0</v>
      </c>
      <c r="S166" s="380">
        <f t="shared" si="32"/>
        <v>0</v>
      </c>
    </row>
    <row r="167" spans="1:19">
      <c r="A167" s="388"/>
      <c r="B167" s="389"/>
      <c r="C167" s="381">
        <f t="shared" si="33"/>
        <v>1</v>
      </c>
      <c r="D167" s="390"/>
      <c r="E167" s="381">
        <f t="shared" si="34"/>
        <v>1</v>
      </c>
      <c r="F167" s="390"/>
      <c r="G167" s="381">
        <f t="shared" si="35"/>
        <v>1</v>
      </c>
      <c r="H167" s="390"/>
      <c r="I167" s="381">
        <f t="shared" si="36"/>
        <v>1</v>
      </c>
      <c r="J167" s="390"/>
      <c r="K167" s="381">
        <f t="shared" si="37"/>
        <v>1</v>
      </c>
      <c r="L167" s="390"/>
      <c r="M167" s="381">
        <f t="shared" si="38"/>
        <v>1</v>
      </c>
      <c r="N167" s="390"/>
      <c r="O167" s="381">
        <f t="shared" si="39"/>
        <v>1</v>
      </c>
      <c r="P167" s="390"/>
      <c r="Q167" s="381">
        <f t="shared" si="40"/>
        <v>1</v>
      </c>
      <c r="R167" s="441">
        <f t="shared" si="41"/>
        <v>0</v>
      </c>
      <c r="S167" s="380">
        <f t="shared" si="32"/>
        <v>0</v>
      </c>
    </row>
    <row r="168" spans="1:19">
      <c r="A168" s="388"/>
      <c r="B168" s="389"/>
      <c r="C168" s="381">
        <f t="shared" si="33"/>
        <v>1</v>
      </c>
      <c r="D168" s="390"/>
      <c r="E168" s="381">
        <f t="shared" si="34"/>
        <v>1</v>
      </c>
      <c r="F168" s="390"/>
      <c r="G168" s="381">
        <f t="shared" si="35"/>
        <v>1</v>
      </c>
      <c r="H168" s="390"/>
      <c r="I168" s="381">
        <f t="shared" si="36"/>
        <v>1</v>
      </c>
      <c r="J168" s="390"/>
      <c r="K168" s="381">
        <f t="shared" si="37"/>
        <v>1</v>
      </c>
      <c r="L168" s="390"/>
      <c r="M168" s="381">
        <f t="shared" si="38"/>
        <v>1</v>
      </c>
      <c r="N168" s="390"/>
      <c r="O168" s="381">
        <f t="shared" si="39"/>
        <v>1</v>
      </c>
      <c r="P168" s="390"/>
      <c r="Q168" s="381">
        <f t="shared" si="40"/>
        <v>1</v>
      </c>
      <c r="R168" s="441">
        <f t="shared" si="41"/>
        <v>0</v>
      </c>
      <c r="S168" s="380">
        <f t="shared" si="32"/>
        <v>0</v>
      </c>
    </row>
    <row r="169" spans="1:19">
      <c r="A169" s="388"/>
      <c r="B169" s="389"/>
      <c r="C169" s="381">
        <f t="shared" si="33"/>
        <v>1</v>
      </c>
      <c r="D169" s="390"/>
      <c r="E169" s="381">
        <f t="shared" si="34"/>
        <v>1</v>
      </c>
      <c r="F169" s="390"/>
      <c r="G169" s="381">
        <f t="shared" si="35"/>
        <v>1</v>
      </c>
      <c r="H169" s="390"/>
      <c r="I169" s="381">
        <f t="shared" si="36"/>
        <v>1</v>
      </c>
      <c r="J169" s="390"/>
      <c r="K169" s="381">
        <f t="shared" si="37"/>
        <v>1</v>
      </c>
      <c r="L169" s="390"/>
      <c r="M169" s="381">
        <f t="shared" si="38"/>
        <v>1</v>
      </c>
      <c r="N169" s="390"/>
      <c r="O169" s="381">
        <f t="shared" si="39"/>
        <v>1</v>
      </c>
      <c r="P169" s="390"/>
      <c r="Q169" s="381">
        <f t="shared" si="40"/>
        <v>1</v>
      </c>
      <c r="R169" s="441">
        <f t="shared" si="41"/>
        <v>0</v>
      </c>
      <c r="S169" s="380">
        <f t="shared" si="32"/>
        <v>0</v>
      </c>
    </row>
    <row r="170" spans="1:19">
      <c r="A170" s="388"/>
      <c r="B170" s="389"/>
      <c r="C170" s="381">
        <f t="shared" si="33"/>
        <v>1</v>
      </c>
      <c r="D170" s="390"/>
      <c r="E170" s="381">
        <f t="shared" si="34"/>
        <v>1</v>
      </c>
      <c r="F170" s="390"/>
      <c r="G170" s="381">
        <f t="shared" si="35"/>
        <v>1</v>
      </c>
      <c r="H170" s="390"/>
      <c r="I170" s="381">
        <f t="shared" si="36"/>
        <v>1</v>
      </c>
      <c r="J170" s="390"/>
      <c r="K170" s="381">
        <f t="shared" si="37"/>
        <v>1</v>
      </c>
      <c r="L170" s="390"/>
      <c r="M170" s="381">
        <f t="shared" si="38"/>
        <v>1</v>
      </c>
      <c r="N170" s="390"/>
      <c r="O170" s="381">
        <f t="shared" si="39"/>
        <v>1</v>
      </c>
      <c r="P170" s="390"/>
      <c r="Q170" s="381">
        <f t="shared" si="40"/>
        <v>1</v>
      </c>
      <c r="R170" s="441">
        <f t="shared" si="41"/>
        <v>0</v>
      </c>
      <c r="S170" s="380">
        <f t="shared" si="32"/>
        <v>0</v>
      </c>
    </row>
    <row r="171" spans="1:19">
      <c r="A171" s="388"/>
      <c r="B171" s="389"/>
      <c r="C171" s="381">
        <f t="shared" si="33"/>
        <v>1</v>
      </c>
      <c r="D171" s="390"/>
      <c r="E171" s="381">
        <f t="shared" si="34"/>
        <v>1</v>
      </c>
      <c r="F171" s="390"/>
      <c r="G171" s="381">
        <f t="shared" si="35"/>
        <v>1</v>
      </c>
      <c r="H171" s="390"/>
      <c r="I171" s="381">
        <f t="shared" si="36"/>
        <v>1</v>
      </c>
      <c r="J171" s="390"/>
      <c r="K171" s="381">
        <f t="shared" si="37"/>
        <v>1</v>
      </c>
      <c r="L171" s="390"/>
      <c r="M171" s="381">
        <f t="shared" si="38"/>
        <v>1</v>
      </c>
      <c r="N171" s="390"/>
      <c r="O171" s="381">
        <f t="shared" si="39"/>
        <v>1</v>
      </c>
      <c r="P171" s="390"/>
      <c r="Q171" s="381">
        <f t="shared" si="40"/>
        <v>1</v>
      </c>
      <c r="R171" s="441">
        <f t="shared" si="41"/>
        <v>0</v>
      </c>
      <c r="S171" s="380">
        <f t="shared" si="32"/>
        <v>0</v>
      </c>
    </row>
    <row r="172" spans="1:19">
      <c r="A172" s="388"/>
      <c r="B172" s="389"/>
      <c r="C172" s="381">
        <f t="shared" si="33"/>
        <v>1</v>
      </c>
      <c r="D172" s="390"/>
      <c r="E172" s="381">
        <f t="shared" si="34"/>
        <v>1</v>
      </c>
      <c r="F172" s="390"/>
      <c r="G172" s="381">
        <f t="shared" si="35"/>
        <v>1</v>
      </c>
      <c r="H172" s="390"/>
      <c r="I172" s="381">
        <f t="shared" si="36"/>
        <v>1</v>
      </c>
      <c r="J172" s="390"/>
      <c r="K172" s="381">
        <f t="shared" si="37"/>
        <v>1</v>
      </c>
      <c r="L172" s="390"/>
      <c r="M172" s="381">
        <f t="shared" si="38"/>
        <v>1</v>
      </c>
      <c r="N172" s="390"/>
      <c r="O172" s="381">
        <f t="shared" si="39"/>
        <v>1</v>
      </c>
      <c r="P172" s="390"/>
      <c r="Q172" s="381">
        <f t="shared" si="40"/>
        <v>1</v>
      </c>
      <c r="R172" s="441">
        <f t="shared" si="41"/>
        <v>0</v>
      </c>
      <c r="S172" s="380">
        <f t="shared" si="32"/>
        <v>0</v>
      </c>
    </row>
    <row r="173" spans="1:19">
      <c r="A173" s="388"/>
      <c r="B173" s="389"/>
      <c r="C173" s="381">
        <f t="shared" si="33"/>
        <v>1</v>
      </c>
      <c r="D173" s="390"/>
      <c r="E173" s="381">
        <f t="shared" si="34"/>
        <v>1</v>
      </c>
      <c r="F173" s="390"/>
      <c r="G173" s="381">
        <f t="shared" si="35"/>
        <v>1</v>
      </c>
      <c r="H173" s="390"/>
      <c r="I173" s="381">
        <f t="shared" si="36"/>
        <v>1</v>
      </c>
      <c r="J173" s="390"/>
      <c r="K173" s="381">
        <f t="shared" si="37"/>
        <v>1</v>
      </c>
      <c r="L173" s="390"/>
      <c r="M173" s="381">
        <f t="shared" si="38"/>
        <v>1</v>
      </c>
      <c r="N173" s="390"/>
      <c r="O173" s="381">
        <f t="shared" si="39"/>
        <v>1</v>
      </c>
      <c r="P173" s="390"/>
      <c r="Q173" s="381">
        <f t="shared" si="40"/>
        <v>1</v>
      </c>
      <c r="R173" s="441">
        <f t="shared" si="41"/>
        <v>0</v>
      </c>
      <c r="S173" s="380">
        <f t="shared" si="32"/>
        <v>0</v>
      </c>
    </row>
    <row r="174" spans="1:19">
      <c r="A174" s="388"/>
      <c r="B174" s="389"/>
      <c r="C174" s="381">
        <f t="shared" si="33"/>
        <v>1</v>
      </c>
      <c r="D174" s="390"/>
      <c r="E174" s="381">
        <f t="shared" si="34"/>
        <v>1</v>
      </c>
      <c r="F174" s="390"/>
      <c r="G174" s="381">
        <f t="shared" si="35"/>
        <v>1</v>
      </c>
      <c r="H174" s="390"/>
      <c r="I174" s="381">
        <f t="shared" si="36"/>
        <v>1</v>
      </c>
      <c r="J174" s="390"/>
      <c r="K174" s="381">
        <f t="shared" si="37"/>
        <v>1</v>
      </c>
      <c r="L174" s="390"/>
      <c r="M174" s="381">
        <f t="shared" si="38"/>
        <v>1</v>
      </c>
      <c r="N174" s="390"/>
      <c r="O174" s="381">
        <f t="shared" si="39"/>
        <v>1</v>
      </c>
      <c r="P174" s="390"/>
      <c r="Q174" s="381">
        <f t="shared" si="40"/>
        <v>1</v>
      </c>
      <c r="R174" s="441">
        <f t="shared" si="41"/>
        <v>0</v>
      </c>
      <c r="S174" s="380">
        <f t="shared" si="32"/>
        <v>0</v>
      </c>
    </row>
    <row r="175" spans="1:19">
      <c r="A175" s="388"/>
      <c r="B175" s="389"/>
      <c r="C175" s="381">
        <f t="shared" si="33"/>
        <v>1</v>
      </c>
      <c r="D175" s="390"/>
      <c r="E175" s="381">
        <f t="shared" si="34"/>
        <v>1</v>
      </c>
      <c r="F175" s="390"/>
      <c r="G175" s="381">
        <f t="shared" si="35"/>
        <v>1</v>
      </c>
      <c r="H175" s="390"/>
      <c r="I175" s="381">
        <f t="shared" si="36"/>
        <v>1</v>
      </c>
      <c r="J175" s="390"/>
      <c r="K175" s="381">
        <f t="shared" si="37"/>
        <v>1</v>
      </c>
      <c r="L175" s="390"/>
      <c r="M175" s="381">
        <f t="shared" si="38"/>
        <v>1</v>
      </c>
      <c r="N175" s="390"/>
      <c r="O175" s="381">
        <f t="shared" si="39"/>
        <v>1</v>
      </c>
      <c r="P175" s="390"/>
      <c r="Q175" s="381">
        <f t="shared" si="40"/>
        <v>1</v>
      </c>
      <c r="R175" s="441">
        <f t="shared" si="41"/>
        <v>0</v>
      </c>
      <c r="S175" s="380">
        <f t="shared" si="32"/>
        <v>0</v>
      </c>
    </row>
    <row r="176" spans="1:19">
      <c r="A176" s="388"/>
      <c r="B176" s="389"/>
      <c r="C176" s="381">
        <f t="shared" si="33"/>
        <v>1</v>
      </c>
      <c r="D176" s="390"/>
      <c r="E176" s="381">
        <f t="shared" si="34"/>
        <v>1</v>
      </c>
      <c r="F176" s="390"/>
      <c r="G176" s="381">
        <f t="shared" si="35"/>
        <v>1</v>
      </c>
      <c r="H176" s="390"/>
      <c r="I176" s="381">
        <f t="shared" si="36"/>
        <v>1</v>
      </c>
      <c r="J176" s="390"/>
      <c r="K176" s="381">
        <f t="shared" si="37"/>
        <v>1</v>
      </c>
      <c r="L176" s="390"/>
      <c r="M176" s="381">
        <f t="shared" si="38"/>
        <v>1</v>
      </c>
      <c r="N176" s="390"/>
      <c r="O176" s="381">
        <f t="shared" si="39"/>
        <v>1</v>
      </c>
      <c r="P176" s="390"/>
      <c r="Q176" s="381">
        <f t="shared" si="40"/>
        <v>1</v>
      </c>
      <c r="R176" s="441">
        <f t="shared" si="41"/>
        <v>0</v>
      </c>
      <c r="S176" s="380">
        <f t="shared" si="32"/>
        <v>0</v>
      </c>
    </row>
    <row r="177" spans="1:19">
      <c r="A177" s="388"/>
      <c r="B177" s="389"/>
      <c r="C177" s="381">
        <f t="shared" si="33"/>
        <v>1</v>
      </c>
      <c r="D177" s="390"/>
      <c r="E177" s="381">
        <f t="shared" si="34"/>
        <v>1</v>
      </c>
      <c r="F177" s="390"/>
      <c r="G177" s="381">
        <f t="shared" si="35"/>
        <v>1</v>
      </c>
      <c r="H177" s="390"/>
      <c r="I177" s="381">
        <f t="shared" si="36"/>
        <v>1</v>
      </c>
      <c r="J177" s="390"/>
      <c r="K177" s="381">
        <f t="shared" si="37"/>
        <v>1</v>
      </c>
      <c r="L177" s="390"/>
      <c r="M177" s="381">
        <f t="shared" si="38"/>
        <v>1</v>
      </c>
      <c r="N177" s="390"/>
      <c r="O177" s="381">
        <f t="shared" si="39"/>
        <v>1</v>
      </c>
      <c r="P177" s="390"/>
      <c r="Q177" s="381">
        <f t="shared" si="40"/>
        <v>1</v>
      </c>
      <c r="R177" s="441">
        <f t="shared" si="41"/>
        <v>0</v>
      </c>
      <c r="S177" s="380">
        <f t="shared" si="32"/>
        <v>0</v>
      </c>
    </row>
    <row r="178" spans="1:19">
      <c r="A178" s="388"/>
      <c r="B178" s="389"/>
      <c r="C178" s="381">
        <f t="shared" si="33"/>
        <v>1</v>
      </c>
      <c r="D178" s="390"/>
      <c r="E178" s="381">
        <f t="shared" si="34"/>
        <v>1</v>
      </c>
      <c r="F178" s="390"/>
      <c r="G178" s="381">
        <f t="shared" si="35"/>
        <v>1</v>
      </c>
      <c r="H178" s="390"/>
      <c r="I178" s="381">
        <f t="shared" si="36"/>
        <v>1</v>
      </c>
      <c r="J178" s="390"/>
      <c r="K178" s="381">
        <f t="shared" si="37"/>
        <v>1</v>
      </c>
      <c r="L178" s="390"/>
      <c r="M178" s="381">
        <f t="shared" si="38"/>
        <v>1</v>
      </c>
      <c r="N178" s="390"/>
      <c r="O178" s="381">
        <f t="shared" si="39"/>
        <v>1</v>
      </c>
      <c r="P178" s="390"/>
      <c r="Q178" s="381">
        <f t="shared" si="40"/>
        <v>1</v>
      </c>
      <c r="R178" s="441">
        <f t="shared" si="41"/>
        <v>0</v>
      </c>
      <c r="S178" s="380">
        <f t="shared" si="32"/>
        <v>0</v>
      </c>
    </row>
    <row r="179" spans="1:19">
      <c r="A179" s="388"/>
      <c r="B179" s="389"/>
      <c r="C179" s="381">
        <f t="shared" si="33"/>
        <v>1</v>
      </c>
      <c r="D179" s="390"/>
      <c r="E179" s="381">
        <f t="shared" si="34"/>
        <v>1</v>
      </c>
      <c r="F179" s="390"/>
      <c r="G179" s="381">
        <f t="shared" si="35"/>
        <v>1</v>
      </c>
      <c r="H179" s="390"/>
      <c r="I179" s="381">
        <f t="shared" si="36"/>
        <v>1</v>
      </c>
      <c r="J179" s="390"/>
      <c r="K179" s="381">
        <f t="shared" si="37"/>
        <v>1</v>
      </c>
      <c r="L179" s="390"/>
      <c r="M179" s="381">
        <f t="shared" si="38"/>
        <v>1</v>
      </c>
      <c r="N179" s="390"/>
      <c r="O179" s="381">
        <f t="shared" si="39"/>
        <v>1</v>
      </c>
      <c r="P179" s="390"/>
      <c r="Q179" s="381">
        <f t="shared" si="40"/>
        <v>1</v>
      </c>
      <c r="R179" s="441">
        <f t="shared" si="41"/>
        <v>0</v>
      </c>
      <c r="S179" s="380">
        <f t="shared" si="32"/>
        <v>0</v>
      </c>
    </row>
    <row r="180" spans="1:19">
      <c r="A180" s="388"/>
      <c r="B180" s="389"/>
      <c r="C180" s="381">
        <f t="shared" si="33"/>
        <v>1</v>
      </c>
      <c r="D180" s="390"/>
      <c r="E180" s="381">
        <f t="shared" si="34"/>
        <v>1</v>
      </c>
      <c r="F180" s="390"/>
      <c r="G180" s="381">
        <f t="shared" si="35"/>
        <v>1</v>
      </c>
      <c r="H180" s="390"/>
      <c r="I180" s="381">
        <f t="shared" si="36"/>
        <v>1</v>
      </c>
      <c r="J180" s="390"/>
      <c r="K180" s="381">
        <f t="shared" si="37"/>
        <v>1</v>
      </c>
      <c r="L180" s="390"/>
      <c r="M180" s="381">
        <f t="shared" si="38"/>
        <v>1</v>
      </c>
      <c r="N180" s="390"/>
      <c r="O180" s="381">
        <f t="shared" si="39"/>
        <v>1</v>
      </c>
      <c r="P180" s="390"/>
      <c r="Q180" s="381">
        <f t="shared" si="40"/>
        <v>1</v>
      </c>
      <c r="R180" s="441">
        <f t="shared" si="41"/>
        <v>0</v>
      </c>
      <c r="S180" s="380">
        <f t="shared" si="32"/>
        <v>0</v>
      </c>
    </row>
    <row r="181" spans="1:19">
      <c r="A181" s="388"/>
      <c r="B181" s="389"/>
      <c r="C181" s="381">
        <f t="shared" si="33"/>
        <v>1</v>
      </c>
      <c r="D181" s="390"/>
      <c r="E181" s="381">
        <f t="shared" si="34"/>
        <v>1</v>
      </c>
      <c r="F181" s="390"/>
      <c r="G181" s="381">
        <f t="shared" si="35"/>
        <v>1</v>
      </c>
      <c r="H181" s="390"/>
      <c r="I181" s="381">
        <f t="shared" si="36"/>
        <v>1</v>
      </c>
      <c r="J181" s="390"/>
      <c r="K181" s="381">
        <f t="shared" si="37"/>
        <v>1</v>
      </c>
      <c r="L181" s="390"/>
      <c r="M181" s="381">
        <f t="shared" si="38"/>
        <v>1</v>
      </c>
      <c r="N181" s="390"/>
      <c r="O181" s="381">
        <f t="shared" si="39"/>
        <v>1</v>
      </c>
      <c r="P181" s="390"/>
      <c r="Q181" s="381">
        <f t="shared" si="40"/>
        <v>1</v>
      </c>
      <c r="R181" s="441">
        <f t="shared" si="41"/>
        <v>0</v>
      </c>
      <c r="S181" s="380">
        <f t="shared" si="32"/>
        <v>0</v>
      </c>
    </row>
    <row r="182" spans="1:19">
      <c r="A182" s="388"/>
      <c r="B182" s="389"/>
      <c r="C182" s="381">
        <f t="shared" si="33"/>
        <v>1</v>
      </c>
      <c r="D182" s="390"/>
      <c r="E182" s="381">
        <f t="shared" si="34"/>
        <v>1</v>
      </c>
      <c r="F182" s="390"/>
      <c r="G182" s="381">
        <f t="shared" si="35"/>
        <v>1</v>
      </c>
      <c r="H182" s="390"/>
      <c r="I182" s="381">
        <f t="shared" si="36"/>
        <v>1</v>
      </c>
      <c r="J182" s="390"/>
      <c r="K182" s="381">
        <f t="shared" si="37"/>
        <v>1</v>
      </c>
      <c r="L182" s="390"/>
      <c r="M182" s="381">
        <f t="shared" si="38"/>
        <v>1</v>
      </c>
      <c r="N182" s="390"/>
      <c r="O182" s="381">
        <f t="shared" si="39"/>
        <v>1</v>
      </c>
      <c r="P182" s="390"/>
      <c r="Q182" s="381">
        <f t="shared" si="40"/>
        <v>1</v>
      </c>
      <c r="R182" s="441">
        <f t="shared" si="41"/>
        <v>0</v>
      </c>
      <c r="S182" s="380">
        <f t="shared" si="32"/>
        <v>0</v>
      </c>
    </row>
    <row r="183" spans="1:19">
      <c r="A183" s="388"/>
      <c r="B183" s="389"/>
      <c r="C183" s="381">
        <f t="shared" si="33"/>
        <v>1</v>
      </c>
      <c r="D183" s="390"/>
      <c r="E183" s="381">
        <f t="shared" si="34"/>
        <v>1</v>
      </c>
      <c r="F183" s="390"/>
      <c r="G183" s="381">
        <f t="shared" si="35"/>
        <v>1</v>
      </c>
      <c r="H183" s="390"/>
      <c r="I183" s="381">
        <f t="shared" si="36"/>
        <v>1</v>
      </c>
      <c r="J183" s="390"/>
      <c r="K183" s="381">
        <f t="shared" si="37"/>
        <v>1</v>
      </c>
      <c r="L183" s="390"/>
      <c r="M183" s="381">
        <f t="shared" si="38"/>
        <v>1</v>
      </c>
      <c r="N183" s="390"/>
      <c r="O183" s="381">
        <f t="shared" si="39"/>
        <v>1</v>
      </c>
      <c r="P183" s="390"/>
      <c r="Q183" s="381">
        <f t="shared" si="40"/>
        <v>1</v>
      </c>
      <c r="R183" s="441">
        <f t="shared" si="41"/>
        <v>0</v>
      </c>
      <c r="S183" s="380">
        <f t="shared" si="32"/>
        <v>0</v>
      </c>
    </row>
    <row r="184" spans="1:19">
      <c r="A184" s="388"/>
      <c r="B184" s="389"/>
      <c r="C184" s="381">
        <f t="shared" si="33"/>
        <v>1</v>
      </c>
      <c r="D184" s="390"/>
      <c r="E184" s="381">
        <f t="shared" si="34"/>
        <v>1</v>
      </c>
      <c r="F184" s="390"/>
      <c r="G184" s="381">
        <f t="shared" si="35"/>
        <v>1</v>
      </c>
      <c r="H184" s="390"/>
      <c r="I184" s="381">
        <f t="shared" si="36"/>
        <v>1</v>
      </c>
      <c r="J184" s="390"/>
      <c r="K184" s="381">
        <f t="shared" si="37"/>
        <v>1</v>
      </c>
      <c r="L184" s="390"/>
      <c r="M184" s="381">
        <f t="shared" si="38"/>
        <v>1</v>
      </c>
      <c r="N184" s="390"/>
      <c r="O184" s="381">
        <f t="shared" si="39"/>
        <v>1</v>
      </c>
      <c r="P184" s="390"/>
      <c r="Q184" s="381">
        <f t="shared" si="40"/>
        <v>1</v>
      </c>
      <c r="R184" s="441">
        <f t="shared" si="41"/>
        <v>0</v>
      </c>
      <c r="S184" s="380">
        <f t="shared" si="32"/>
        <v>0</v>
      </c>
    </row>
    <row r="185" spans="1:19">
      <c r="A185" s="388"/>
      <c r="B185" s="389"/>
      <c r="C185" s="381">
        <f t="shared" si="33"/>
        <v>1</v>
      </c>
      <c r="D185" s="390"/>
      <c r="E185" s="381">
        <f t="shared" si="34"/>
        <v>1</v>
      </c>
      <c r="F185" s="390"/>
      <c r="G185" s="381">
        <f t="shared" si="35"/>
        <v>1</v>
      </c>
      <c r="H185" s="390"/>
      <c r="I185" s="381">
        <f t="shared" si="36"/>
        <v>1</v>
      </c>
      <c r="J185" s="390"/>
      <c r="K185" s="381">
        <f t="shared" si="37"/>
        <v>1</v>
      </c>
      <c r="L185" s="390"/>
      <c r="M185" s="381">
        <f t="shared" si="38"/>
        <v>1</v>
      </c>
      <c r="N185" s="390"/>
      <c r="O185" s="381">
        <f t="shared" si="39"/>
        <v>1</v>
      </c>
      <c r="P185" s="390"/>
      <c r="Q185" s="381">
        <f t="shared" si="40"/>
        <v>1</v>
      </c>
      <c r="R185" s="441">
        <f t="shared" si="41"/>
        <v>0</v>
      </c>
      <c r="S185" s="380">
        <f t="shared" si="32"/>
        <v>0</v>
      </c>
    </row>
    <row r="186" spans="1:19">
      <c r="A186" s="388"/>
      <c r="B186" s="389"/>
      <c r="C186" s="381">
        <f t="shared" si="33"/>
        <v>1</v>
      </c>
      <c r="D186" s="390"/>
      <c r="E186" s="381">
        <f t="shared" si="34"/>
        <v>1</v>
      </c>
      <c r="F186" s="390"/>
      <c r="G186" s="381">
        <f t="shared" si="35"/>
        <v>1</v>
      </c>
      <c r="H186" s="390"/>
      <c r="I186" s="381">
        <f t="shared" si="36"/>
        <v>1</v>
      </c>
      <c r="J186" s="390"/>
      <c r="K186" s="381">
        <f t="shared" si="37"/>
        <v>1</v>
      </c>
      <c r="L186" s="390"/>
      <c r="M186" s="381">
        <f t="shared" si="38"/>
        <v>1</v>
      </c>
      <c r="N186" s="390"/>
      <c r="O186" s="381">
        <f t="shared" si="39"/>
        <v>1</v>
      </c>
      <c r="P186" s="390"/>
      <c r="Q186" s="381">
        <f t="shared" si="40"/>
        <v>1</v>
      </c>
      <c r="R186" s="441">
        <f t="shared" si="41"/>
        <v>0</v>
      </c>
      <c r="S186" s="380">
        <f t="shared" si="32"/>
        <v>0</v>
      </c>
    </row>
    <row r="187" spans="1:19">
      <c r="A187" s="388"/>
      <c r="B187" s="389"/>
      <c r="C187" s="381">
        <f t="shared" si="33"/>
        <v>1</v>
      </c>
      <c r="D187" s="390"/>
      <c r="E187" s="381">
        <f t="shared" si="34"/>
        <v>1</v>
      </c>
      <c r="F187" s="390"/>
      <c r="G187" s="381">
        <f t="shared" si="35"/>
        <v>1</v>
      </c>
      <c r="H187" s="390"/>
      <c r="I187" s="381">
        <f t="shared" si="36"/>
        <v>1</v>
      </c>
      <c r="J187" s="390"/>
      <c r="K187" s="381">
        <f t="shared" si="37"/>
        <v>1</v>
      </c>
      <c r="L187" s="390"/>
      <c r="M187" s="381">
        <f t="shared" si="38"/>
        <v>1</v>
      </c>
      <c r="N187" s="390"/>
      <c r="O187" s="381">
        <f t="shared" si="39"/>
        <v>1</v>
      </c>
      <c r="P187" s="390"/>
      <c r="Q187" s="381">
        <f t="shared" si="40"/>
        <v>1</v>
      </c>
      <c r="R187" s="441">
        <f t="shared" si="41"/>
        <v>0</v>
      </c>
      <c r="S187" s="380">
        <f t="shared" ref="S187:S222" si="42">ROUND(R187*B187/10000,0)</f>
        <v>0</v>
      </c>
    </row>
    <row r="188" spans="1:19">
      <c r="A188" s="388"/>
      <c r="B188" s="389"/>
      <c r="C188" s="381">
        <f t="shared" si="33"/>
        <v>1</v>
      </c>
      <c r="D188" s="390"/>
      <c r="E188" s="381">
        <f t="shared" si="34"/>
        <v>1</v>
      </c>
      <c r="F188" s="390"/>
      <c r="G188" s="381">
        <f t="shared" si="35"/>
        <v>1</v>
      </c>
      <c r="H188" s="390"/>
      <c r="I188" s="381">
        <f t="shared" si="36"/>
        <v>1</v>
      </c>
      <c r="J188" s="390"/>
      <c r="K188" s="381">
        <f t="shared" si="37"/>
        <v>1</v>
      </c>
      <c r="L188" s="390"/>
      <c r="M188" s="381">
        <f t="shared" si="38"/>
        <v>1</v>
      </c>
      <c r="N188" s="390"/>
      <c r="O188" s="381">
        <f t="shared" si="39"/>
        <v>1</v>
      </c>
      <c r="P188" s="390"/>
      <c r="Q188" s="381">
        <f t="shared" si="40"/>
        <v>1</v>
      </c>
      <c r="R188" s="441">
        <f t="shared" si="41"/>
        <v>0</v>
      </c>
      <c r="S188" s="380">
        <f t="shared" si="42"/>
        <v>0</v>
      </c>
    </row>
    <row r="189" spans="1:19">
      <c r="A189" s="388"/>
      <c r="B189" s="389"/>
      <c r="C189" s="381">
        <f t="shared" si="33"/>
        <v>1</v>
      </c>
      <c r="D189" s="390"/>
      <c r="E189" s="381">
        <f t="shared" si="34"/>
        <v>1</v>
      </c>
      <c r="F189" s="390"/>
      <c r="G189" s="381">
        <f t="shared" si="35"/>
        <v>1</v>
      </c>
      <c r="H189" s="390"/>
      <c r="I189" s="381">
        <f t="shared" si="36"/>
        <v>1</v>
      </c>
      <c r="J189" s="390"/>
      <c r="K189" s="381">
        <f t="shared" si="37"/>
        <v>1</v>
      </c>
      <c r="L189" s="390"/>
      <c r="M189" s="381">
        <f t="shared" si="38"/>
        <v>1</v>
      </c>
      <c r="N189" s="390"/>
      <c r="O189" s="381">
        <f t="shared" si="39"/>
        <v>1</v>
      </c>
      <c r="P189" s="390"/>
      <c r="Q189" s="381">
        <f t="shared" si="40"/>
        <v>1</v>
      </c>
      <c r="R189" s="441">
        <f t="shared" si="41"/>
        <v>0</v>
      </c>
      <c r="S189" s="380">
        <f t="shared" si="42"/>
        <v>0</v>
      </c>
    </row>
    <row r="190" spans="1:19">
      <c r="A190" s="388"/>
      <c r="B190" s="389"/>
      <c r="C190" s="381">
        <f t="shared" si="33"/>
        <v>1</v>
      </c>
      <c r="D190" s="390"/>
      <c r="E190" s="381">
        <f t="shared" si="34"/>
        <v>1</v>
      </c>
      <c r="F190" s="390"/>
      <c r="G190" s="381">
        <f t="shared" si="35"/>
        <v>1</v>
      </c>
      <c r="H190" s="390"/>
      <c r="I190" s="381">
        <f t="shared" si="36"/>
        <v>1</v>
      </c>
      <c r="J190" s="390"/>
      <c r="K190" s="381">
        <f t="shared" si="37"/>
        <v>1</v>
      </c>
      <c r="L190" s="390"/>
      <c r="M190" s="381">
        <f t="shared" si="38"/>
        <v>1</v>
      </c>
      <c r="N190" s="390"/>
      <c r="O190" s="381">
        <f t="shared" si="39"/>
        <v>1</v>
      </c>
      <c r="P190" s="390"/>
      <c r="Q190" s="381">
        <f t="shared" si="40"/>
        <v>1</v>
      </c>
      <c r="R190" s="441">
        <f t="shared" si="41"/>
        <v>0</v>
      </c>
      <c r="S190" s="380">
        <f t="shared" si="42"/>
        <v>0</v>
      </c>
    </row>
    <row r="191" spans="1:19">
      <c r="A191" s="388"/>
      <c r="B191" s="389"/>
      <c r="C191" s="381">
        <f t="shared" si="33"/>
        <v>1</v>
      </c>
      <c r="D191" s="390"/>
      <c r="E191" s="381">
        <f t="shared" si="34"/>
        <v>1</v>
      </c>
      <c r="F191" s="390"/>
      <c r="G191" s="381">
        <f t="shared" si="35"/>
        <v>1</v>
      </c>
      <c r="H191" s="390"/>
      <c r="I191" s="381">
        <f t="shared" si="36"/>
        <v>1</v>
      </c>
      <c r="J191" s="390"/>
      <c r="K191" s="381">
        <f t="shared" si="37"/>
        <v>1</v>
      </c>
      <c r="L191" s="390"/>
      <c r="M191" s="381">
        <f t="shared" si="38"/>
        <v>1</v>
      </c>
      <c r="N191" s="390"/>
      <c r="O191" s="381">
        <f t="shared" si="39"/>
        <v>1</v>
      </c>
      <c r="P191" s="390"/>
      <c r="Q191" s="381">
        <f t="shared" si="40"/>
        <v>1</v>
      </c>
      <c r="R191" s="441">
        <f t="shared" si="41"/>
        <v>0</v>
      </c>
      <c r="S191" s="380">
        <f t="shared" si="42"/>
        <v>0</v>
      </c>
    </row>
    <row r="192" spans="1:19">
      <c r="A192" s="388"/>
      <c r="B192" s="389"/>
      <c r="C192" s="381">
        <f t="shared" si="33"/>
        <v>1</v>
      </c>
      <c r="D192" s="390"/>
      <c r="E192" s="381">
        <f t="shared" si="34"/>
        <v>1</v>
      </c>
      <c r="F192" s="390"/>
      <c r="G192" s="381">
        <f t="shared" si="35"/>
        <v>1</v>
      </c>
      <c r="H192" s="390"/>
      <c r="I192" s="381">
        <f t="shared" si="36"/>
        <v>1</v>
      </c>
      <c r="J192" s="390"/>
      <c r="K192" s="381">
        <f t="shared" si="37"/>
        <v>1</v>
      </c>
      <c r="L192" s="390"/>
      <c r="M192" s="381">
        <f t="shared" si="38"/>
        <v>1</v>
      </c>
      <c r="N192" s="390"/>
      <c r="O192" s="381">
        <f t="shared" si="39"/>
        <v>1</v>
      </c>
      <c r="P192" s="390"/>
      <c r="Q192" s="381">
        <f t="shared" si="40"/>
        <v>1</v>
      </c>
      <c r="R192" s="441">
        <f t="shared" si="41"/>
        <v>0</v>
      </c>
      <c r="S192" s="380">
        <f t="shared" si="42"/>
        <v>0</v>
      </c>
    </row>
    <row r="193" spans="1:19">
      <c r="A193" s="388"/>
      <c r="B193" s="389"/>
      <c r="C193" s="381">
        <f t="shared" si="33"/>
        <v>1</v>
      </c>
      <c r="D193" s="390"/>
      <c r="E193" s="381">
        <f t="shared" si="34"/>
        <v>1</v>
      </c>
      <c r="F193" s="390"/>
      <c r="G193" s="381">
        <f t="shared" si="35"/>
        <v>1</v>
      </c>
      <c r="H193" s="390"/>
      <c r="I193" s="381">
        <f t="shared" si="36"/>
        <v>1</v>
      </c>
      <c r="J193" s="390"/>
      <c r="K193" s="381">
        <f t="shared" si="37"/>
        <v>1</v>
      </c>
      <c r="L193" s="390"/>
      <c r="M193" s="381">
        <f t="shared" si="38"/>
        <v>1</v>
      </c>
      <c r="N193" s="390"/>
      <c r="O193" s="381">
        <f t="shared" si="39"/>
        <v>1</v>
      </c>
      <c r="P193" s="390"/>
      <c r="Q193" s="381">
        <f t="shared" si="40"/>
        <v>1</v>
      </c>
      <c r="R193" s="441">
        <f t="shared" si="41"/>
        <v>0</v>
      </c>
      <c r="S193" s="380">
        <f t="shared" si="42"/>
        <v>0</v>
      </c>
    </row>
    <row r="194" spans="1:19">
      <c r="A194" s="388"/>
      <c r="B194" s="389"/>
      <c r="C194" s="381">
        <f t="shared" si="33"/>
        <v>1</v>
      </c>
      <c r="D194" s="390"/>
      <c r="E194" s="381">
        <f t="shared" si="34"/>
        <v>1</v>
      </c>
      <c r="F194" s="390"/>
      <c r="G194" s="381">
        <f t="shared" si="35"/>
        <v>1</v>
      </c>
      <c r="H194" s="390"/>
      <c r="I194" s="381">
        <f t="shared" si="36"/>
        <v>1</v>
      </c>
      <c r="J194" s="390"/>
      <c r="K194" s="381">
        <f t="shared" si="37"/>
        <v>1</v>
      </c>
      <c r="L194" s="390"/>
      <c r="M194" s="381">
        <f t="shared" si="38"/>
        <v>1</v>
      </c>
      <c r="N194" s="390"/>
      <c r="O194" s="381">
        <f t="shared" si="39"/>
        <v>1</v>
      </c>
      <c r="P194" s="390"/>
      <c r="Q194" s="381">
        <f t="shared" si="40"/>
        <v>1</v>
      </c>
      <c r="R194" s="441">
        <f t="shared" si="41"/>
        <v>0</v>
      </c>
      <c r="S194" s="380">
        <f t="shared" si="42"/>
        <v>0</v>
      </c>
    </row>
    <row r="195" spans="1:19">
      <c r="A195" s="388"/>
      <c r="B195" s="389"/>
      <c r="C195" s="381">
        <f t="shared" si="33"/>
        <v>1</v>
      </c>
      <c r="D195" s="390"/>
      <c r="E195" s="381">
        <f t="shared" si="34"/>
        <v>1</v>
      </c>
      <c r="F195" s="390"/>
      <c r="G195" s="381">
        <f t="shared" si="35"/>
        <v>1</v>
      </c>
      <c r="H195" s="390"/>
      <c r="I195" s="381">
        <f t="shared" si="36"/>
        <v>1</v>
      </c>
      <c r="J195" s="390"/>
      <c r="K195" s="381">
        <f t="shared" si="37"/>
        <v>1</v>
      </c>
      <c r="L195" s="390"/>
      <c r="M195" s="381">
        <f t="shared" si="38"/>
        <v>1</v>
      </c>
      <c r="N195" s="390"/>
      <c r="O195" s="381">
        <f t="shared" si="39"/>
        <v>1</v>
      </c>
      <c r="P195" s="390"/>
      <c r="Q195" s="381">
        <f t="shared" si="40"/>
        <v>1</v>
      </c>
      <c r="R195" s="441">
        <f t="shared" si="41"/>
        <v>0</v>
      </c>
      <c r="S195" s="380">
        <f t="shared" si="42"/>
        <v>0</v>
      </c>
    </row>
    <row r="196" spans="1:19">
      <c r="A196" s="388"/>
      <c r="B196" s="389"/>
      <c r="C196" s="381">
        <f t="shared" si="33"/>
        <v>1</v>
      </c>
      <c r="D196" s="390"/>
      <c r="E196" s="381">
        <f t="shared" si="34"/>
        <v>1</v>
      </c>
      <c r="F196" s="390"/>
      <c r="G196" s="381">
        <f t="shared" si="35"/>
        <v>1</v>
      </c>
      <c r="H196" s="390"/>
      <c r="I196" s="381">
        <f t="shared" si="36"/>
        <v>1</v>
      </c>
      <c r="J196" s="390"/>
      <c r="K196" s="381">
        <f t="shared" si="37"/>
        <v>1</v>
      </c>
      <c r="L196" s="390"/>
      <c r="M196" s="381">
        <f t="shared" si="38"/>
        <v>1</v>
      </c>
      <c r="N196" s="390"/>
      <c r="O196" s="381">
        <f t="shared" si="39"/>
        <v>1</v>
      </c>
      <c r="P196" s="390"/>
      <c r="Q196" s="381">
        <f t="shared" si="40"/>
        <v>1</v>
      </c>
      <c r="R196" s="441">
        <f t="shared" si="41"/>
        <v>0</v>
      </c>
      <c r="S196" s="380">
        <f t="shared" si="42"/>
        <v>0</v>
      </c>
    </row>
    <row r="197" spans="1:19">
      <c r="A197" s="388"/>
      <c r="B197" s="389"/>
      <c r="C197" s="381">
        <f t="shared" si="33"/>
        <v>1</v>
      </c>
      <c r="D197" s="390"/>
      <c r="E197" s="381">
        <f t="shared" si="34"/>
        <v>1</v>
      </c>
      <c r="F197" s="390"/>
      <c r="G197" s="381">
        <f t="shared" si="35"/>
        <v>1</v>
      </c>
      <c r="H197" s="390"/>
      <c r="I197" s="381">
        <f t="shared" si="36"/>
        <v>1</v>
      </c>
      <c r="J197" s="390"/>
      <c r="K197" s="381">
        <f t="shared" si="37"/>
        <v>1</v>
      </c>
      <c r="L197" s="390"/>
      <c r="M197" s="381">
        <f t="shared" si="38"/>
        <v>1</v>
      </c>
      <c r="N197" s="390"/>
      <c r="O197" s="381">
        <f t="shared" si="39"/>
        <v>1</v>
      </c>
      <c r="P197" s="390"/>
      <c r="Q197" s="381">
        <f t="shared" si="40"/>
        <v>1</v>
      </c>
      <c r="R197" s="441">
        <f t="shared" si="41"/>
        <v>0</v>
      </c>
      <c r="S197" s="380">
        <f t="shared" si="42"/>
        <v>0</v>
      </c>
    </row>
    <row r="198" spans="1:19">
      <c r="A198" s="388"/>
      <c r="B198" s="389"/>
      <c r="C198" s="381">
        <f t="shared" si="33"/>
        <v>1</v>
      </c>
      <c r="D198" s="390"/>
      <c r="E198" s="381">
        <f t="shared" si="34"/>
        <v>1</v>
      </c>
      <c r="F198" s="390"/>
      <c r="G198" s="381">
        <f t="shared" si="35"/>
        <v>1</v>
      </c>
      <c r="H198" s="390"/>
      <c r="I198" s="381">
        <f t="shared" si="36"/>
        <v>1</v>
      </c>
      <c r="J198" s="390"/>
      <c r="K198" s="381">
        <f t="shared" si="37"/>
        <v>1</v>
      </c>
      <c r="L198" s="390"/>
      <c r="M198" s="381">
        <f t="shared" si="38"/>
        <v>1</v>
      </c>
      <c r="N198" s="390"/>
      <c r="O198" s="381">
        <f t="shared" si="39"/>
        <v>1</v>
      </c>
      <c r="P198" s="390"/>
      <c r="Q198" s="381">
        <f t="shared" si="40"/>
        <v>1</v>
      </c>
      <c r="R198" s="441">
        <f t="shared" si="41"/>
        <v>0</v>
      </c>
      <c r="S198" s="380">
        <f t="shared" si="42"/>
        <v>0</v>
      </c>
    </row>
    <row r="199" spans="1:19">
      <c r="A199" s="388"/>
      <c r="B199" s="389"/>
      <c r="C199" s="381">
        <f t="shared" si="33"/>
        <v>1</v>
      </c>
      <c r="D199" s="390"/>
      <c r="E199" s="381">
        <f t="shared" si="34"/>
        <v>1</v>
      </c>
      <c r="F199" s="390"/>
      <c r="G199" s="381">
        <f t="shared" si="35"/>
        <v>1</v>
      </c>
      <c r="H199" s="390"/>
      <c r="I199" s="381">
        <f t="shared" si="36"/>
        <v>1</v>
      </c>
      <c r="J199" s="390"/>
      <c r="K199" s="381">
        <f t="shared" si="37"/>
        <v>1</v>
      </c>
      <c r="L199" s="390"/>
      <c r="M199" s="381">
        <f t="shared" si="38"/>
        <v>1</v>
      </c>
      <c r="N199" s="390"/>
      <c r="O199" s="381">
        <f t="shared" si="39"/>
        <v>1</v>
      </c>
      <c r="P199" s="390"/>
      <c r="Q199" s="381">
        <f t="shared" si="40"/>
        <v>1</v>
      </c>
      <c r="R199" s="441">
        <f t="shared" si="41"/>
        <v>0</v>
      </c>
      <c r="S199" s="380">
        <f t="shared" si="42"/>
        <v>0</v>
      </c>
    </row>
    <row r="200" spans="1:19">
      <c r="A200" s="388"/>
      <c r="B200" s="389"/>
      <c r="C200" s="381">
        <f t="shared" si="33"/>
        <v>1</v>
      </c>
      <c r="D200" s="390"/>
      <c r="E200" s="381">
        <f t="shared" si="34"/>
        <v>1</v>
      </c>
      <c r="F200" s="390"/>
      <c r="G200" s="381">
        <f t="shared" si="35"/>
        <v>1</v>
      </c>
      <c r="H200" s="390"/>
      <c r="I200" s="381">
        <f t="shared" si="36"/>
        <v>1</v>
      </c>
      <c r="J200" s="390"/>
      <c r="K200" s="381">
        <f t="shared" si="37"/>
        <v>1</v>
      </c>
      <c r="L200" s="390"/>
      <c r="M200" s="381">
        <f t="shared" si="38"/>
        <v>1</v>
      </c>
      <c r="N200" s="390"/>
      <c r="O200" s="381">
        <f t="shared" si="39"/>
        <v>1</v>
      </c>
      <c r="P200" s="390"/>
      <c r="Q200" s="381">
        <f t="shared" si="40"/>
        <v>1</v>
      </c>
      <c r="R200" s="441">
        <f t="shared" si="41"/>
        <v>0</v>
      </c>
      <c r="S200" s="380">
        <f t="shared" si="42"/>
        <v>0</v>
      </c>
    </row>
    <row r="201" spans="1:19">
      <c r="A201" s="388"/>
      <c r="B201" s="389"/>
      <c r="C201" s="381">
        <f t="shared" si="33"/>
        <v>1</v>
      </c>
      <c r="D201" s="390"/>
      <c r="E201" s="381">
        <f t="shared" si="34"/>
        <v>1</v>
      </c>
      <c r="F201" s="390"/>
      <c r="G201" s="381">
        <f t="shared" si="35"/>
        <v>1</v>
      </c>
      <c r="H201" s="390"/>
      <c r="I201" s="381">
        <f t="shared" si="36"/>
        <v>1</v>
      </c>
      <c r="J201" s="390"/>
      <c r="K201" s="381">
        <f t="shared" si="37"/>
        <v>1</v>
      </c>
      <c r="L201" s="390"/>
      <c r="M201" s="381">
        <f t="shared" si="38"/>
        <v>1</v>
      </c>
      <c r="N201" s="390"/>
      <c r="O201" s="381">
        <f t="shared" si="39"/>
        <v>1</v>
      </c>
      <c r="P201" s="390"/>
      <c r="Q201" s="381">
        <f t="shared" si="40"/>
        <v>1</v>
      </c>
      <c r="R201" s="441">
        <f t="shared" si="41"/>
        <v>0</v>
      </c>
      <c r="S201" s="380">
        <f t="shared" si="42"/>
        <v>0</v>
      </c>
    </row>
    <row r="202" spans="1:19">
      <c r="A202" s="388"/>
      <c r="B202" s="389"/>
      <c r="C202" s="381">
        <f t="shared" si="33"/>
        <v>1</v>
      </c>
      <c r="D202" s="390"/>
      <c r="E202" s="381">
        <f t="shared" si="34"/>
        <v>1</v>
      </c>
      <c r="F202" s="390"/>
      <c r="G202" s="381">
        <f t="shared" si="35"/>
        <v>1</v>
      </c>
      <c r="H202" s="390"/>
      <c r="I202" s="381">
        <f t="shared" si="36"/>
        <v>1</v>
      </c>
      <c r="J202" s="390"/>
      <c r="K202" s="381">
        <f t="shared" si="37"/>
        <v>1</v>
      </c>
      <c r="L202" s="390"/>
      <c r="M202" s="381">
        <f t="shared" si="38"/>
        <v>1</v>
      </c>
      <c r="N202" s="390"/>
      <c r="O202" s="381">
        <f t="shared" si="39"/>
        <v>1</v>
      </c>
      <c r="P202" s="390"/>
      <c r="Q202" s="381">
        <f t="shared" si="40"/>
        <v>1</v>
      </c>
      <c r="R202" s="441">
        <f t="shared" si="41"/>
        <v>0</v>
      </c>
      <c r="S202" s="380">
        <f t="shared" si="42"/>
        <v>0</v>
      </c>
    </row>
    <row r="203" spans="1:19">
      <c r="A203" s="388"/>
      <c r="B203" s="389"/>
      <c r="C203" s="381">
        <f t="shared" si="33"/>
        <v>1</v>
      </c>
      <c r="D203" s="390"/>
      <c r="E203" s="381">
        <f t="shared" si="34"/>
        <v>1</v>
      </c>
      <c r="F203" s="390"/>
      <c r="G203" s="381">
        <f t="shared" si="35"/>
        <v>1</v>
      </c>
      <c r="H203" s="390"/>
      <c r="I203" s="381">
        <f t="shared" si="36"/>
        <v>1</v>
      </c>
      <c r="J203" s="390"/>
      <c r="K203" s="381">
        <f t="shared" si="37"/>
        <v>1</v>
      </c>
      <c r="L203" s="390"/>
      <c r="M203" s="381">
        <f t="shared" si="38"/>
        <v>1</v>
      </c>
      <c r="N203" s="390"/>
      <c r="O203" s="381">
        <f t="shared" si="39"/>
        <v>1</v>
      </c>
      <c r="P203" s="390"/>
      <c r="Q203" s="381">
        <f t="shared" si="40"/>
        <v>1</v>
      </c>
      <c r="R203" s="441">
        <f t="shared" si="41"/>
        <v>0</v>
      </c>
      <c r="S203" s="380">
        <f t="shared" si="42"/>
        <v>0</v>
      </c>
    </row>
    <row r="204" spans="1:19">
      <c r="A204" s="388"/>
      <c r="B204" s="389"/>
      <c r="C204" s="381">
        <f t="shared" si="33"/>
        <v>1</v>
      </c>
      <c r="D204" s="390"/>
      <c r="E204" s="381">
        <f t="shared" si="34"/>
        <v>1</v>
      </c>
      <c r="F204" s="390"/>
      <c r="G204" s="381">
        <f t="shared" si="35"/>
        <v>1</v>
      </c>
      <c r="H204" s="390"/>
      <c r="I204" s="381">
        <f t="shared" si="36"/>
        <v>1</v>
      </c>
      <c r="J204" s="390"/>
      <c r="K204" s="381">
        <f t="shared" si="37"/>
        <v>1</v>
      </c>
      <c r="L204" s="390"/>
      <c r="M204" s="381">
        <f t="shared" si="38"/>
        <v>1</v>
      </c>
      <c r="N204" s="390"/>
      <c r="O204" s="381">
        <f t="shared" si="39"/>
        <v>1</v>
      </c>
      <c r="P204" s="390"/>
      <c r="Q204" s="381">
        <f t="shared" si="40"/>
        <v>1</v>
      </c>
      <c r="R204" s="441">
        <f t="shared" si="41"/>
        <v>0</v>
      </c>
      <c r="S204" s="380">
        <f t="shared" si="42"/>
        <v>0</v>
      </c>
    </row>
    <row r="205" spans="1:19">
      <c r="A205" s="388"/>
      <c r="B205" s="389"/>
      <c r="C205" s="381">
        <f t="shared" si="33"/>
        <v>1</v>
      </c>
      <c r="D205" s="390"/>
      <c r="E205" s="381">
        <f t="shared" si="34"/>
        <v>1</v>
      </c>
      <c r="F205" s="390"/>
      <c r="G205" s="381">
        <f t="shared" si="35"/>
        <v>1</v>
      </c>
      <c r="H205" s="390"/>
      <c r="I205" s="381">
        <f t="shared" si="36"/>
        <v>1</v>
      </c>
      <c r="J205" s="390"/>
      <c r="K205" s="381">
        <f t="shared" si="37"/>
        <v>1</v>
      </c>
      <c r="L205" s="390"/>
      <c r="M205" s="381">
        <f t="shared" si="38"/>
        <v>1</v>
      </c>
      <c r="N205" s="390"/>
      <c r="O205" s="381">
        <f t="shared" si="39"/>
        <v>1</v>
      </c>
      <c r="P205" s="390"/>
      <c r="Q205" s="381">
        <f t="shared" si="40"/>
        <v>1</v>
      </c>
      <c r="R205" s="441">
        <f t="shared" si="41"/>
        <v>0</v>
      </c>
      <c r="S205" s="380">
        <f t="shared" si="42"/>
        <v>0</v>
      </c>
    </row>
    <row r="206" spans="1:19">
      <c r="A206" s="388"/>
      <c r="B206" s="389"/>
      <c r="C206" s="381">
        <f t="shared" si="33"/>
        <v>1</v>
      </c>
      <c r="D206" s="390"/>
      <c r="E206" s="381">
        <f t="shared" si="34"/>
        <v>1</v>
      </c>
      <c r="F206" s="390"/>
      <c r="G206" s="381">
        <f t="shared" si="35"/>
        <v>1</v>
      </c>
      <c r="H206" s="390"/>
      <c r="I206" s="381">
        <f t="shared" si="36"/>
        <v>1</v>
      </c>
      <c r="J206" s="390"/>
      <c r="K206" s="381">
        <f t="shared" si="37"/>
        <v>1</v>
      </c>
      <c r="L206" s="390"/>
      <c r="M206" s="381">
        <f t="shared" si="38"/>
        <v>1</v>
      </c>
      <c r="N206" s="390"/>
      <c r="O206" s="381">
        <f t="shared" si="39"/>
        <v>1</v>
      </c>
      <c r="P206" s="390"/>
      <c r="Q206" s="381">
        <f t="shared" si="40"/>
        <v>1</v>
      </c>
      <c r="R206" s="441">
        <f t="shared" si="41"/>
        <v>0</v>
      </c>
      <c r="S206" s="380">
        <f t="shared" si="42"/>
        <v>0</v>
      </c>
    </row>
    <row r="207" spans="1:19">
      <c r="A207" s="388"/>
      <c r="B207" s="389"/>
      <c r="C207" s="381">
        <f t="shared" si="33"/>
        <v>1</v>
      </c>
      <c r="D207" s="390"/>
      <c r="E207" s="381">
        <f t="shared" si="34"/>
        <v>1</v>
      </c>
      <c r="F207" s="390"/>
      <c r="G207" s="381">
        <f t="shared" si="35"/>
        <v>1</v>
      </c>
      <c r="H207" s="390"/>
      <c r="I207" s="381">
        <f t="shared" si="36"/>
        <v>1</v>
      </c>
      <c r="J207" s="390"/>
      <c r="K207" s="381">
        <f t="shared" si="37"/>
        <v>1</v>
      </c>
      <c r="L207" s="390"/>
      <c r="M207" s="381">
        <f t="shared" si="38"/>
        <v>1</v>
      </c>
      <c r="N207" s="390"/>
      <c r="O207" s="381">
        <f t="shared" si="39"/>
        <v>1</v>
      </c>
      <c r="P207" s="390"/>
      <c r="Q207" s="381">
        <f t="shared" si="40"/>
        <v>1</v>
      </c>
      <c r="R207" s="441">
        <f t="shared" si="41"/>
        <v>0</v>
      </c>
      <c r="S207" s="380">
        <f t="shared" si="42"/>
        <v>0</v>
      </c>
    </row>
    <row r="208" spans="1:19">
      <c r="A208" s="388"/>
      <c r="B208" s="389"/>
      <c r="C208" s="381">
        <f t="shared" si="33"/>
        <v>1</v>
      </c>
      <c r="D208" s="390"/>
      <c r="E208" s="381">
        <f t="shared" si="34"/>
        <v>1</v>
      </c>
      <c r="F208" s="390"/>
      <c r="G208" s="381">
        <f t="shared" si="35"/>
        <v>1</v>
      </c>
      <c r="H208" s="390"/>
      <c r="I208" s="381">
        <f t="shared" si="36"/>
        <v>1</v>
      </c>
      <c r="J208" s="390"/>
      <c r="K208" s="381">
        <f t="shared" si="37"/>
        <v>1</v>
      </c>
      <c r="L208" s="390"/>
      <c r="M208" s="381">
        <f t="shared" si="38"/>
        <v>1</v>
      </c>
      <c r="N208" s="390"/>
      <c r="O208" s="381">
        <f t="shared" si="39"/>
        <v>1</v>
      </c>
      <c r="P208" s="390"/>
      <c r="Q208" s="381">
        <f t="shared" si="40"/>
        <v>1</v>
      </c>
      <c r="R208" s="441">
        <f t="shared" si="41"/>
        <v>0</v>
      </c>
      <c r="S208" s="380">
        <f t="shared" si="42"/>
        <v>0</v>
      </c>
    </row>
    <row r="209" spans="1:19">
      <c r="A209" s="388"/>
      <c r="B209" s="389"/>
      <c r="C209" s="381">
        <f t="shared" si="33"/>
        <v>1</v>
      </c>
      <c r="D209" s="390"/>
      <c r="E209" s="381">
        <f t="shared" si="34"/>
        <v>1</v>
      </c>
      <c r="F209" s="390"/>
      <c r="G209" s="381">
        <f t="shared" si="35"/>
        <v>1</v>
      </c>
      <c r="H209" s="390"/>
      <c r="I209" s="381">
        <f t="shared" si="36"/>
        <v>1</v>
      </c>
      <c r="J209" s="390"/>
      <c r="K209" s="381">
        <f t="shared" si="37"/>
        <v>1</v>
      </c>
      <c r="L209" s="390"/>
      <c r="M209" s="381">
        <f t="shared" si="38"/>
        <v>1</v>
      </c>
      <c r="N209" s="390"/>
      <c r="O209" s="381">
        <f t="shared" si="39"/>
        <v>1</v>
      </c>
      <c r="P209" s="390"/>
      <c r="Q209" s="381">
        <f t="shared" si="40"/>
        <v>1</v>
      </c>
      <c r="R209" s="441">
        <f t="shared" si="41"/>
        <v>0</v>
      </c>
      <c r="S209" s="380">
        <f t="shared" si="42"/>
        <v>0</v>
      </c>
    </row>
    <row r="210" spans="1:19">
      <c r="A210" s="388"/>
      <c r="B210" s="389"/>
      <c r="C210" s="381">
        <f t="shared" si="33"/>
        <v>1</v>
      </c>
      <c r="D210" s="390"/>
      <c r="E210" s="381">
        <f t="shared" si="34"/>
        <v>1</v>
      </c>
      <c r="F210" s="390"/>
      <c r="G210" s="381">
        <f t="shared" si="35"/>
        <v>1</v>
      </c>
      <c r="H210" s="390"/>
      <c r="I210" s="381">
        <f t="shared" si="36"/>
        <v>1</v>
      </c>
      <c r="J210" s="390"/>
      <c r="K210" s="381">
        <f t="shared" si="37"/>
        <v>1</v>
      </c>
      <c r="L210" s="390"/>
      <c r="M210" s="381">
        <f t="shared" si="38"/>
        <v>1</v>
      </c>
      <c r="N210" s="390"/>
      <c r="O210" s="381">
        <f t="shared" si="39"/>
        <v>1</v>
      </c>
      <c r="P210" s="390"/>
      <c r="Q210" s="381">
        <f t="shared" si="40"/>
        <v>1</v>
      </c>
      <c r="R210" s="441">
        <f t="shared" si="41"/>
        <v>0</v>
      </c>
      <c r="S210" s="380">
        <f t="shared" si="42"/>
        <v>0</v>
      </c>
    </row>
    <row r="211" spans="1:19">
      <c r="A211" s="388"/>
      <c r="B211" s="389"/>
      <c r="C211" s="381">
        <f t="shared" si="33"/>
        <v>1</v>
      </c>
      <c r="D211" s="390"/>
      <c r="E211" s="381">
        <f t="shared" si="34"/>
        <v>1</v>
      </c>
      <c r="F211" s="390"/>
      <c r="G211" s="381">
        <f t="shared" si="35"/>
        <v>1</v>
      </c>
      <c r="H211" s="390"/>
      <c r="I211" s="381">
        <f t="shared" si="36"/>
        <v>1</v>
      </c>
      <c r="J211" s="390"/>
      <c r="K211" s="381">
        <f t="shared" si="37"/>
        <v>1</v>
      </c>
      <c r="L211" s="390"/>
      <c r="M211" s="381">
        <f t="shared" si="38"/>
        <v>1</v>
      </c>
      <c r="N211" s="390"/>
      <c r="O211" s="381">
        <f t="shared" si="39"/>
        <v>1</v>
      </c>
      <c r="P211" s="390"/>
      <c r="Q211" s="381">
        <f t="shared" si="40"/>
        <v>1</v>
      </c>
      <c r="R211" s="441">
        <f t="shared" si="41"/>
        <v>0</v>
      </c>
      <c r="S211" s="380">
        <f t="shared" si="42"/>
        <v>0</v>
      </c>
    </row>
    <row r="212" spans="1:19">
      <c r="A212" s="388"/>
      <c r="B212" s="389"/>
      <c r="C212" s="381">
        <f t="shared" si="33"/>
        <v>1</v>
      </c>
      <c r="D212" s="390"/>
      <c r="E212" s="381">
        <f t="shared" si="34"/>
        <v>1</v>
      </c>
      <c r="F212" s="390"/>
      <c r="G212" s="381">
        <f t="shared" si="35"/>
        <v>1</v>
      </c>
      <c r="H212" s="390"/>
      <c r="I212" s="381">
        <f t="shared" si="36"/>
        <v>1</v>
      </c>
      <c r="J212" s="390"/>
      <c r="K212" s="381">
        <f t="shared" si="37"/>
        <v>1</v>
      </c>
      <c r="L212" s="390"/>
      <c r="M212" s="381">
        <f t="shared" si="38"/>
        <v>1</v>
      </c>
      <c r="N212" s="390"/>
      <c r="O212" s="381">
        <f t="shared" si="39"/>
        <v>1</v>
      </c>
      <c r="P212" s="390"/>
      <c r="Q212" s="381">
        <f t="shared" si="40"/>
        <v>1</v>
      </c>
      <c r="R212" s="441">
        <f t="shared" si="41"/>
        <v>0</v>
      </c>
      <c r="S212" s="380">
        <f t="shared" si="42"/>
        <v>0</v>
      </c>
    </row>
    <row r="213" spans="1:19">
      <c r="A213" s="388"/>
      <c r="B213" s="389"/>
      <c r="C213" s="381">
        <f t="shared" si="33"/>
        <v>1</v>
      </c>
      <c r="D213" s="390"/>
      <c r="E213" s="381">
        <f t="shared" si="34"/>
        <v>1</v>
      </c>
      <c r="F213" s="390"/>
      <c r="G213" s="381">
        <f t="shared" si="35"/>
        <v>1</v>
      </c>
      <c r="H213" s="390"/>
      <c r="I213" s="381">
        <f t="shared" si="36"/>
        <v>1</v>
      </c>
      <c r="J213" s="390"/>
      <c r="K213" s="381">
        <f t="shared" si="37"/>
        <v>1</v>
      </c>
      <c r="L213" s="390"/>
      <c r="M213" s="381">
        <f t="shared" si="38"/>
        <v>1</v>
      </c>
      <c r="N213" s="390"/>
      <c r="O213" s="381">
        <f t="shared" si="39"/>
        <v>1</v>
      </c>
      <c r="P213" s="390"/>
      <c r="Q213" s="381">
        <f t="shared" si="40"/>
        <v>1</v>
      </c>
      <c r="R213" s="441">
        <f t="shared" si="41"/>
        <v>0</v>
      </c>
      <c r="S213" s="380">
        <f t="shared" si="42"/>
        <v>0</v>
      </c>
    </row>
    <row r="214" spans="1:19">
      <c r="A214" s="388"/>
      <c r="B214" s="389"/>
      <c r="C214" s="381">
        <f t="shared" si="33"/>
        <v>1</v>
      </c>
      <c r="D214" s="390"/>
      <c r="E214" s="381">
        <f t="shared" si="34"/>
        <v>1</v>
      </c>
      <c r="F214" s="390"/>
      <c r="G214" s="381">
        <f t="shared" si="35"/>
        <v>1</v>
      </c>
      <c r="H214" s="390"/>
      <c r="I214" s="381">
        <f t="shared" si="36"/>
        <v>1</v>
      </c>
      <c r="J214" s="390"/>
      <c r="K214" s="381">
        <f t="shared" si="37"/>
        <v>1</v>
      </c>
      <c r="L214" s="390"/>
      <c r="M214" s="381">
        <f t="shared" si="38"/>
        <v>1</v>
      </c>
      <c r="N214" s="390"/>
      <c r="O214" s="381">
        <f t="shared" si="39"/>
        <v>1</v>
      </c>
      <c r="P214" s="390"/>
      <c r="Q214" s="381">
        <f t="shared" si="40"/>
        <v>1</v>
      </c>
      <c r="R214" s="441">
        <f t="shared" si="41"/>
        <v>0</v>
      </c>
      <c r="S214" s="380">
        <f t="shared" si="42"/>
        <v>0</v>
      </c>
    </row>
    <row r="215" spans="1:19">
      <c r="A215" s="388"/>
      <c r="B215" s="389"/>
      <c r="C215" s="381">
        <f t="shared" si="33"/>
        <v>1</v>
      </c>
      <c r="D215" s="390"/>
      <c r="E215" s="381">
        <f t="shared" si="34"/>
        <v>1</v>
      </c>
      <c r="F215" s="390"/>
      <c r="G215" s="381">
        <f t="shared" si="35"/>
        <v>1</v>
      </c>
      <c r="H215" s="390"/>
      <c r="I215" s="381">
        <f t="shared" si="36"/>
        <v>1</v>
      </c>
      <c r="J215" s="390"/>
      <c r="K215" s="381">
        <f t="shared" si="37"/>
        <v>1</v>
      </c>
      <c r="L215" s="390"/>
      <c r="M215" s="381">
        <f t="shared" si="38"/>
        <v>1</v>
      </c>
      <c r="N215" s="390"/>
      <c r="O215" s="381">
        <f t="shared" si="39"/>
        <v>1</v>
      </c>
      <c r="P215" s="390"/>
      <c r="Q215" s="381">
        <f t="shared" si="40"/>
        <v>1</v>
      </c>
      <c r="R215" s="441">
        <f t="shared" si="41"/>
        <v>0</v>
      </c>
      <c r="S215" s="380">
        <f t="shared" si="42"/>
        <v>0</v>
      </c>
    </row>
    <row r="216" spans="1:19">
      <c r="A216" s="388"/>
      <c r="B216" s="389"/>
      <c r="C216" s="381">
        <f t="shared" si="33"/>
        <v>1</v>
      </c>
      <c r="D216" s="390"/>
      <c r="E216" s="381">
        <f t="shared" si="34"/>
        <v>1</v>
      </c>
      <c r="F216" s="390"/>
      <c r="G216" s="381">
        <f t="shared" si="35"/>
        <v>1</v>
      </c>
      <c r="H216" s="390"/>
      <c r="I216" s="381">
        <f t="shared" si="36"/>
        <v>1</v>
      </c>
      <c r="J216" s="390"/>
      <c r="K216" s="381">
        <f t="shared" si="37"/>
        <v>1</v>
      </c>
      <c r="L216" s="390"/>
      <c r="M216" s="381">
        <f t="shared" si="38"/>
        <v>1</v>
      </c>
      <c r="N216" s="390"/>
      <c r="O216" s="381">
        <f t="shared" si="39"/>
        <v>1</v>
      </c>
      <c r="P216" s="390"/>
      <c r="Q216" s="381">
        <f t="shared" si="40"/>
        <v>1</v>
      </c>
      <c r="R216" s="441">
        <f t="shared" si="41"/>
        <v>0</v>
      </c>
      <c r="S216" s="380">
        <f t="shared" si="42"/>
        <v>0</v>
      </c>
    </row>
    <row r="217" spans="1:19">
      <c r="A217" s="388"/>
      <c r="B217" s="389"/>
      <c r="C217" s="381">
        <f t="shared" si="33"/>
        <v>1</v>
      </c>
      <c r="D217" s="390"/>
      <c r="E217" s="381">
        <f t="shared" si="34"/>
        <v>1</v>
      </c>
      <c r="F217" s="390"/>
      <c r="G217" s="381">
        <f t="shared" si="35"/>
        <v>1</v>
      </c>
      <c r="H217" s="390"/>
      <c r="I217" s="381">
        <f t="shared" si="36"/>
        <v>1</v>
      </c>
      <c r="J217" s="390"/>
      <c r="K217" s="381">
        <f t="shared" si="37"/>
        <v>1</v>
      </c>
      <c r="L217" s="390"/>
      <c r="M217" s="381">
        <f t="shared" si="38"/>
        <v>1</v>
      </c>
      <c r="N217" s="390"/>
      <c r="O217" s="381">
        <f t="shared" si="39"/>
        <v>1</v>
      </c>
      <c r="P217" s="390"/>
      <c r="Q217" s="381">
        <f t="shared" si="40"/>
        <v>1</v>
      </c>
      <c r="R217" s="441">
        <f t="shared" si="41"/>
        <v>0</v>
      </c>
      <c r="S217" s="380">
        <f t="shared" si="42"/>
        <v>0</v>
      </c>
    </row>
    <row r="218" spans="1:19">
      <c r="A218" s="388"/>
      <c r="B218" s="389"/>
      <c r="C218" s="381">
        <f t="shared" ref="C218:C281" si="43">IF(B218="",1,(LOOKUP(B218,$3:$3,$4:$4)-LOOKUP($B$24,$3:$3,$4:$4)+100)/100)</f>
        <v>1</v>
      </c>
      <c r="D218" s="390"/>
      <c r="E218" s="381">
        <f t="shared" ref="E218:E281" si="44">(SUMIF($5:$5,D218,$6:$6)-SUMIF($5:$5,$D$24,$6:$6)+100)/100</f>
        <v>1</v>
      </c>
      <c r="F218" s="390"/>
      <c r="G218" s="381">
        <f t="shared" ref="G218:G281" si="45">(SUMIF($7:$7,F218,$8:$8)-SUMIF($7:$7,$F$24,$8:$8)+100)/100</f>
        <v>1</v>
      </c>
      <c r="H218" s="390"/>
      <c r="I218" s="381">
        <f t="shared" ref="I218:I281" si="46">(SUMIF($9:$9,H218,$10:$10)-SUMIF($9:$9,$H$24,$10:$10)+100)/100</f>
        <v>1</v>
      </c>
      <c r="J218" s="390"/>
      <c r="K218" s="381">
        <f t="shared" ref="K218:K281" si="47">(SUMIF($11:$11,J218,$12:$12)-SUMIF($11:$11,$J$24,$12:$12)+100)/100</f>
        <v>1</v>
      </c>
      <c r="L218" s="390"/>
      <c r="M218" s="381">
        <f t="shared" ref="M218:M281" si="48">(SUMIF($13:$13,L218,$14:$14)-SUMIF($13:$13,$L$24,$14:$14)+100)/100</f>
        <v>1</v>
      </c>
      <c r="N218" s="390"/>
      <c r="O218" s="381">
        <f t="shared" ref="O218:O281" si="49">(SUMIF($15:$15,N218,$16:$16)-SUMIF($15:$15,$N$24,$16:$16)+100)/100</f>
        <v>1</v>
      </c>
      <c r="P218" s="390"/>
      <c r="Q218" s="381">
        <f t="shared" ref="Q218:Q281" si="50">(SUMIF($17:$17,P218,$18:$18)-SUMIF($17:$17,$P$24,$18:$18)+100)/100</f>
        <v>1</v>
      </c>
      <c r="R218" s="441">
        <f t="shared" ref="R218:R281" si="51">IF(B218="",0,ROUND($R$24*C218*E218*G218*I218*K218*M218*O218*Q218,0))</f>
        <v>0</v>
      </c>
      <c r="S218" s="380">
        <f t="shared" si="42"/>
        <v>0</v>
      </c>
    </row>
    <row r="219" spans="1:19">
      <c r="A219" s="388"/>
      <c r="B219" s="389"/>
      <c r="C219" s="381">
        <f t="shared" si="43"/>
        <v>1</v>
      </c>
      <c r="D219" s="390"/>
      <c r="E219" s="381">
        <f t="shared" si="44"/>
        <v>1</v>
      </c>
      <c r="F219" s="390"/>
      <c r="G219" s="381">
        <f t="shared" si="45"/>
        <v>1</v>
      </c>
      <c r="H219" s="390"/>
      <c r="I219" s="381">
        <f t="shared" si="46"/>
        <v>1</v>
      </c>
      <c r="J219" s="390"/>
      <c r="K219" s="381">
        <f t="shared" si="47"/>
        <v>1</v>
      </c>
      <c r="L219" s="390"/>
      <c r="M219" s="381">
        <f t="shared" si="48"/>
        <v>1</v>
      </c>
      <c r="N219" s="390"/>
      <c r="O219" s="381">
        <f t="shared" si="49"/>
        <v>1</v>
      </c>
      <c r="P219" s="390"/>
      <c r="Q219" s="381">
        <f t="shared" si="50"/>
        <v>1</v>
      </c>
      <c r="R219" s="441">
        <f t="shared" si="51"/>
        <v>0</v>
      </c>
      <c r="S219" s="380">
        <f t="shared" si="42"/>
        <v>0</v>
      </c>
    </row>
    <row r="220" spans="1:19">
      <c r="A220" s="388"/>
      <c r="B220" s="389"/>
      <c r="C220" s="381">
        <f t="shared" si="43"/>
        <v>1</v>
      </c>
      <c r="D220" s="390"/>
      <c r="E220" s="381">
        <f t="shared" si="44"/>
        <v>1</v>
      </c>
      <c r="F220" s="390"/>
      <c r="G220" s="381">
        <f t="shared" si="45"/>
        <v>1</v>
      </c>
      <c r="H220" s="390"/>
      <c r="I220" s="381">
        <f t="shared" si="46"/>
        <v>1</v>
      </c>
      <c r="J220" s="390"/>
      <c r="K220" s="381">
        <f t="shared" si="47"/>
        <v>1</v>
      </c>
      <c r="L220" s="390"/>
      <c r="M220" s="381">
        <f t="shared" si="48"/>
        <v>1</v>
      </c>
      <c r="N220" s="390"/>
      <c r="O220" s="381">
        <f t="shared" si="49"/>
        <v>1</v>
      </c>
      <c r="P220" s="390"/>
      <c r="Q220" s="381">
        <f t="shared" si="50"/>
        <v>1</v>
      </c>
      <c r="R220" s="441">
        <f t="shared" si="51"/>
        <v>0</v>
      </c>
      <c r="S220" s="380">
        <f t="shared" si="42"/>
        <v>0</v>
      </c>
    </row>
    <row r="221" spans="1:19">
      <c r="A221" s="388"/>
      <c r="B221" s="389"/>
      <c r="C221" s="381">
        <f t="shared" si="43"/>
        <v>1</v>
      </c>
      <c r="D221" s="390"/>
      <c r="E221" s="381">
        <f t="shared" si="44"/>
        <v>1</v>
      </c>
      <c r="F221" s="390"/>
      <c r="G221" s="381">
        <f t="shared" si="45"/>
        <v>1</v>
      </c>
      <c r="H221" s="390"/>
      <c r="I221" s="381">
        <f t="shared" si="46"/>
        <v>1</v>
      </c>
      <c r="J221" s="390"/>
      <c r="K221" s="381">
        <f t="shared" si="47"/>
        <v>1</v>
      </c>
      <c r="L221" s="390"/>
      <c r="M221" s="381">
        <f t="shared" si="48"/>
        <v>1</v>
      </c>
      <c r="N221" s="390"/>
      <c r="O221" s="381">
        <f t="shared" si="49"/>
        <v>1</v>
      </c>
      <c r="P221" s="390"/>
      <c r="Q221" s="381">
        <f t="shared" si="50"/>
        <v>1</v>
      </c>
      <c r="R221" s="441">
        <f t="shared" si="51"/>
        <v>0</v>
      </c>
      <c r="S221" s="380">
        <f t="shared" si="42"/>
        <v>0</v>
      </c>
    </row>
    <row r="222" spans="1:19">
      <c r="A222" s="388"/>
      <c r="B222" s="389"/>
      <c r="C222" s="381">
        <f t="shared" si="43"/>
        <v>1</v>
      </c>
      <c r="D222" s="390"/>
      <c r="E222" s="381">
        <f t="shared" si="44"/>
        <v>1</v>
      </c>
      <c r="F222" s="390"/>
      <c r="G222" s="381">
        <f t="shared" si="45"/>
        <v>1</v>
      </c>
      <c r="H222" s="390"/>
      <c r="I222" s="381">
        <f t="shared" si="46"/>
        <v>1</v>
      </c>
      <c r="J222" s="390"/>
      <c r="K222" s="381">
        <f t="shared" si="47"/>
        <v>1</v>
      </c>
      <c r="L222" s="390"/>
      <c r="M222" s="381">
        <f t="shared" si="48"/>
        <v>1</v>
      </c>
      <c r="N222" s="390"/>
      <c r="O222" s="381">
        <f t="shared" si="49"/>
        <v>1</v>
      </c>
      <c r="P222" s="390"/>
      <c r="Q222" s="381">
        <f t="shared" si="50"/>
        <v>1</v>
      </c>
      <c r="R222" s="441">
        <f t="shared" si="51"/>
        <v>0</v>
      </c>
      <c r="S222" s="380">
        <f t="shared" si="42"/>
        <v>0</v>
      </c>
    </row>
    <row r="223" spans="1:19">
      <c r="A223" s="388"/>
      <c r="B223" s="389"/>
      <c r="C223" s="381">
        <f t="shared" si="43"/>
        <v>1</v>
      </c>
      <c r="D223" s="390"/>
      <c r="E223" s="381">
        <f t="shared" si="44"/>
        <v>1</v>
      </c>
      <c r="F223" s="390"/>
      <c r="G223" s="381">
        <f t="shared" si="45"/>
        <v>1</v>
      </c>
      <c r="H223" s="390"/>
      <c r="I223" s="381">
        <f t="shared" si="46"/>
        <v>1</v>
      </c>
      <c r="J223" s="390"/>
      <c r="K223" s="381">
        <f t="shared" si="47"/>
        <v>1</v>
      </c>
      <c r="L223" s="390"/>
      <c r="M223" s="381">
        <f t="shared" si="48"/>
        <v>1</v>
      </c>
      <c r="N223" s="390"/>
      <c r="O223" s="381">
        <f t="shared" si="49"/>
        <v>1</v>
      </c>
      <c r="P223" s="390"/>
      <c r="Q223" s="381">
        <f t="shared" si="50"/>
        <v>1</v>
      </c>
      <c r="R223" s="441">
        <f t="shared" si="51"/>
        <v>0</v>
      </c>
      <c r="S223" s="380">
        <f t="shared" ref="S223:S286" si="52">ROUND(R223*B223/10000,0)</f>
        <v>0</v>
      </c>
    </row>
    <row r="224" spans="1:19">
      <c r="A224" s="388"/>
      <c r="B224" s="389"/>
      <c r="C224" s="381">
        <f t="shared" si="43"/>
        <v>1</v>
      </c>
      <c r="D224" s="390"/>
      <c r="E224" s="381">
        <f t="shared" si="44"/>
        <v>1</v>
      </c>
      <c r="F224" s="390"/>
      <c r="G224" s="381">
        <f t="shared" si="45"/>
        <v>1</v>
      </c>
      <c r="H224" s="390"/>
      <c r="I224" s="381">
        <f t="shared" si="46"/>
        <v>1</v>
      </c>
      <c r="J224" s="390"/>
      <c r="K224" s="381">
        <f t="shared" si="47"/>
        <v>1</v>
      </c>
      <c r="L224" s="390"/>
      <c r="M224" s="381">
        <f t="shared" si="48"/>
        <v>1</v>
      </c>
      <c r="N224" s="390"/>
      <c r="O224" s="381">
        <f t="shared" si="49"/>
        <v>1</v>
      </c>
      <c r="P224" s="390"/>
      <c r="Q224" s="381">
        <f t="shared" si="50"/>
        <v>1</v>
      </c>
      <c r="R224" s="441">
        <f t="shared" si="51"/>
        <v>0</v>
      </c>
      <c r="S224" s="380">
        <f t="shared" si="52"/>
        <v>0</v>
      </c>
    </row>
    <row r="225" spans="1:19">
      <c r="A225" s="388"/>
      <c r="B225" s="389"/>
      <c r="C225" s="381">
        <f t="shared" si="43"/>
        <v>1</v>
      </c>
      <c r="D225" s="390"/>
      <c r="E225" s="381">
        <f t="shared" si="44"/>
        <v>1</v>
      </c>
      <c r="F225" s="390"/>
      <c r="G225" s="381">
        <f t="shared" si="45"/>
        <v>1</v>
      </c>
      <c r="H225" s="390"/>
      <c r="I225" s="381">
        <f t="shared" si="46"/>
        <v>1</v>
      </c>
      <c r="J225" s="390"/>
      <c r="K225" s="381">
        <f t="shared" si="47"/>
        <v>1</v>
      </c>
      <c r="L225" s="390"/>
      <c r="M225" s="381">
        <f t="shared" si="48"/>
        <v>1</v>
      </c>
      <c r="N225" s="390"/>
      <c r="O225" s="381">
        <f t="shared" si="49"/>
        <v>1</v>
      </c>
      <c r="P225" s="390"/>
      <c r="Q225" s="381">
        <f t="shared" si="50"/>
        <v>1</v>
      </c>
      <c r="R225" s="441">
        <f t="shared" si="51"/>
        <v>0</v>
      </c>
      <c r="S225" s="380">
        <f t="shared" si="52"/>
        <v>0</v>
      </c>
    </row>
    <row r="226" spans="1:19">
      <c r="A226" s="388"/>
      <c r="B226" s="389"/>
      <c r="C226" s="381">
        <f t="shared" si="43"/>
        <v>1</v>
      </c>
      <c r="D226" s="390"/>
      <c r="E226" s="381">
        <f t="shared" si="44"/>
        <v>1</v>
      </c>
      <c r="F226" s="390"/>
      <c r="G226" s="381">
        <f t="shared" si="45"/>
        <v>1</v>
      </c>
      <c r="H226" s="390"/>
      <c r="I226" s="381">
        <f t="shared" si="46"/>
        <v>1</v>
      </c>
      <c r="J226" s="390"/>
      <c r="K226" s="381">
        <f t="shared" si="47"/>
        <v>1</v>
      </c>
      <c r="L226" s="390"/>
      <c r="M226" s="381">
        <f t="shared" si="48"/>
        <v>1</v>
      </c>
      <c r="N226" s="390"/>
      <c r="O226" s="381">
        <f t="shared" si="49"/>
        <v>1</v>
      </c>
      <c r="P226" s="390"/>
      <c r="Q226" s="381">
        <f t="shared" si="50"/>
        <v>1</v>
      </c>
      <c r="R226" s="441">
        <f t="shared" si="51"/>
        <v>0</v>
      </c>
      <c r="S226" s="380">
        <f t="shared" si="52"/>
        <v>0</v>
      </c>
    </row>
    <row r="227" spans="1:19">
      <c r="A227" s="388"/>
      <c r="B227" s="389"/>
      <c r="C227" s="381">
        <f t="shared" si="43"/>
        <v>1</v>
      </c>
      <c r="D227" s="390"/>
      <c r="E227" s="381">
        <f t="shared" si="44"/>
        <v>1</v>
      </c>
      <c r="F227" s="390"/>
      <c r="G227" s="381">
        <f t="shared" si="45"/>
        <v>1</v>
      </c>
      <c r="H227" s="390"/>
      <c r="I227" s="381">
        <f t="shared" si="46"/>
        <v>1</v>
      </c>
      <c r="J227" s="390"/>
      <c r="K227" s="381">
        <f t="shared" si="47"/>
        <v>1</v>
      </c>
      <c r="L227" s="390"/>
      <c r="M227" s="381">
        <f t="shared" si="48"/>
        <v>1</v>
      </c>
      <c r="N227" s="390"/>
      <c r="O227" s="381">
        <f t="shared" si="49"/>
        <v>1</v>
      </c>
      <c r="P227" s="390"/>
      <c r="Q227" s="381">
        <f t="shared" si="50"/>
        <v>1</v>
      </c>
      <c r="R227" s="441">
        <f t="shared" si="51"/>
        <v>0</v>
      </c>
      <c r="S227" s="380">
        <f t="shared" si="52"/>
        <v>0</v>
      </c>
    </row>
    <row r="228" spans="1:19">
      <c r="A228" s="388"/>
      <c r="B228" s="389"/>
      <c r="C228" s="381">
        <f t="shared" si="43"/>
        <v>1</v>
      </c>
      <c r="D228" s="390"/>
      <c r="E228" s="381">
        <f t="shared" si="44"/>
        <v>1</v>
      </c>
      <c r="F228" s="390"/>
      <c r="G228" s="381">
        <f t="shared" si="45"/>
        <v>1</v>
      </c>
      <c r="H228" s="390"/>
      <c r="I228" s="381">
        <f t="shared" si="46"/>
        <v>1</v>
      </c>
      <c r="J228" s="390"/>
      <c r="K228" s="381">
        <f t="shared" si="47"/>
        <v>1</v>
      </c>
      <c r="L228" s="390"/>
      <c r="M228" s="381">
        <f t="shared" si="48"/>
        <v>1</v>
      </c>
      <c r="N228" s="390"/>
      <c r="O228" s="381">
        <f t="shared" si="49"/>
        <v>1</v>
      </c>
      <c r="P228" s="390"/>
      <c r="Q228" s="381">
        <f t="shared" si="50"/>
        <v>1</v>
      </c>
      <c r="R228" s="441">
        <f t="shared" si="51"/>
        <v>0</v>
      </c>
      <c r="S228" s="380">
        <f t="shared" si="52"/>
        <v>0</v>
      </c>
    </row>
    <row r="229" spans="1:19">
      <c r="A229" s="388"/>
      <c r="B229" s="389"/>
      <c r="C229" s="381">
        <f t="shared" si="43"/>
        <v>1</v>
      </c>
      <c r="D229" s="390"/>
      <c r="E229" s="381">
        <f t="shared" si="44"/>
        <v>1</v>
      </c>
      <c r="F229" s="390"/>
      <c r="G229" s="381">
        <f t="shared" si="45"/>
        <v>1</v>
      </c>
      <c r="H229" s="390"/>
      <c r="I229" s="381">
        <f t="shared" si="46"/>
        <v>1</v>
      </c>
      <c r="J229" s="390"/>
      <c r="K229" s="381">
        <f t="shared" si="47"/>
        <v>1</v>
      </c>
      <c r="L229" s="390"/>
      <c r="M229" s="381">
        <f t="shared" si="48"/>
        <v>1</v>
      </c>
      <c r="N229" s="390"/>
      <c r="O229" s="381">
        <f t="shared" si="49"/>
        <v>1</v>
      </c>
      <c r="P229" s="390"/>
      <c r="Q229" s="381">
        <f t="shared" si="50"/>
        <v>1</v>
      </c>
      <c r="R229" s="441">
        <f t="shared" si="51"/>
        <v>0</v>
      </c>
      <c r="S229" s="380">
        <f t="shared" si="52"/>
        <v>0</v>
      </c>
    </row>
    <row r="230" spans="1:19">
      <c r="A230" s="388"/>
      <c r="B230" s="389"/>
      <c r="C230" s="381">
        <f t="shared" si="43"/>
        <v>1</v>
      </c>
      <c r="D230" s="390"/>
      <c r="E230" s="381">
        <f t="shared" si="44"/>
        <v>1</v>
      </c>
      <c r="F230" s="390"/>
      <c r="G230" s="381">
        <f t="shared" si="45"/>
        <v>1</v>
      </c>
      <c r="H230" s="390"/>
      <c r="I230" s="381">
        <f t="shared" si="46"/>
        <v>1</v>
      </c>
      <c r="J230" s="390"/>
      <c r="K230" s="381">
        <f t="shared" si="47"/>
        <v>1</v>
      </c>
      <c r="L230" s="390"/>
      <c r="M230" s="381">
        <f t="shared" si="48"/>
        <v>1</v>
      </c>
      <c r="N230" s="390"/>
      <c r="O230" s="381">
        <f t="shared" si="49"/>
        <v>1</v>
      </c>
      <c r="P230" s="390"/>
      <c r="Q230" s="381">
        <f t="shared" si="50"/>
        <v>1</v>
      </c>
      <c r="R230" s="441">
        <f t="shared" si="51"/>
        <v>0</v>
      </c>
      <c r="S230" s="380">
        <f t="shared" si="52"/>
        <v>0</v>
      </c>
    </row>
    <row r="231" spans="1:19">
      <c r="A231" s="388"/>
      <c r="B231" s="389"/>
      <c r="C231" s="381">
        <f t="shared" si="43"/>
        <v>1</v>
      </c>
      <c r="D231" s="390"/>
      <c r="E231" s="381">
        <f t="shared" si="44"/>
        <v>1</v>
      </c>
      <c r="F231" s="390"/>
      <c r="G231" s="381">
        <f t="shared" si="45"/>
        <v>1</v>
      </c>
      <c r="H231" s="390"/>
      <c r="I231" s="381">
        <f t="shared" si="46"/>
        <v>1</v>
      </c>
      <c r="J231" s="390"/>
      <c r="K231" s="381">
        <f t="shared" si="47"/>
        <v>1</v>
      </c>
      <c r="L231" s="390"/>
      <c r="M231" s="381">
        <f t="shared" si="48"/>
        <v>1</v>
      </c>
      <c r="N231" s="390"/>
      <c r="O231" s="381">
        <f t="shared" si="49"/>
        <v>1</v>
      </c>
      <c r="P231" s="390"/>
      <c r="Q231" s="381">
        <f t="shared" si="50"/>
        <v>1</v>
      </c>
      <c r="R231" s="441">
        <f t="shared" si="51"/>
        <v>0</v>
      </c>
      <c r="S231" s="380">
        <f t="shared" si="52"/>
        <v>0</v>
      </c>
    </row>
    <row r="232" spans="1:19">
      <c r="A232" s="388"/>
      <c r="B232" s="389"/>
      <c r="C232" s="381">
        <f t="shared" si="43"/>
        <v>1</v>
      </c>
      <c r="D232" s="390"/>
      <c r="E232" s="381">
        <f t="shared" si="44"/>
        <v>1</v>
      </c>
      <c r="F232" s="390"/>
      <c r="G232" s="381">
        <f t="shared" si="45"/>
        <v>1</v>
      </c>
      <c r="H232" s="390"/>
      <c r="I232" s="381">
        <f t="shared" si="46"/>
        <v>1</v>
      </c>
      <c r="J232" s="390"/>
      <c r="K232" s="381">
        <f t="shared" si="47"/>
        <v>1</v>
      </c>
      <c r="L232" s="390"/>
      <c r="M232" s="381">
        <f t="shared" si="48"/>
        <v>1</v>
      </c>
      <c r="N232" s="390"/>
      <c r="O232" s="381">
        <f t="shared" si="49"/>
        <v>1</v>
      </c>
      <c r="P232" s="390"/>
      <c r="Q232" s="381">
        <f t="shared" si="50"/>
        <v>1</v>
      </c>
      <c r="R232" s="441">
        <f t="shared" si="51"/>
        <v>0</v>
      </c>
      <c r="S232" s="380">
        <f t="shared" si="52"/>
        <v>0</v>
      </c>
    </row>
    <row r="233" spans="1:19">
      <c r="A233" s="388"/>
      <c r="B233" s="389"/>
      <c r="C233" s="381">
        <f t="shared" si="43"/>
        <v>1</v>
      </c>
      <c r="D233" s="390"/>
      <c r="E233" s="381">
        <f t="shared" si="44"/>
        <v>1</v>
      </c>
      <c r="F233" s="390"/>
      <c r="G233" s="381">
        <f t="shared" si="45"/>
        <v>1</v>
      </c>
      <c r="H233" s="390"/>
      <c r="I233" s="381">
        <f t="shared" si="46"/>
        <v>1</v>
      </c>
      <c r="J233" s="390"/>
      <c r="K233" s="381">
        <f t="shared" si="47"/>
        <v>1</v>
      </c>
      <c r="L233" s="390"/>
      <c r="M233" s="381">
        <f t="shared" si="48"/>
        <v>1</v>
      </c>
      <c r="N233" s="390"/>
      <c r="O233" s="381">
        <f t="shared" si="49"/>
        <v>1</v>
      </c>
      <c r="P233" s="390"/>
      <c r="Q233" s="381">
        <f t="shared" si="50"/>
        <v>1</v>
      </c>
      <c r="R233" s="441">
        <f t="shared" si="51"/>
        <v>0</v>
      </c>
      <c r="S233" s="380">
        <f t="shared" si="52"/>
        <v>0</v>
      </c>
    </row>
    <row r="234" spans="1:19">
      <c r="A234" s="388"/>
      <c r="B234" s="389"/>
      <c r="C234" s="381">
        <f t="shared" si="43"/>
        <v>1</v>
      </c>
      <c r="D234" s="390"/>
      <c r="E234" s="381">
        <f t="shared" si="44"/>
        <v>1</v>
      </c>
      <c r="F234" s="390"/>
      <c r="G234" s="381">
        <f t="shared" si="45"/>
        <v>1</v>
      </c>
      <c r="H234" s="390"/>
      <c r="I234" s="381">
        <f t="shared" si="46"/>
        <v>1</v>
      </c>
      <c r="J234" s="390"/>
      <c r="K234" s="381">
        <f t="shared" si="47"/>
        <v>1</v>
      </c>
      <c r="L234" s="390"/>
      <c r="M234" s="381">
        <f t="shared" si="48"/>
        <v>1</v>
      </c>
      <c r="N234" s="390"/>
      <c r="O234" s="381">
        <f t="shared" si="49"/>
        <v>1</v>
      </c>
      <c r="P234" s="390"/>
      <c r="Q234" s="381">
        <f t="shared" si="50"/>
        <v>1</v>
      </c>
      <c r="R234" s="441">
        <f t="shared" si="51"/>
        <v>0</v>
      </c>
      <c r="S234" s="380">
        <f t="shared" si="52"/>
        <v>0</v>
      </c>
    </row>
    <row r="235" spans="1:19">
      <c r="A235" s="388"/>
      <c r="B235" s="389"/>
      <c r="C235" s="381">
        <f t="shared" si="43"/>
        <v>1</v>
      </c>
      <c r="D235" s="390"/>
      <c r="E235" s="381">
        <f t="shared" si="44"/>
        <v>1</v>
      </c>
      <c r="F235" s="390"/>
      <c r="G235" s="381">
        <f t="shared" si="45"/>
        <v>1</v>
      </c>
      <c r="H235" s="390"/>
      <c r="I235" s="381">
        <f t="shared" si="46"/>
        <v>1</v>
      </c>
      <c r="J235" s="390"/>
      <c r="K235" s="381">
        <f t="shared" si="47"/>
        <v>1</v>
      </c>
      <c r="L235" s="390"/>
      <c r="M235" s="381">
        <f t="shared" si="48"/>
        <v>1</v>
      </c>
      <c r="N235" s="390"/>
      <c r="O235" s="381">
        <f t="shared" si="49"/>
        <v>1</v>
      </c>
      <c r="P235" s="390"/>
      <c r="Q235" s="381">
        <f t="shared" si="50"/>
        <v>1</v>
      </c>
      <c r="R235" s="441">
        <f t="shared" si="51"/>
        <v>0</v>
      </c>
      <c r="S235" s="380">
        <f t="shared" si="52"/>
        <v>0</v>
      </c>
    </row>
    <row r="236" spans="1:19">
      <c r="A236" s="388"/>
      <c r="B236" s="389"/>
      <c r="C236" s="381">
        <f t="shared" si="43"/>
        <v>1</v>
      </c>
      <c r="D236" s="390"/>
      <c r="E236" s="381">
        <f t="shared" si="44"/>
        <v>1</v>
      </c>
      <c r="F236" s="390"/>
      <c r="G236" s="381">
        <f t="shared" si="45"/>
        <v>1</v>
      </c>
      <c r="H236" s="390"/>
      <c r="I236" s="381">
        <f t="shared" si="46"/>
        <v>1</v>
      </c>
      <c r="J236" s="390"/>
      <c r="K236" s="381">
        <f t="shared" si="47"/>
        <v>1</v>
      </c>
      <c r="L236" s="390"/>
      <c r="M236" s="381">
        <f t="shared" si="48"/>
        <v>1</v>
      </c>
      <c r="N236" s="390"/>
      <c r="O236" s="381">
        <f t="shared" si="49"/>
        <v>1</v>
      </c>
      <c r="P236" s="390"/>
      <c r="Q236" s="381">
        <f t="shared" si="50"/>
        <v>1</v>
      </c>
      <c r="R236" s="441">
        <f t="shared" si="51"/>
        <v>0</v>
      </c>
      <c r="S236" s="380">
        <f t="shared" si="52"/>
        <v>0</v>
      </c>
    </row>
    <row r="237" spans="1:19">
      <c r="A237" s="388"/>
      <c r="B237" s="389"/>
      <c r="C237" s="381">
        <f t="shared" si="43"/>
        <v>1</v>
      </c>
      <c r="D237" s="390"/>
      <c r="E237" s="381">
        <f t="shared" si="44"/>
        <v>1</v>
      </c>
      <c r="F237" s="390"/>
      <c r="G237" s="381">
        <f t="shared" si="45"/>
        <v>1</v>
      </c>
      <c r="H237" s="390"/>
      <c r="I237" s="381">
        <f t="shared" si="46"/>
        <v>1</v>
      </c>
      <c r="J237" s="390"/>
      <c r="K237" s="381">
        <f t="shared" si="47"/>
        <v>1</v>
      </c>
      <c r="L237" s="390"/>
      <c r="M237" s="381">
        <f t="shared" si="48"/>
        <v>1</v>
      </c>
      <c r="N237" s="390"/>
      <c r="O237" s="381">
        <f t="shared" si="49"/>
        <v>1</v>
      </c>
      <c r="P237" s="390"/>
      <c r="Q237" s="381">
        <f t="shared" si="50"/>
        <v>1</v>
      </c>
      <c r="R237" s="441">
        <f t="shared" si="51"/>
        <v>0</v>
      </c>
      <c r="S237" s="380">
        <f t="shared" si="52"/>
        <v>0</v>
      </c>
    </row>
    <row r="238" spans="1:19">
      <c r="A238" s="388"/>
      <c r="B238" s="389"/>
      <c r="C238" s="381">
        <f t="shared" si="43"/>
        <v>1</v>
      </c>
      <c r="D238" s="390"/>
      <c r="E238" s="381">
        <f t="shared" si="44"/>
        <v>1</v>
      </c>
      <c r="F238" s="390"/>
      <c r="G238" s="381">
        <f t="shared" si="45"/>
        <v>1</v>
      </c>
      <c r="H238" s="390"/>
      <c r="I238" s="381">
        <f t="shared" si="46"/>
        <v>1</v>
      </c>
      <c r="J238" s="390"/>
      <c r="K238" s="381">
        <f t="shared" si="47"/>
        <v>1</v>
      </c>
      <c r="L238" s="390"/>
      <c r="M238" s="381">
        <f t="shared" si="48"/>
        <v>1</v>
      </c>
      <c r="N238" s="390"/>
      <c r="O238" s="381">
        <f t="shared" si="49"/>
        <v>1</v>
      </c>
      <c r="P238" s="390"/>
      <c r="Q238" s="381">
        <f t="shared" si="50"/>
        <v>1</v>
      </c>
      <c r="R238" s="441">
        <f t="shared" si="51"/>
        <v>0</v>
      </c>
      <c r="S238" s="380">
        <f t="shared" si="52"/>
        <v>0</v>
      </c>
    </row>
    <row r="239" spans="1:19">
      <c r="A239" s="388"/>
      <c r="B239" s="389"/>
      <c r="C239" s="381">
        <f t="shared" si="43"/>
        <v>1</v>
      </c>
      <c r="D239" s="390"/>
      <c r="E239" s="381">
        <f t="shared" si="44"/>
        <v>1</v>
      </c>
      <c r="F239" s="390"/>
      <c r="G239" s="381">
        <f t="shared" si="45"/>
        <v>1</v>
      </c>
      <c r="H239" s="390"/>
      <c r="I239" s="381">
        <f t="shared" si="46"/>
        <v>1</v>
      </c>
      <c r="J239" s="390"/>
      <c r="K239" s="381">
        <f t="shared" si="47"/>
        <v>1</v>
      </c>
      <c r="L239" s="390"/>
      <c r="M239" s="381">
        <f t="shared" si="48"/>
        <v>1</v>
      </c>
      <c r="N239" s="390"/>
      <c r="O239" s="381">
        <f t="shared" si="49"/>
        <v>1</v>
      </c>
      <c r="P239" s="390"/>
      <c r="Q239" s="381">
        <f t="shared" si="50"/>
        <v>1</v>
      </c>
      <c r="R239" s="441">
        <f t="shared" si="51"/>
        <v>0</v>
      </c>
      <c r="S239" s="380">
        <f t="shared" si="52"/>
        <v>0</v>
      </c>
    </row>
    <row r="240" spans="1:19">
      <c r="A240" s="388"/>
      <c r="B240" s="389"/>
      <c r="C240" s="381">
        <f t="shared" si="43"/>
        <v>1</v>
      </c>
      <c r="D240" s="390"/>
      <c r="E240" s="381">
        <f t="shared" si="44"/>
        <v>1</v>
      </c>
      <c r="F240" s="390"/>
      <c r="G240" s="381">
        <f t="shared" si="45"/>
        <v>1</v>
      </c>
      <c r="H240" s="390"/>
      <c r="I240" s="381">
        <f t="shared" si="46"/>
        <v>1</v>
      </c>
      <c r="J240" s="390"/>
      <c r="K240" s="381">
        <f t="shared" si="47"/>
        <v>1</v>
      </c>
      <c r="L240" s="390"/>
      <c r="M240" s="381">
        <f t="shared" si="48"/>
        <v>1</v>
      </c>
      <c r="N240" s="390"/>
      <c r="O240" s="381">
        <f t="shared" si="49"/>
        <v>1</v>
      </c>
      <c r="P240" s="390"/>
      <c r="Q240" s="381">
        <f t="shared" si="50"/>
        <v>1</v>
      </c>
      <c r="R240" s="441">
        <f t="shared" si="51"/>
        <v>0</v>
      </c>
      <c r="S240" s="380">
        <f t="shared" si="52"/>
        <v>0</v>
      </c>
    </row>
    <row r="241" spans="1:19">
      <c r="A241" s="388"/>
      <c r="B241" s="389"/>
      <c r="C241" s="381">
        <f t="shared" si="43"/>
        <v>1</v>
      </c>
      <c r="D241" s="390"/>
      <c r="E241" s="381">
        <f t="shared" si="44"/>
        <v>1</v>
      </c>
      <c r="F241" s="390"/>
      <c r="G241" s="381">
        <f t="shared" si="45"/>
        <v>1</v>
      </c>
      <c r="H241" s="390"/>
      <c r="I241" s="381">
        <f t="shared" si="46"/>
        <v>1</v>
      </c>
      <c r="J241" s="390"/>
      <c r="K241" s="381">
        <f t="shared" si="47"/>
        <v>1</v>
      </c>
      <c r="L241" s="390"/>
      <c r="M241" s="381">
        <f t="shared" si="48"/>
        <v>1</v>
      </c>
      <c r="N241" s="390"/>
      <c r="O241" s="381">
        <f t="shared" si="49"/>
        <v>1</v>
      </c>
      <c r="P241" s="390"/>
      <c r="Q241" s="381">
        <f t="shared" si="50"/>
        <v>1</v>
      </c>
      <c r="R241" s="441">
        <f t="shared" si="51"/>
        <v>0</v>
      </c>
      <c r="S241" s="380">
        <f t="shared" si="52"/>
        <v>0</v>
      </c>
    </row>
    <row r="242" spans="1:19">
      <c r="A242" s="388"/>
      <c r="B242" s="389"/>
      <c r="C242" s="381">
        <f t="shared" si="43"/>
        <v>1</v>
      </c>
      <c r="D242" s="390"/>
      <c r="E242" s="381">
        <f t="shared" si="44"/>
        <v>1</v>
      </c>
      <c r="F242" s="390"/>
      <c r="G242" s="381">
        <f t="shared" si="45"/>
        <v>1</v>
      </c>
      <c r="H242" s="390"/>
      <c r="I242" s="381">
        <f t="shared" si="46"/>
        <v>1</v>
      </c>
      <c r="J242" s="390"/>
      <c r="K242" s="381">
        <f t="shared" si="47"/>
        <v>1</v>
      </c>
      <c r="L242" s="390"/>
      <c r="M242" s="381">
        <f t="shared" si="48"/>
        <v>1</v>
      </c>
      <c r="N242" s="390"/>
      <c r="O242" s="381">
        <f t="shared" si="49"/>
        <v>1</v>
      </c>
      <c r="P242" s="390"/>
      <c r="Q242" s="381">
        <f t="shared" si="50"/>
        <v>1</v>
      </c>
      <c r="R242" s="441">
        <f t="shared" si="51"/>
        <v>0</v>
      </c>
      <c r="S242" s="380">
        <f t="shared" si="52"/>
        <v>0</v>
      </c>
    </row>
    <row r="243" spans="1:19">
      <c r="A243" s="388"/>
      <c r="B243" s="389"/>
      <c r="C243" s="381">
        <f t="shared" si="43"/>
        <v>1</v>
      </c>
      <c r="D243" s="390"/>
      <c r="E243" s="381">
        <f t="shared" si="44"/>
        <v>1</v>
      </c>
      <c r="F243" s="390"/>
      <c r="G243" s="381">
        <f t="shared" si="45"/>
        <v>1</v>
      </c>
      <c r="H243" s="390"/>
      <c r="I243" s="381">
        <f t="shared" si="46"/>
        <v>1</v>
      </c>
      <c r="J243" s="390"/>
      <c r="K243" s="381">
        <f t="shared" si="47"/>
        <v>1</v>
      </c>
      <c r="L243" s="390"/>
      <c r="M243" s="381">
        <f t="shared" si="48"/>
        <v>1</v>
      </c>
      <c r="N243" s="390"/>
      <c r="O243" s="381">
        <f t="shared" si="49"/>
        <v>1</v>
      </c>
      <c r="P243" s="390"/>
      <c r="Q243" s="381">
        <f t="shared" si="50"/>
        <v>1</v>
      </c>
      <c r="R243" s="441">
        <f t="shared" si="51"/>
        <v>0</v>
      </c>
      <c r="S243" s="380">
        <f t="shared" si="52"/>
        <v>0</v>
      </c>
    </row>
    <row r="244" spans="1:19">
      <c r="A244" s="388"/>
      <c r="B244" s="389"/>
      <c r="C244" s="381">
        <f t="shared" si="43"/>
        <v>1</v>
      </c>
      <c r="D244" s="390"/>
      <c r="E244" s="381">
        <f t="shared" si="44"/>
        <v>1</v>
      </c>
      <c r="F244" s="390"/>
      <c r="G244" s="381">
        <f t="shared" si="45"/>
        <v>1</v>
      </c>
      <c r="H244" s="390"/>
      <c r="I244" s="381">
        <f t="shared" si="46"/>
        <v>1</v>
      </c>
      <c r="J244" s="390"/>
      <c r="K244" s="381">
        <f t="shared" si="47"/>
        <v>1</v>
      </c>
      <c r="L244" s="390"/>
      <c r="M244" s="381">
        <f t="shared" si="48"/>
        <v>1</v>
      </c>
      <c r="N244" s="390"/>
      <c r="O244" s="381">
        <f t="shared" si="49"/>
        <v>1</v>
      </c>
      <c r="P244" s="390"/>
      <c r="Q244" s="381">
        <f t="shared" si="50"/>
        <v>1</v>
      </c>
      <c r="R244" s="441">
        <f t="shared" si="51"/>
        <v>0</v>
      </c>
      <c r="S244" s="380">
        <f t="shared" si="52"/>
        <v>0</v>
      </c>
    </row>
    <row r="245" spans="1:19">
      <c r="A245" s="388"/>
      <c r="B245" s="389"/>
      <c r="C245" s="381">
        <f t="shared" si="43"/>
        <v>1</v>
      </c>
      <c r="D245" s="390"/>
      <c r="E245" s="381">
        <f t="shared" si="44"/>
        <v>1</v>
      </c>
      <c r="F245" s="390"/>
      <c r="G245" s="381">
        <f t="shared" si="45"/>
        <v>1</v>
      </c>
      <c r="H245" s="390"/>
      <c r="I245" s="381">
        <f t="shared" si="46"/>
        <v>1</v>
      </c>
      <c r="J245" s="390"/>
      <c r="K245" s="381">
        <f t="shared" si="47"/>
        <v>1</v>
      </c>
      <c r="L245" s="390"/>
      <c r="M245" s="381">
        <f t="shared" si="48"/>
        <v>1</v>
      </c>
      <c r="N245" s="390"/>
      <c r="O245" s="381">
        <f t="shared" si="49"/>
        <v>1</v>
      </c>
      <c r="P245" s="390"/>
      <c r="Q245" s="381">
        <f t="shared" si="50"/>
        <v>1</v>
      </c>
      <c r="R245" s="441">
        <f t="shared" si="51"/>
        <v>0</v>
      </c>
      <c r="S245" s="380">
        <f t="shared" si="52"/>
        <v>0</v>
      </c>
    </row>
    <row r="246" spans="1:19">
      <c r="A246" s="388"/>
      <c r="B246" s="389"/>
      <c r="C246" s="381">
        <f t="shared" si="43"/>
        <v>1</v>
      </c>
      <c r="D246" s="390"/>
      <c r="E246" s="381">
        <f t="shared" si="44"/>
        <v>1</v>
      </c>
      <c r="F246" s="390"/>
      <c r="G246" s="381">
        <f t="shared" si="45"/>
        <v>1</v>
      </c>
      <c r="H246" s="390"/>
      <c r="I246" s="381">
        <f t="shared" si="46"/>
        <v>1</v>
      </c>
      <c r="J246" s="390"/>
      <c r="K246" s="381">
        <f t="shared" si="47"/>
        <v>1</v>
      </c>
      <c r="L246" s="390"/>
      <c r="M246" s="381">
        <f t="shared" si="48"/>
        <v>1</v>
      </c>
      <c r="N246" s="390"/>
      <c r="O246" s="381">
        <f t="shared" si="49"/>
        <v>1</v>
      </c>
      <c r="P246" s="390"/>
      <c r="Q246" s="381">
        <f t="shared" si="50"/>
        <v>1</v>
      </c>
      <c r="R246" s="441">
        <f t="shared" si="51"/>
        <v>0</v>
      </c>
      <c r="S246" s="380">
        <f t="shared" si="52"/>
        <v>0</v>
      </c>
    </row>
    <row r="247" spans="1:19">
      <c r="A247" s="388"/>
      <c r="B247" s="389"/>
      <c r="C247" s="381">
        <f t="shared" si="43"/>
        <v>1</v>
      </c>
      <c r="D247" s="390"/>
      <c r="E247" s="381">
        <f t="shared" si="44"/>
        <v>1</v>
      </c>
      <c r="F247" s="390"/>
      <c r="G247" s="381">
        <f t="shared" si="45"/>
        <v>1</v>
      </c>
      <c r="H247" s="390"/>
      <c r="I247" s="381">
        <f t="shared" si="46"/>
        <v>1</v>
      </c>
      <c r="J247" s="390"/>
      <c r="K247" s="381">
        <f t="shared" si="47"/>
        <v>1</v>
      </c>
      <c r="L247" s="390"/>
      <c r="M247" s="381">
        <f t="shared" si="48"/>
        <v>1</v>
      </c>
      <c r="N247" s="390"/>
      <c r="O247" s="381">
        <f t="shared" si="49"/>
        <v>1</v>
      </c>
      <c r="P247" s="390"/>
      <c r="Q247" s="381">
        <f t="shared" si="50"/>
        <v>1</v>
      </c>
      <c r="R247" s="441">
        <f t="shared" si="51"/>
        <v>0</v>
      </c>
      <c r="S247" s="380">
        <f t="shared" si="52"/>
        <v>0</v>
      </c>
    </row>
    <row r="248" spans="1:19">
      <c r="A248" s="388"/>
      <c r="B248" s="389"/>
      <c r="C248" s="381">
        <f t="shared" si="43"/>
        <v>1</v>
      </c>
      <c r="D248" s="390"/>
      <c r="E248" s="381">
        <f t="shared" si="44"/>
        <v>1</v>
      </c>
      <c r="F248" s="390"/>
      <c r="G248" s="381">
        <f t="shared" si="45"/>
        <v>1</v>
      </c>
      <c r="H248" s="390"/>
      <c r="I248" s="381">
        <f t="shared" si="46"/>
        <v>1</v>
      </c>
      <c r="J248" s="390"/>
      <c r="K248" s="381">
        <f t="shared" si="47"/>
        <v>1</v>
      </c>
      <c r="L248" s="390"/>
      <c r="M248" s="381">
        <f t="shared" si="48"/>
        <v>1</v>
      </c>
      <c r="N248" s="390"/>
      <c r="O248" s="381">
        <f t="shared" si="49"/>
        <v>1</v>
      </c>
      <c r="P248" s="390"/>
      <c r="Q248" s="381">
        <f t="shared" si="50"/>
        <v>1</v>
      </c>
      <c r="R248" s="441">
        <f t="shared" si="51"/>
        <v>0</v>
      </c>
      <c r="S248" s="380">
        <f t="shared" si="52"/>
        <v>0</v>
      </c>
    </row>
    <row r="249" spans="1:19">
      <c r="A249" s="388"/>
      <c r="B249" s="389"/>
      <c r="C249" s="381">
        <f t="shared" si="43"/>
        <v>1</v>
      </c>
      <c r="D249" s="390"/>
      <c r="E249" s="381">
        <f t="shared" si="44"/>
        <v>1</v>
      </c>
      <c r="F249" s="390"/>
      <c r="G249" s="381">
        <f t="shared" si="45"/>
        <v>1</v>
      </c>
      <c r="H249" s="390"/>
      <c r="I249" s="381">
        <f t="shared" si="46"/>
        <v>1</v>
      </c>
      <c r="J249" s="390"/>
      <c r="K249" s="381">
        <f t="shared" si="47"/>
        <v>1</v>
      </c>
      <c r="L249" s="390"/>
      <c r="M249" s="381">
        <f t="shared" si="48"/>
        <v>1</v>
      </c>
      <c r="N249" s="390"/>
      <c r="O249" s="381">
        <f t="shared" si="49"/>
        <v>1</v>
      </c>
      <c r="P249" s="390"/>
      <c r="Q249" s="381">
        <f t="shared" si="50"/>
        <v>1</v>
      </c>
      <c r="R249" s="441">
        <f t="shared" si="51"/>
        <v>0</v>
      </c>
      <c r="S249" s="380">
        <f t="shared" si="52"/>
        <v>0</v>
      </c>
    </row>
    <row r="250" spans="1:19">
      <c r="A250" s="388"/>
      <c r="B250" s="389"/>
      <c r="C250" s="381">
        <f t="shared" si="43"/>
        <v>1</v>
      </c>
      <c r="D250" s="390"/>
      <c r="E250" s="381">
        <f t="shared" si="44"/>
        <v>1</v>
      </c>
      <c r="F250" s="390"/>
      <c r="G250" s="381">
        <f t="shared" si="45"/>
        <v>1</v>
      </c>
      <c r="H250" s="390"/>
      <c r="I250" s="381">
        <f t="shared" si="46"/>
        <v>1</v>
      </c>
      <c r="J250" s="390"/>
      <c r="K250" s="381">
        <f t="shared" si="47"/>
        <v>1</v>
      </c>
      <c r="L250" s="390"/>
      <c r="M250" s="381">
        <f t="shared" si="48"/>
        <v>1</v>
      </c>
      <c r="N250" s="390"/>
      <c r="O250" s="381">
        <f t="shared" si="49"/>
        <v>1</v>
      </c>
      <c r="P250" s="390"/>
      <c r="Q250" s="381">
        <f t="shared" si="50"/>
        <v>1</v>
      </c>
      <c r="R250" s="441">
        <f t="shared" si="51"/>
        <v>0</v>
      </c>
      <c r="S250" s="380">
        <f t="shared" si="52"/>
        <v>0</v>
      </c>
    </row>
    <row r="251" spans="1:19">
      <c r="A251" s="388"/>
      <c r="B251" s="389"/>
      <c r="C251" s="381">
        <f t="shared" si="43"/>
        <v>1</v>
      </c>
      <c r="D251" s="390"/>
      <c r="E251" s="381">
        <f t="shared" si="44"/>
        <v>1</v>
      </c>
      <c r="F251" s="390"/>
      <c r="G251" s="381">
        <f t="shared" si="45"/>
        <v>1</v>
      </c>
      <c r="H251" s="390"/>
      <c r="I251" s="381">
        <f t="shared" si="46"/>
        <v>1</v>
      </c>
      <c r="J251" s="390"/>
      <c r="K251" s="381">
        <f t="shared" si="47"/>
        <v>1</v>
      </c>
      <c r="L251" s="390"/>
      <c r="M251" s="381">
        <f t="shared" si="48"/>
        <v>1</v>
      </c>
      <c r="N251" s="390"/>
      <c r="O251" s="381">
        <f t="shared" si="49"/>
        <v>1</v>
      </c>
      <c r="P251" s="390"/>
      <c r="Q251" s="381">
        <f t="shared" si="50"/>
        <v>1</v>
      </c>
      <c r="R251" s="441">
        <f t="shared" si="51"/>
        <v>0</v>
      </c>
      <c r="S251" s="380">
        <f t="shared" si="52"/>
        <v>0</v>
      </c>
    </row>
    <row r="252" spans="1:19">
      <c r="A252" s="388"/>
      <c r="B252" s="389"/>
      <c r="C252" s="381">
        <f t="shared" si="43"/>
        <v>1</v>
      </c>
      <c r="D252" s="390"/>
      <c r="E252" s="381">
        <f t="shared" si="44"/>
        <v>1</v>
      </c>
      <c r="F252" s="390"/>
      <c r="G252" s="381">
        <f t="shared" si="45"/>
        <v>1</v>
      </c>
      <c r="H252" s="390"/>
      <c r="I252" s="381">
        <f t="shared" si="46"/>
        <v>1</v>
      </c>
      <c r="J252" s="390"/>
      <c r="K252" s="381">
        <f t="shared" si="47"/>
        <v>1</v>
      </c>
      <c r="L252" s="390"/>
      <c r="M252" s="381">
        <f t="shared" si="48"/>
        <v>1</v>
      </c>
      <c r="N252" s="390"/>
      <c r="O252" s="381">
        <f t="shared" si="49"/>
        <v>1</v>
      </c>
      <c r="P252" s="390"/>
      <c r="Q252" s="381">
        <f t="shared" si="50"/>
        <v>1</v>
      </c>
      <c r="R252" s="441">
        <f t="shared" si="51"/>
        <v>0</v>
      </c>
      <c r="S252" s="380">
        <f t="shared" si="52"/>
        <v>0</v>
      </c>
    </row>
    <row r="253" spans="1:19">
      <c r="A253" s="388"/>
      <c r="B253" s="389"/>
      <c r="C253" s="381">
        <f t="shared" si="43"/>
        <v>1</v>
      </c>
      <c r="D253" s="390"/>
      <c r="E253" s="381">
        <f t="shared" si="44"/>
        <v>1</v>
      </c>
      <c r="F253" s="390"/>
      <c r="G253" s="381">
        <f t="shared" si="45"/>
        <v>1</v>
      </c>
      <c r="H253" s="390"/>
      <c r="I253" s="381">
        <f t="shared" si="46"/>
        <v>1</v>
      </c>
      <c r="J253" s="390"/>
      <c r="K253" s="381">
        <f t="shared" si="47"/>
        <v>1</v>
      </c>
      <c r="L253" s="390"/>
      <c r="M253" s="381">
        <f t="shared" si="48"/>
        <v>1</v>
      </c>
      <c r="N253" s="390"/>
      <c r="O253" s="381">
        <f t="shared" si="49"/>
        <v>1</v>
      </c>
      <c r="P253" s="390"/>
      <c r="Q253" s="381">
        <f t="shared" si="50"/>
        <v>1</v>
      </c>
      <c r="R253" s="441">
        <f t="shared" si="51"/>
        <v>0</v>
      </c>
      <c r="S253" s="380">
        <f t="shared" si="52"/>
        <v>0</v>
      </c>
    </row>
    <row r="254" spans="1:19">
      <c r="A254" s="388"/>
      <c r="B254" s="389"/>
      <c r="C254" s="381">
        <f t="shared" si="43"/>
        <v>1</v>
      </c>
      <c r="D254" s="390"/>
      <c r="E254" s="381">
        <f t="shared" si="44"/>
        <v>1</v>
      </c>
      <c r="F254" s="390"/>
      <c r="G254" s="381">
        <f t="shared" si="45"/>
        <v>1</v>
      </c>
      <c r="H254" s="390"/>
      <c r="I254" s="381">
        <f t="shared" si="46"/>
        <v>1</v>
      </c>
      <c r="J254" s="390"/>
      <c r="K254" s="381">
        <f t="shared" si="47"/>
        <v>1</v>
      </c>
      <c r="L254" s="390"/>
      <c r="M254" s="381">
        <f t="shared" si="48"/>
        <v>1</v>
      </c>
      <c r="N254" s="390"/>
      <c r="O254" s="381">
        <f t="shared" si="49"/>
        <v>1</v>
      </c>
      <c r="P254" s="390"/>
      <c r="Q254" s="381">
        <f t="shared" si="50"/>
        <v>1</v>
      </c>
      <c r="R254" s="441">
        <f t="shared" si="51"/>
        <v>0</v>
      </c>
      <c r="S254" s="380">
        <f t="shared" si="52"/>
        <v>0</v>
      </c>
    </row>
    <row r="255" spans="1:19">
      <c r="A255" s="388"/>
      <c r="B255" s="389"/>
      <c r="C255" s="381">
        <f t="shared" si="43"/>
        <v>1</v>
      </c>
      <c r="D255" s="390"/>
      <c r="E255" s="381">
        <f t="shared" si="44"/>
        <v>1</v>
      </c>
      <c r="F255" s="390"/>
      <c r="G255" s="381">
        <f t="shared" si="45"/>
        <v>1</v>
      </c>
      <c r="H255" s="390"/>
      <c r="I255" s="381">
        <f t="shared" si="46"/>
        <v>1</v>
      </c>
      <c r="J255" s="390"/>
      <c r="K255" s="381">
        <f t="shared" si="47"/>
        <v>1</v>
      </c>
      <c r="L255" s="390"/>
      <c r="M255" s="381">
        <f t="shared" si="48"/>
        <v>1</v>
      </c>
      <c r="N255" s="390"/>
      <c r="O255" s="381">
        <f t="shared" si="49"/>
        <v>1</v>
      </c>
      <c r="P255" s="390"/>
      <c r="Q255" s="381">
        <f t="shared" si="50"/>
        <v>1</v>
      </c>
      <c r="R255" s="441">
        <f t="shared" si="51"/>
        <v>0</v>
      </c>
      <c r="S255" s="380">
        <f t="shared" si="52"/>
        <v>0</v>
      </c>
    </row>
    <row r="256" spans="1:19">
      <c r="A256" s="388"/>
      <c r="B256" s="389"/>
      <c r="C256" s="381">
        <f t="shared" si="43"/>
        <v>1</v>
      </c>
      <c r="D256" s="390"/>
      <c r="E256" s="381">
        <f t="shared" si="44"/>
        <v>1</v>
      </c>
      <c r="F256" s="390"/>
      <c r="G256" s="381">
        <f t="shared" si="45"/>
        <v>1</v>
      </c>
      <c r="H256" s="390"/>
      <c r="I256" s="381">
        <f t="shared" si="46"/>
        <v>1</v>
      </c>
      <c r="J256" s="390"/>
      <c r="K256" s="381">
        <f t="shared" si="47"/>
        <v>1</v>
      </c>
      <c r="L256" s="390"/>
      <c r="M256" s="381">
        <f t="shared" si="48"/>
        <v>1</v>
      </c>
      <c r="N256" s="390"/>
      <c r="O256" s="381">
        <f t="shared" si="49"/>
        <v>1</v>
      </c>
      <c r="P256" s="390"/>
      <c r="Q256" s="381">
        <f t="shared" si="50"/>
        <v>1</v>
      </c>
      <c r="R256" s="441">
        <f t="shared" si="51"/>
        <v>0</v>
      </c>
      <c r="S256" s="380">
        <f t="shared" si="52"/>
        <v>0</v>
      </c>
    </row>
    <row r="257" spans="1:19">
      <c r="A257" s="388"/>
      <c r="B257" s="389"/>
      <c r="C257" s="381">
        <f t="shared" si="43"/>
        <v>1</v>
      </c>
      <c r="D257" s="390"/>
      <c r="E257" s="381">
        <f t="shared" si="44"/>
        <v>1</v>
      </c>
      <c r="F257" s="390"/>
      <c r="G257" s="381">
        <f t="shared" si="45"/>
        <v>1</v>
      </c>
      <c r="H257" s="390"/>
      <c r="I257" s="381">
        <f t="shared" si="46"/>
        <v>1</v>
      </c>
      <c r="J257" s="390"/>
      <c r="K257" s="381">
        <f t="shared" si="47"/>
        <v>1</v>
      </c>
      <c r="L257" s="390"/>
      <c r="M257" s="381">
        <f t="shared" si="48"/>
        <v>1</v>
      </c>
      <c r="N257" s="390"/>
      <c r="O257" s="381">
        <f t="shared" si="49"/>
        <v>1</v>
      </c>
      <c r="P257" s="390"/>
      <c r="Q257" s="381">
        <f t="shared" si="50"/>
        <v>1</v>
      </c>
      <c r="R257" s="441">
        <f t="shared" si="51"/>
        <v>0</v>
      </c>
      <c r="S257" s="380">
        <f t="shared" si="52"/>
        <v>0</v>
      </c>
    </row>
    <row r="258" spans="1:19">
      <c r="A258" s="388"/>
      <c r="B258" s="389"/>
      <c r="C258" s="381">
        <f t="shared" si="43"/>
        <v>1</v>
      </c>
      <c r="D258" s="390"/>
      <c r="E258" s="381">
        <f t="shared" si="44"/>
        <v>1</v>
      </c>
      <c r="F258" s="390"/>
      <c r="G258" s="381">
        <f t="shared" si="45"/>
        <v>1</v>
      </c>
      <c r="H258" s="390"/>
      <c r="I258" s="381">
        <f t="shared" si="46"/>
        <v>1</v>
      </c>
      <c r="J258" s="390"/>
      <c r="K258" s="381">
        <f t="shared" si="47"/>
        <v>1</v>
      </c>
      <c r="L258" s="390"/>
      <c r="M258" s="381">
        <f t="shared" si="48"/>
        <v>1</v>
      </c>
      <c r="N258" s="390"/>
      <c r="O258" s="381">
        <f t="shared" si="49"/>
        <v>1</v>
      </c>
      <c r="P258" s="390"/>
      <c r="Q258" s="381">
        <f t="shared" si="50"/>
        <v>1</v>
      </c>
      <c r="R258" s="441">
        <f t="shared" si="51"/>
        <v>0</v>
      </c>
      <c r="S258" s="380">
        <f t="shared" si="52"/>
        <v>0</v>
      </c>
    </row>
    <row r="259" spans="1:19">
      <c r="A259" s="388"/>
      <c r="B259" s="389"/>
      <c r="C259" s="381">
        <f t="shared" si="43"/>
        <v>1</v>
      </c>
      <c r="D259" s="390"/>
      <c r="E259" s="381">
        <f t="shared" si="44"/>
        <v>1</v>
      </c>
      <c r="F259" s="390"/>
      <c r="G259" s="381">
        <f t="shared" si="45"/>
        <v>1</v>
      </c>
      <c r="H259" s="390"/>
      <c r="I259" s="381">
        <f t="shared" si="46"/>
        <v>1</v>
      </c>
      <c r="J259" s="390"/>
      <c r="K259" s="381">
        <f t="shared" si="47"/>
        <v>1</v>
      </c>
      <c r="L259" s="390"/>
      <c r="M259" s="381">
        <f t="shared" si="48"/>
        <v>1</v>
      </c>
      <c r="N259" s="390"/>
      <c r="O259" s="381">
        <f t="shared" si="49"/>
        <v>1</v>
      </c>
      <c r="P259" s="390"/>
      <c r="Q259" s="381">
        <f t="shared" si="50"/>
        <v>1</v>
      </c>
      <c r="R259" s="441">
        <f t="shared" si="51"/>
        <v>0</v>
      </c>
      <c r="S259" s="380">
        <f t="shared" si="52"/>
        <v>0</v>
      </c>
    </row>
    <row r="260" spans="1:19">
      <c r="A260" s="388"/>
      <c r="B260" s="389"/>
      <c r="C260" s="381">
        <f t="shared" si="43"/>
        <v>1</v>
      </c>
      <c r="D260" s="390"/>
      <c r="E260" s="381">
        <f t="shared" si="44"/>
        <v>1</v>
      </c>
      <c r="F260" s="390"/>
      <c r="G260" s="381">
        <f t="shared" si="45"/>
        <v>1</v>
      </c>
      <c r="H260" s="390"/>
      <c r="I260" s="381">
        <f t="shared" si="46"/>
        <v>1</v>
      </c>
      <c r="J260" s="390"/>
      <c r="K260" s="381">
        <f t="shared" si="47"/>
        <v>1</v>
      </c>
      <c r="L260" s="390"/>
      <c r="M260" s="381">
        <f t="shared" si="48"/>
        <v>1</v>
      </c>
      <c r="N260" s="390"/>
      <c r="O260" s="381">
        <f t="shared" si="49"/>
        <v>1</v>
      </c>
      <c r="P260" s="390"/>
      <c r="Q260" s="381">
        <f t="shared" si="50"/>
        <v>1</v>
      </c>
      <c r="R260" s="441">
        <f t="shared" si="51"/>
        <v>0</v>
      </c>
      <c r="S260" s="380">
        <f t="shared" si="52"/>
        <v>0</v>
      </c>
    </row>
    <row r="261" spans="1:19">
      <c r="A261" s="388"/>
      <c r="B261" s="389"/>
      <c r="C261" s="381">
        <f t="shared" si="43"/>
        <v>1</v>
      </c>
      <c r="D261" s="390"/>
      <c r="E261" s="381">
        <f t="shared" si="44"/>
        <v>1</v>
      </c>
      <c r="F261" s="390"/>
      <c r="G261" s="381">
        <f t="shared" si="45"/>
        <v>1</v>
      </c>
      <c r="H261" s="390"/>
      <c r="I261" s="381">
        <f t="shared" si="46"/>
        <v>1</v>
      </c>
      <c r="J261" s="390"/>
      <c r="K261" s="381">
        <f t="shared" si="47"/>
        <v>1</v>
      </c>
      <c r="L261" s="390"/>
      <c r="M261" s="381">
        <f t="shared" si="48"/>
        <v>1</v>
      </c>
      <c r="N261" s="390"/>
      <c r="O261" s="381">
        <f t="shared" si="49"/>
        <v>1</v>
      </c>
      <c r="P261" s="390"/>
      <c r="Q261" s="381">
        <f t="shared" si="50"/>
        <v>1</v>
      </c>
      <c r="R261" s="441">
        <f t="shared" si="51"/>
        <v>0</v>
      </c>
      <c r="S261" s="380">
        <f t="shared" si="52"/>
        <v>0</v>
      </c>
    </row>
    <row r="262" spans="1:19">
      <c r="A262" s="388"/>
      <c r="B262" s="389"/>
      <c r="C262" s="381">
        <f t="shared" si="43"/>
        <v>1</v>
      </c>
      <c r="D262" s="390"/>
      <c r="E262" s="381">
        <f t="shared" si="44"/>
        <v>1</v>
      </c>
      <c r="F262" s="390"/>
      <c r="G262" s="381">
        <f t="shared" si="45"/>
        <v>1</v>
      </c>
      <c r="H262" s="390"/>
      <c r="I262" s="381">
        <f t="shared" si="46"/>
        <v>1</v>
      </c>
      <c r="J262" s="390"/>
      <c r="K262" s="381">
        <f t="shared" si="47"/>
        <v>1</v>
      </c>
      <c r="L262" s="390"/>
      <c r="M262" s="381">
        <f t="shared" si="48"/>
        <v>1</v>
      </c>
      <c r="N262" s="390"/>
      <c r="O262" s="381">
        <f t="shared" si="49"/>
        <v>1</v>
      </c>
      <c r="P262" s="390"/>
      <c r="Q262" s="381">
        <f t="shared" si="50"/>
        <v>1</v>
      </c>
      <c r="R262" s="441">
        <f t="shared" si="51"/>
        <v>0</v>
      </c>
      <c r="S262" s="380">
        <f t="shared" si="52"/>
        <v>0</v>
      </c>
    </row>
    <row r="263" spans="1:19">
      <c r="A263" s="388"/>
      <c r="B263" s="389"/>
      <c r="C263" s="381">
        <f t="shared" si="43"/>
        <v>1</v>
      </c>
      <c r="D263" s="390"/>
      <c r="E263" s="381">
        <f t="shared" si="44"/>
        <v>1</v>
      </c>
      <c r="F263" s="390"/>
      <c r="G263" s="381">
        <f t="shared" si="45"/>
        <v>1</v>
      </c>
      <c r="H263" s="390"/>
      <c r="I263" s="381">
        <f t="shared" si="46"/>
        <v>1</v>
      </c>
      <c r="J263" s="390"/>
      <c r="K263" s="381">
        <f t="shared" si="47"/>
        <v>1</v>
      </c>
      <c r="L263" s="390"/>
      <c r="M263" s="381">
        <f t="shared" si="48"/>
        <v>1</v>
      </c>
      <c r="N263" s="390"/>
      <c r="O263" s="381">
        <f t="shared" si="49"/>
        <v>1</v>
      </c>
      <c r="P263" s="390"/>
      <c r="Q263" s="381">
        <f t="shared" si="50"/>
        <v>1</v>
      </c>
      <c r="R263" s="441">
        <f t="shared" si="51"/>
        <v>0</v>
      </c>
      <c r="S263" s="380">
        <f t="shared" si="52"/>
        <v>0</v>
      </c>
    </row>
    <row r="264" spans="1:19">
      <c r="A264" s="388"/>
      <c r="B264" s="389"/>
      <c r="C264" s="381">
        <f t="shared" si="43"/>
        <v>1</v>
      </c>
      <c r="D264" s="390"/>
      <c r="E264" s="381">
        <f t="shared" si="44"/>
        <v>1</v>
      </c>
      <c r="F264" s="390"/>
      <c r="G264" s="381">
        <f t="shared" si="45"/>
        <v>1</v>
      </c>
      <c r="H264" s="390"/>
      <c r="I264" s="381">
        <f t="shared" si="46"/>
        <v>1</v>
      </c>
      <c r="J264" s="390"/>
      <c r="K264" s="381">
        <f t="shared" si="47"/>
        <v>1</v>
      </c>
      <c r="L264" s="390"/>
      <c r="M264" s="381">
        <f t="shared" si="48"/>
        <v>1</v>
      </c>
      <c r="N264" s="390"/>
      <c r="O264" s="381">
        <f t="shared" si="49"/>
        <v>1</v>
      </c>
      <c r="P264" s="390"/>
      <c r="Q264" s="381">
        <f t="shared" si="50"/>
        <v>1</v>
      </c>
      <c r="R264" s="441">
        <f t="shared" si="51"/>
        <v>0</v>
      </c>
      <c r="S264" s="380">
        <f t="shared" si="52"/>
        <v>0</v>
      </c>
    </row>
    <row r="265" spans="1:19">
      <c r="A265" s="388"/>
      <c r="B265" s="389"/>
      <c r="C265" s="381">
        <f t="shared" si="43"/>
        <v>1</v>
      </c>
      <c r="D265" s="390"/>
      <c r="E265" s="381">
        <f t="shared" si="44"/>
        <v>1</v>
      </c>
      <c r="F265" s="390"/>
      <c r="G265" s="381">
        <f t="shared" si="45"/>
        <v>1</v>
      </c>
      <c r="H265" s="390"/>
      <c r="I265" s="381">
        <f t="shared" si="46"/>
        <v>1</v>
      </c>
      <c r="J265" s="390"/>
      <c r="K265" s="381">
        <f t="shared" si="47"/>
        <v>1</v>
      </c>
      <c r="L265" s="390"/>
      <c r="M265" s="381">
        <f t="shared" si="48"/>
        <v>1</v>
      </c>
      <c r="N265" s="390"/>
      <c r="O265" s="381">
        <f t="shared" si="49"/>
        <v>1</v>
      </c>
      <c r="P265" s="390"/>
      <c r="Q265" s="381">
        <f t="shared" si="50"/>
        <v>1</v>
      </c>
      <c r="R265" s="441">
        <f t="shared" si="51"/>
        <v>0</v>
      </c>
      <c r="S265" s="380">
        <f t="shared" si="52"/>
        <v>0</v>
      </c>
    </row>
    <row r="266" spans="1:19">
      <c r="A266" s="388"/>
      <c r="B266" s="389"/>
      <c r="C266" s="381">
        <f t="shared" si="43"/>
        <v>1</v>
      </c>
      <c r="D266" s="390"/>
      <c r="E266" s="381">
        <f t="shared" si="44"/>
        <v>1</v>
      </c>
      <c r="F266" s="390"/>
      <c r="G266" s="381">
        <f t="shared" si="45"/>
        <v>1</v>
      </c>
      <c r="H266" s="390"/>
      <c r="I266" s="381">
        <f t="shared" si="46"/>
        <v>1</v>
      </c>
      <c r="J266" s="390"/>
      <c r="K266" s="381">
        <f t="shared" si="47"/>
        <v>1</v>
      </c>
      <c r="L266" s="390"/>
      <c r="M266" s="381">
        <f t="shared" si="48"/>
        <v>1</v>
      </c>
      <c r="N266" s="390"/>
      <c r="O266" s="381">
        <f t="shared" si="49"/>
        <v>1</v>
      </c>
      <c r="P266" s="390"/>
      <c r="Q266" s="381">
        <f t="shared" si="50"/>
        <v>1</v>
      </c>
      <c r="R266" s="441">
        <f t="shared" si="51"/>
        <v>0</v>
      </c>
      <c r="S266" s="380">
        <f t="shared" si="52"/>
        <v>0</v>
      </c>
    </row>
    <row r="267" spans="1:19">
      <c r="A267" s="388"/>
      <c r="B267" s="389"/>
      <c r="C267" s="381">
        <f t="shared" si="43"/>
        <v>1</v>
      </c>
      <c r="D267" s="390"/>
      <c r="E267" s="381">
        <f t="shared" si="44"/>
        <v>1</v>
      </c>
      <c r="F267" s="390"/>
      <c r="G267" s="381">
        <f t="shared" si="45"/>
        <v>1</v>
      </c>
      <c r="H267" s="390"/>
      <c r="I267" s="381">
        <f t="shared" si="46"/>
        <v>1</v>
      </c>
      <c r="J267" s="390"/>
      <c r="K267" s="381">
        <f t="shared" si="47"/>
        <v>1</v>
      </c>
      <c r="L267" s="390"/>
      <c r="M267" s="381">
        <f t="shared" si="48"/>
        <v>1</v>
      </c>
      <c r="N267" s="390"/>
      <c r="O267" s="381">
        <f t="shared" si="49"/>
        <v>1</v>
      </c>
      <c r="P267" s="390"/>
      <c r="Q267" s="381">
        <f t="shared" si="50"/>
        <v>1</v>
      </c>
      <c r="R267" s="441">
        <f t="shared" si="51"/>
        <v>0</v>
      </c>
      <c r="S267" s="380">
        <f t="shared" si="52"/>
        <v>0</v>
      </c>
    </row>
    <row r="268" spans="1:19">
      <c r="A268" s="388"/>
      <c r="B268" s="389"/>
      <c r="C268" s="381">
        <f t="shared" si="43"/>
        <v>1</v>
      </c>
      <c r="D268" s="390"/>
      <c r="E268" s="381">
        <f t="shared" si="44"/>
        <v>1</v>
      </c>
      <c r="F268" s="390"/>
      <c r="G268" s="381">
        <f t="shared" si="45"/>
        <v>1</v>
      </c>
      <c r="H268" s="390"/>
      <c r="I268" s="381">
        <f t="shared" si="46"/>
        <v>1</v>
      </c>
      <c r="J268" s="390"/>
      <c r="K268" s="381">
        <f t="shared" si="47"/>
        <v>1</v>
      </c>
      <c r="L268" s="390"/>
      <c r="M268" s="381">
        <f t="shared" si="48"/>
        <v>1</v>
      </c>
      <c r="N268" s="390"/>
      <c r="O268" s="381">
        <f t="shared" si="49"/>
        <v>1</v>
      </c>
      <c r="P268" s="390"/>
      <c r="Q268" s="381">
        <f t="shared" si="50"/>
        <v>1</v>
      </c>
      <c r="R268" s="441">
        <f t="shared" si="51"/>
        <v>0</v>
      </c>
      <c r="S268" s="380">
        <f t="shared" si="52"/>
        <v>0</v>
      </c>
    </row>
    <row r="269" spans="1:19">
      <c r="A269" s="388"/>
      <c r="B269" s="389"/>
      <c r="C269" s="381">
        <f t="shared" si="43"/>
        <v>1</v>
      </c>
      <c r="D269" s="390"/>
      <c r="E269" s="381">
        <f t="shared" si="44"/>
        <v>1</v>
      </c>
      <c r="F269" s="390"/>
      <c r="G269" s="381">
        <f t="shared" si="45"/>
        <v>1</v>
      </c>
      <c r="H269" s="390"/>
      <c r="I269" s="381">
        <f t="shared" si="46"/>
        <v>1</v>
      </c>
      <c r="J269" s="390"/>
      <c r="K269" s="381">
        <f t="shared" si="47"/>
        <v>1</v>
      </c>
      <c r="L269" s="390"/>
      <c r="M269" s="381">
        <f t="shared" si="48"/>
        <v>1</v>
      </c>
      <c r="N269" s="390"/>
      <c r="O269" s="381">
        <f t="shared" si="49"/>
        <v>1</v>
      </c>
      <c r="P269" s="390"/>
      <c r="Q269" s="381">
        <f t="shared" si="50"/>
        <v>1</v>
      </c>
      <c r="R269" s="441">
        <f t="shared" si="51"/>
        <v>0</v>
      </c>
      <c r="S269" s="380">
        <f t="shared" si="52"/>
        <v>0</v>
      </c>
    </row>
    <row r="270" spans="1:19">
      <c r="A270" s="388"/>
      <c r="B270" s="389"/>
      <c r="C270" s="381">
        <f t="shared" si="43"/>
        <v>1</v>
      </c>
      <c r="D270" s="390"/>
      <c r="E270" s="381">
        <f t="shared" si="44"/>
        <v>1</v>
      </c>
      <c r="F270" s="390"/>
      <c r="G270" s="381">
        <f t="shared" si="45"/>
        <v>1</v>
      </c>
      <c r="H270" s="390"/>
      <c r="I270" s="381">
        <f t="shared" si="46"/>
        <v>1</v>
      </c>
      <c r="J270" s="390"/>
      <c r="K270" s="381">
        <f t="shared" si="47"/>
        <v>1</v>
      </c>
      <c r="L270" s="390"/>
      <c r="M270" s="381">
        <f t="shared" si="48"/>
        <v>1</v>
      </c>
      <c r="N270" s="390"/>
      <c r="O270" s="381">
        <f t="shared" si="49"/>
        <v>1</v>
      </c>
      <c r="P270" s="390"/>
      <c r="Q270" s="381">
        <f t="shared" si="50"/>
        <v>1</v>
      </c>
      <c r="R270" s="441">
        <f t="shared" si="51"/>
        <v>0</v>
      </c>
      <c r="S270" s="380">
        <f t="shared" si="52"/>
        <v>0</v>
      </c>
    </row>
    <row r="271" spans="1:19">
      <c r="A271" s="388"/>
      <c r="B271" s="389"/>
      <c r="C271" s="381">
        <f t="shared" si="43"/>
        <v>1</v>
      </c>
      <c r="D271" s="390"/>
      <c r="E271" s="381">
        <f t="shared" si="44"/>
        <v>1</v>
      </c>
      <c r="F271" s="390"/>
      <c r="G271" s="381">
        <f t="shared" si="45"/>
        <v>1</v>
      </c>
      <c r="H271" s="390"/>
      <c r="I271" s="381">
        <f t="shared" si="46"/>
        <v>1</v>
      </c>
      <c r="J271" s="390"/>
      <c r="K271" s="381">
        <f t="shared" si="47"/>
        <v>1</v>
      </c>
      <c r="L271" s="390"/>
      <c r="M271" s="381">
        <f t="shared" si="48"/>
        <v>1</v>
      </c>
      <c r="N271" s="390"/>
      <c r="O271" s="381">
        <f t="shared" si="49"/>
        <v>1</v>
      </c>
      <c r="P271" s="390"/>
      <c r="Q271" s="381">
        <f t="shared" si="50"/>
        <v>1</v>
      </c>
      <c r="R271" s="441">
        <f t="shared" si="51"/>
        <v>0</v>
      </c>
      <c r="S271" s="380">
        <f t="shared" si="52"/>
        <v>0</v>
      </c>
    </row>
    <row r="272" spans="1:19">
      <c r="A272" s="388"/>
      <c r="B272" s="389"/>
      <c r="C272" s="381">
        <f t="shared" si="43"/>
        <v>1</v>
      </c>
      <c r="D272" s="390"/>
      <c r="E272" s="381">
        <f t="shared" si="44"/>
        <v>1</v>
      </c>
      <c r="F272" s="390"/>
      <c r="G272" s="381">
        <f t="shared" si="45"/>
        <v>1</v>
      </c>
      <c r="H272" s="390"/>
      <c r="I272" s="381">
        <f t="shared" si="46"/>
        <v>1</v>
      </c>
      <c r="J272" s="390"/>
      <c r="K272" s="381">
        <f t="shared" si="47"/>
        <v>1</v>
      </c>
      <c r="L272" s="390"/>
      <c r="M272" s="381">
        <f t="shared" si="48"/>
        <v>1</v>
      </c>
      <c r="N272" s="390"/>
      <c r="O272" s="381">
        <f t="shared" si="49"/>
        <v>1</v>
      </c>
      <c r="P272" s="390"/>
      <c r="Q272" s="381">
        <f t="shared" si="50"/>
        <v>1</v>
      </c>
      <c r="R272" s="441">
        <f t="shared" si="51"/>
        <v>0</v>
      </c>
      <c r="S272" s="380">
        <f t="shared" si="52"/>
        <v>0</v>
      </c>
    </row>
    <row r="273" spans="1:19">
      <c r="A273" s="388"/>
      <c r="B273" s="389"/>
      <c r="C273" s="381">
        <f t="shared" si="43"/>
        <v>1</v>
      </c>
      <c r="D273" s="390"/>
      <c r="E273" s="381">
        <f t="shared" si="44"/>
        <v>1</v>
      </c>
      <c r="F273" s="390"/>
      <c r="G273" s="381">
        <f t="shared" si="45"/>
        <v>1</v>
      </c>
      <c r="H273" s="390"/>
      <c r="I273" s="381">
        <f t="shared" si="46"/>
        <v>1</v>
      </c>
      <c r="J273" s="390"/>
      <c r="K273" s="381">
        <f t="shared" si="47"/>
        <v>1</v>
      </c>
      <c r="L273" s="390"/>
      <c r="M273" s="381">
        <f t="shared" si="48"/>
        <v>1</v>
      </c>
      <c r="N273" s="390"/>
      <c r="O273" s="381">
        <f t="shared" si="49"/>
        <v>1</v>
      </c>
      <c r="P273" s="390"/>
      <c r="Q273" s="381">
        <f t="shared" si="50"/>
        <v>1</v>
      </c>
      <c r="R273" s="441">
        <f t="shared" si="51"/>
        <v>0</v>
      </c>
      <c r="S273" s="380">
        <f t="shared" si="52"/>
        <v>0</v>
      </c>
    </row>
    <row r="274" spans="1:19">
      <c r="A274" s="388"/>
      <c r="B274" s="389"/>
      <c r="C274" s="381">
        <f t="shared" si="43"/>
        <v>1</v>
      </c>
      <c r="D274" s="390"/>
      <c r="E274" s="381">
        <f t="shared" si="44"/>
        <v>1</v>
      </c>
      <c r="F274" s="390"/>
      <c r="G274" s="381">
        <f t="shared" si="45"/>
        <v>1</v>
      </c>
      <c r="H274" s="390"/>
      <c r="I274" s="381">
        <f t="shared" si="46"/>
        <v>1</v>
      </c>
      <c r="J274" s="390"/>
      <c r="K274" s="381">
        <f t="shared" si="47"/>
        <v>1</v>
      </c>
      <c r="L274" s="390"/>
      <c r="M274" s="381">
        <f t="shared" si="48"/>
        <v>1</v>
      </c>
      <c r="N274" s="390"/>
      <c r="O274" s="381">
        <f t="shared" si="49"/>
        <v>1</v>
      </c>
      <c r="P274" s="390"/>
      <c r="Q274" s="381">
        <f t="shared" si="50"/>
        <v>1</v>
      </c>
      <c r="R274" s="441">
        <f t="shared" si="51"/>
        <v>0</v>
      </c>
      <c r="S274" s="380">
        <f t="shared" si="52"/>
        <v>0</v>
      </c>
    </row>
    <row r="275" spans="1:19">
      <c r="A275" s="388"/>
      <c r="B275" s="389"/>
      <c r="C275" s="381">
        <f t="shared" si="43"/>
        <v>1</v>
      </c>
      <c r="D275" s="390"/>
      <c r="E275" s="381">
        <f t="shared" si="44"/>
        <v>1</v>
      </c>
      <c r="F275" s="390"/>
      <c r="G275" s="381">
        <f t="shared" si="45"/>
        <v>1</v>
      </c>
      <c r="H275" s="390"/>
      <c r="I275" s="381">
        <f t="shared" si="46"/>
        <v>1</v>
      </c>
      <c r="J275" s="390"/>
      <c r="K275" s="381">
        <f t="shared" si="47"/>
        <v>1</v>
      </c>
      <c r="L275" s="390"/>
      <c r="M275" s="381">
        <f t="shared" si="48"/>
        <v>1</v>
      </c>
      <c r="N275" s="390"/>
      <c r="O275" s="381">
        <f t="shared" si="49"/>
        <v>1</v>
      </c>
      <c r="P275" s="390"/>
      <c r="Q275" s="381">
        <f t="shared" si="50"/>
        <v>1</v>
      </c>
      <c r="R275" s="441">
        <f t="shared" si="51"/>
        <v>0</v>
      </c>
      <c r="S275" s="380">
        <f t="shared" si="52"/>
        <v>0</v>
      </c>
    </row>
    <row r="276" spans="1:19">
      <c r="A276" s="388"/>
      <c r="B276" s="389"/>
      <c r="C276" s="381">
        <f t="shared" si="43"/>
        <v>1</v>
      </c>
      <c r="D276" s="390"/>
      <c r="E276" s="381">
        <f t="shared" si="44"/>
        <v>1</v>
      </c>
      <c r="F276" s="390"/>
      <c r="G276" s="381">
        <f t="shared" si="45"/>
        <v>1</v>
      </c>
      <c r="H276" s="390"/>
      <c r="I276" s="381">
        <f t="shared" si="46"/>
        <v>1</v>
      </c>
      <c r="J276" s="390"/>
      <c r="K276" s="381">
        <f t="shared" si="47"/>
        <v>1</v>
      </c>
      <c r="L276" s="390"/>
      <c r="M276" s="381">
        <f t="shared" si="48"/>
        <v>1</v>
      </c>
      <c r="N276" s="390"/>
      <c r="O276" s="381">
        <f t="shared" si="49"/>
        <v>1</v>
      </c>
      <c r="P276" s="390"/>
      <c r="Q276" s="381">
        <f t="shared" si="50"/>
        <v>1</v>
      </c>
      <c r="R276" s="441">
        <f t="shared" si="51"/>
        <v>0</v>
      </c>
      <c r="S276" s="380">
        <f t="shared" si="52"/>
        <v>0</v>
      </c>
    </row>
    <row r="277" spans="1:19">
      <c r="A277" s="388"/>
      <c r="B277" s="389"/>
      <c r="C277" s="381">
        <f t="shared" si="43"/>
        <v>1</v>
      </c>
      <c r="D277" s="390"/>
      <c r="E277" s="381">
        <f t="shared" si="44"/>
        <v>1</v>
      </c>
      <c r="F277" s="390"/>
      <c r="G277" s="381">
        <f t="shared" si="45"/>
        <v>1</v>
      </c>
      <c r="H277" s="390"/>
      <c r="I277" s="381">
        <f t="shared" si="46"/>
        <v>1</v>
      </c>
      <c r="J277" s="390"/>
      <c r="K277" s="381">
        <f t="shared" si="47"/>
        <v>1</v>
      </c>
      <c r="L277" s="390"/>
      <c r="M277" s="381">
        <f t="shared" si="48"/>
        <v>1</v>
      </c>
      <c r="N277" s="390"/>
      <c r="O277" s="381">
        <f t="shared" si="49"/>
        <v>1</v>
      </c>
      <c r="P277" s="390"/>
      <c r="Q277" s="381">
        <f t="shared" si="50"/>
        <v>1</v>
      </c>
      <c r="R277" s="441">
        <f t="shared" si="51"/>
        <v>0</v>
      </c>
      <c r="S277" s="380">
        <f t="shared" si="52"/>
        <v>0</v>
      </c>
    </row>
    <row r="278" spans="1:19">
      <c r="A278" s="388"/>
      <c r="B278" s="389"/>
      <c r="C278" s="381">
        <f t="shared" si="43"/>
        <v>1</v>
      </c>
      <c r="D278" s="390"/>
      <c r="E278" s="381">
        <f t="shared" si="44"/>
        <v>1</v>
      </c>
      <c r="F278" s="390"/>
      <c r="G278" s="381">
        <f t="shared" si="45"/>
        <v>1</v>
      </c>
      <c r="H278" s="390"/>
      <c r="I278" s="381">
        <f t="shared" si="46"/>
        <v>1</v>
      </c>
      <c r="J278" s="390"/>
      <c r="K278" s="381">
        <f t="shared" si="47"/>
        <v>1</v>
      </c>
      <c r="L278" s="390"/>
      <c r="M278" s="381">
        <f t="shared" si="48"/>
        <v>1</v>
      </c>
      <c r="N278" s="390"/>
      <c r="O278" s="381">
        <f t="shared" si="49"/>
        <v>1</v>
      </c>
      <c r="P278" s="390"/>
      <c r="Q278" s="381">
        <f t="shared" si="50"/>
        <v>1</v>
      </c>
      <c r="R278" s="441">
        <f t="shared" si="51"/>
        <v>0</v>
      </c>
      <c r="S278" s="380">
        <f t="shared" si="52"/>
        <v>0</v>
      </c>
    </row>
    <row r="279" spans="1:19">
      <c r="A279" s="388"/>
      <c r="B279" s="389"/>
      <c r="C279" s="381">
        <f t="shared" si="43"/>
        <v>1</v>
      </c>
      <c r="D279" s="390"/>
      <c r="E279" s="381">
        <f t="shared" si="44"/>
        <v>1</v>
      </c>
      <c r="F279" s="390"/>
      <c r="G279" s="381">
        <f t="shared" si="45"/>
        <v>1</v>
      </c>
      <c r="H279" s="390"/>
      <c r="I279" s="381">
        <f t="shared" si="46"/>
        <v>1</v>
      </c>
      <c r="J279" s="390"/>
      <c r="K279" s="381">
        <f t="shared" si="47"/>
        <v>1</v>
      </c>
      <c r="L279" s="390"/>
      <c r="M279" s="381">
        <f t="shared" si="48"/>
        <v>1</v>
      </c>
      <c r="N279" s="390"/>
      <c r="O279" s="381">
        <f t="shared" si="49"/>
        <v>1</v>
      </c>
      <c r="P279" s="390"/>
      <c r="Q279" s="381">
        <f t="shared" si="50"/>
        <v>1</v>
      </c>
      <c r="R279" s="441">
        <f t="shared" si="51"/>
        <v>0</v>
      </c>
      <c r="S279" s="380">
        <f t="shared" si="52"/>
        <v>0</v>
      </c>
    </row>
    <row r="280" spans="1:19">
      <c r="A280" s="388"/>
      <c r="B280" s="389"/>
      <c r="C280" s="381">
        <f t="shared" si="43"/>
        <v>1</v>
      </c>
      <c r="D280" s="390"/>
      <c r="E280" s="381">
        <f t="shared" si="44"/>
        <v>1</v>
      </c>
      <c r="F280" s="390"/>
      <c r="G280" s="381">
        <f t="shared" si="45"/>
        <v>1</v>
      </c>
      <c r="H280" s="390"/>
      <c r="I280" s="381">
        <f t="shared" si="46"/>
        <v>1</v>
      </c>
      <c r="J280" s="390"/>
      <c r="K280" s="381">
        <f t="shared" si="47"/>
        <v>1</v>
      </c>
      <c r="L280" s="390"/>
      <c r="M280" s="381">
        <f t="shared" si="48"/>
        <v>1</v>
      </c>
      <c r="N280" s="390"/>
      <c r="O280" s="381">
        <f t="shared" si="49"/>
        <v>1</v>
      </c>
      <c r="P280" s="390"/>
      <c r="Q280" s="381">
        <f t="shared" si="50"/>
        <v>1</v>
      </c>
      <c r="R280" s="441">
        <f t="shared" si="51"/>
        <v>0</v>
      </c>
      <c r="S280" s="380">
        <f t="shared" si="52"/>
        <v>0</v>
      </c>
    </row>
    <row r="281" spans="1:19">
      <c r="A281" s="388"/>
      <c r="B281" s="389"/>
      <c r="C281" s="381">
        <f t="shared" si="43"/>
        <v>1</v>
      </c>
      <c r="D281" s="390"/>
      <c r="E281" s="381">
        <f t="shared" si="44"/>
        <v>1</v>
      </c>
      <c r="F281" s="390"/>
      <c r="G281" s="381">
        <f t="shared" si="45"/>
        <v>1</v>
      </c>
      <c r="H281" s="390"/>
      <c r="I281" s="381">
        <f t="shared" si="46"/>
        <v>1</v>
      </c>
      <c r="J281" s="390"/>
      <c r="K281" s="381">
        <f t="shared" si="47"/>
        <v>1</v>
      </c>
      <c r="L281" s="390"/>
      <c r="M281" s="381">
        <f t="shared" si="48"/>
        <v>1</v>
      </c>
      <c r="N281" s="390"/>
      <c r="O281" s="381">
        <f t="shared" si="49"/>
        <v>1</v>
      </c>
      <c r="P281" s="390"/>
      <c r="Q281" s="381">
        <f t="shared" si="50"/>
        <v>1</v>
      </c>
      <c r="R281" s="441">
        <f t="shared" si="51"/>
        <v>0</v>
      </c>
      <c r="S281" s="380">
        <f t="shared" si="52"/>
        <v>0</v>
      </c>
    </row>
    <row r="282" spans="1:19">
      <c r="A282" s="388"/>
      <c r="B282" s="389"/>
      <c r="C282" s="381">
        <f t="shared" ref="C282:C345" si="53">IF(B282="",1,(LOOKUP(B282,$3:$3,$4:$4)-LOOKUP($B$24,$3:$3,$4:$4)+100)/100)</f>
        <v>1</v>
      </c>
      <c r="D282" s="390"/>
      <c r="E282" s="381">
        <f t="shared" ref="E282:E345" si="54">(SUMIF($5:$5,D282,$6:$6)-SUMIF($5:$5,$D$24,$6:$6)+100)/100</f>
        <v>1</v>
      </c>
      <c r="F282" s="390"/>
      <c r="G282" s="381">
        <f t="shared" ref="G282:G345" si="55">(SUMIF($7:$7,F282,$8:$8)-SUMIF($7:$7,$F$24,$8:$8)+100)/100</f>
        <v>1</v>
      </c>
      <c r="H282" s="390"/>
      <c r="I282" s="381">
        <f t="shared" ref="I282:I345" si="56">(SUMIF($9:$9,H282,$10:$10)-SUMIF($9:$9,$H$24,$10:$10)+100)/100</f>
        <v>1</v>
      </c>
      <c r="J282" s="390"/>
      <c r="K282" s="381">
        <f t="shared" ref="K282:K345" si="57">(SUMIF($11:$11,J282,$12:$12)-SUMIF($11:$11,$J$24,$12:$12)+100)/100</f>
        <v>1</v>
      </c>
      <c r="L282" s="390"/>
      <c r="M282" s="381">
        <f t="shared" ref="M282:M345" si="58">(SUMIF($13:$13,L282,$14:$14)-SUMIF($13:$13,$L$24,$14:$14)+100)/100</f>
        <v>1</v>
      </c>
      <c r="N282" s="390"/>
      <c r="O282" s="381">
        <f t="shared" ref="O282:O345" si="59">(SUMIF($15:$15,N282,$16:$16)-SUMIF($15:$15,$N$24,$16:$16)+100)/100</f>
        <v>1</v>
      </c>
      <c r="P282" s="390"/>
      <c r="Q282" s="381">
        <f t="shared" ref="Q282:Q345" si="60">(SUMIF($17:$17,P282,$18:$18)-SUMIF($17:$17,$P$24,$18:$18)+100)/100</f>
        <v>1</v>
      </c>
      <c r="R282" s="441">
        <f t="shared" ref="R282:R345" si="61">IF(B282="",0,ROUND($R$24*C282*E282*G282*I282*K282*M282*O282*Q282,0))</f>
        <v>0</v>
      </c>
      <c r="S282" s="380">
        <f t="shared" si="52"/>
        <v>0</v>
      </c>
    </row>
    <row r="283" spans="1:19">
      <c r="A283" s="388"/>
      <c r="B283" s="389"/>
      <c r="C283" s="381">
        <f t="shared" si="53"/>
        <v>1</v>
      </c>
      <c r="D283" s="390"/>
      <c r="E283" s="381">
        <f t="shared" si="54"/>
        <v>1</v>
      </c>
      <c r="F283" s="390"/>
      <c r="G283" s="381">
        <f t="shared" si="55"/>
        <v>1</v>
      </c>
      <c r="H283" s="390"/>
      <c r="I283" s="381">
        <f t="shared" si="56"/>
        <v>1</v>
      </c>
      <c r="J283" s="390"/>
      <c r="K283" s="381">
        <f t="shared" si="57"/>
        <v>1</v>
      </c>
      <c r="L283" s="390"/>
      <c r="M283" s="381">
        <f t="shared" si="58"/>
        <v>1</v>
      </c>
      <c r="N283" s="390"/>
      <c r="O283" s="381">
        <f t="shared" si="59"/>
        <v>1</v>
      </c>
      <c r="P283" s="390"/>
      <c r="Q283" s="381">
        <f t="shared" si="60"/>
        <v>1</v>
      </c>
      <c r="R283" s="441">
        <f t="shared" si="61"/>
        <v>0</v>
      </c>
      <c r="S283" s="380">
        <f t="shared" si="52"/>
        <v>0</v>
      </c>
    </row>
    <row r="284" spans="1:19">
      <c r="A284" s="388"/>
      <c r="B284" s="389"/>
      <c r="C284" s="381">
        <f t="shared" si="53"/>
        <v>1</v>
      </c>
      <c r="D284" s="390"/>
      <c r="E284" s="381">
        <f t="shared" si="54"/>
        <v>1</v>
      </c>
      <c r="F284" s="390"/>
      <c r="G284" s="381">
        <f t="shared" si="55"/>
        <v>1</v>
      </c>
      <c r="H284" s="390"/>
      <c r="I284" s="381">
        <f t="shared" si="56"/>
        <v>1</v>
      </c>
      <c r="J284" s="390"/>
      <c r="K284" s="381">
        <f t="shared" si="57"/>
        <v>1</v>
      </c>
      <c r="L284" s="390"/>
      <c r="M284" s="381">
        <f t="shared" si="58"/>
        <v>1</v>
      </c>
      <c r="N284" s="390"/>
      <c r="O284" s="381">
        <f t="shared" si="59"/>
        <v>1</v>
      </c>
      <c r="P284" s="390"/>
      <c r="Q284" s="381">
        <f t="shared" si="60"/>
        <v>1</v>
      </c>
      <c r="R284" s="441">
        <f t="shared" si="61"/>
        <v>0</v>
      </c>
      <c r="S284" s="380">
        <f t="shared" si="52"/>
        <v>0</v>
      </c>
    </row>
    <row r="285" spans="1:19">
      <c r="A285" s="388"/>
      <c r="B285" s="389"/>
      <c r="C285" s="381">
        <f t="shared" si="53"/>
        <v>1</v>
      </c>
      <c r="D285" s="390"/>
      <c r="E285" s="381">
        <f t="shared" si="54"/>
        <v>1</v>
      </c>
      <c r="F285" s="390"/>
      <c r="G285" s="381">
        <f t="shared" si="55"/>
        <v>1</v>
      </c>
      <c r="H285" s="390"/>
      <c r="I285" s="381">
        <f t="shared" si="56"/>
        <v>1</v>
      </c>
      <c r="J285" s="390"/>
      <c r="K285" s="381">
        <f t="shared" si="57"/>
        <v>1</v>
      </c>
      <c r="L285" s="390"/>
      <c r="M285" s="381">
        <f t="shared" si="58"/>
        <v>1</v>
      </c>
      <c r="N285" s="390"/>
      <c r="O285" s="381">
        <f t="shared" si="59"/>
        <v>1</v>
      </c>
      <c r="P285" s="390"/>
      <c r="Q285" s="381">
        <f t="shared" si="60"/>
        <v>1</v>
      </c>
      <c r="R285" s="441">
        <f t="shared" si="61"/>
        <v>0</v>
      </c>
      <c r="S285" s="380">
        <f t="shared" si="52"/>
        <v>0</v>
      </c>
    </row>
    <row r="286" spans="1:19">
      <c r="A286" s="388"/>
      <c r="B286" s="389"/>
      <c r="C286" s="381">
        <f t="shared" si="53"/>
        <v>1</v>
      </c>
      <c r="D286" s="390"/>
      <c r="E286" s="381">
        <f t="shared" si="54"/>
        <v>1</v>
      </c>
      <c r="F286" s="390"/>
      <c r="G286" s="381">
        <f t="shared" si="55"/>
        <v>1</v>
      </c>
      <c r="H286" s="390"/>
      <c r="I286" s="381">
        <f t="shared" si="56"/>
        <v>1</v>
      </c>
      <c r="J286" s="390"/>
      <c r="K286" s="381">
        <f t="shared" si="57"/>
        <v>1</v>
      </c>
      <c r="L286" s="390"/>
      <c r="M286" s="381">
        <f t="shared" si="58"/>
        <v>1</v>
      </c>
      <c r="N286" s="390"/>
      <c r="O286" s="381">
        <f t="shared" si="59"/>
        <v>1</v>
      </c>
      <c r="P286" s="390"/>
      <c r="Q286" s="381">
        <f t="shared" si="60"/>
        <v>1</v>
      </c>
      <c r="R286" s="441">
        <f t="shared" si="61"/>
        <v>0</v>
      </c>
      <c r="S286" s="380">
        <f t="shared" si="52"/>
        <v>0</v>
      </c>
    </row>
    <row r="287" spans="1:19">
      <c r="A287" s="388"/>
      <c r="B287" s="389"/>
      <c r="C287" s="381">
        <f t="shared" si="53"/>
        <v>1</v>
      </c>
      <c r="D287" s="390"/>
      <c r="E287" s="381">
        <f t="shared" si="54"/>
        <v>1</v>
      </c>
      <c r="F287" s="390"/>
      <c r="G287" s="381">
        <f t="shared" si="55"/>
        <v>1</v>
      </c>
      <c r="H287" s="390"/>
      <c r="I287" s="381">
        <f t="shared" si="56"/>
        <v>1</v>
      </c>
      <c r="J287" s="390"/>
      <c r="K287" s="381">
        <f t="shared" si="57"/>
        <v>1</v>
      </c>
      <c r="L287" s="390"/>
      <c r="M287" s="381">
        <f t="shared" si="58"/>
        <v>1</v>
      </c>
      <c r="N287" s="390"/>
      <c r="O287" s="381">
        <f t="shared" si="59"/>
        <v>1</v>
      </c>
      <c r="P287" s="390"/>
      <c r="Q287" s="381">
        <f t="shared" si="60"/>
        <v>1</v>
      </c>
      <c r="R287" s="441">
        <f t="shared" si="61"/>
        <v>0</v>
      </c>
      <c r="S287" s="380">
        <f t="shared" ref="S287:S320" si="62">ROUND(R287*B287/10000,0)</f>
        <v>0</v>
      </c>
    </row>
    <row r="288" spans="1:19">
      <c r="A288" s="388"/>
      <c r="B288" s="389"/>
      <c r="C288" s="381">
        <f t="shared" si="53"/>
        <v>1</v>
      </c>
      <c r="D288" s="390"/>
      <c r="E288" s="381">
        <f t="shared" si="54"/>
        <v>1</v>
      </c>
      <c r="F288" s="390"/>
      <c r="G288" s="381">
        <f t="shared" si="55"/>
        <v>1</v>
      </c>
      <c r="H288" s="390"/>
      <c r="I288" s="381">
        <f t="shared" si="56"/>
        <v>1</v>
      </c>
      <c r="J288" s="390"/>
      <c r="K288" s="381">
        <f t="shared" si="57"/>
        <v>1</v>
      </c>
      <c r="L288" s="390"/>
      <c r="M288" s="381">
        <f t="shared" si="58"/>
        <v>1</v>
      </c>
      <c r="N288" s="390"/>
      <c r="O288" s="381">
        <f t="shared" si="59"/>
        <v>1</v>
      </c>
      <c r="P288" s="390"/>
      <c r="Q288" s="381">
        <f t="shared" si="60"/>
        <v>1</v>
      </c>
      <c r="R288" s="441">
        <f t="shared" si="61"/>
        <v>0</v>
      </c>
      <c r="S288" s="380">
        <f t="shared" si="62"/>
        <v>0</v>
      </c>
    </row>
    <row r="289" spans="1:19">
      <c r="A289" s="388"/>
      <c r="B289" s="389"/>
      <c r="C289" s="381">
        <f t="shared" si="53"/>
        <v>1</v>
      </c>
      <c r="D289" s="390"/>
      <c r="E289" s="381">
        <f t="shared" si="54"/>
        <v>1</v>
      </c>
      <c r="F289" s="390"/>
      <c r="G289" s="381">
        <f t="shared" si="55"/>
        <v>1</v>
      </c>
      <c r="H289" s="390"/>
      <c r="I289" s="381">
        <f t="shared" si="56"/>
        <v>1</v>
      </c>
      <c r="J289" s="390"/>
      <c r="K289" s="381">
        <f t="shared" si="57"/>
        <v>1</v>
      </c>
      <c r="L289" s="390"/>
      <c r="M289" s="381">
        <f t="shared" si="58"/>
        <v>1</v>
      </c>
      <c r="N289" s="390"/>
      <c r="O289" s="381">
        <f t="shared" si="59"/>
        <v>1</v>
      </c>
      <c r="P289" s="390"/>
      <c r="Q289" s="381">
        <f t="shared" si="60"/>
        <v>1</v>
      </c>
      <c r="R289" s="441">
        <f t="shared" si="61"/>
        <v>0</v>
      </c>
      <c r="S289" s="380">
        <f t="shared" si="62"/>
        <v>0</v>
      </c>
    </row>
    <row r="290" spans="1:19">
      <c r="A290" s="388"/>
      <c r="B290" s="389"/>
      <c r="C290" s="381">
        <f t="shared" si="53"/>
        <v>1</v>
      </c>
      <c r="D290" s="390"/>
      <c r="E290" s="381">
        <f t="shared" si="54"/>
        <v>1</v>
      </c>
      <c r="F290" s="390"/>
      <c r="G290" s="381">
        <f t="shared" si="55"/>
        <v>1</v>
      </c>
      <c r="H290" s="390"/>
      <c r="I290" s="381">
        <f t="shared" si="56"/>
        <v>1</v>
      </c>
      <c r="J290" s="390"/>
      <c r="K290" s="381">
        <f t="shared" si="57"/>
        <v>1</v>
      </c>
      <c r="L290" s="390"/>
      <c r="M290" s="381">
        <f t="shared" si="58"/>
        <v>1</v>
      </c>
      <c r="N290" s="390"/>
      <c r="O290" s="381">
        <f t="shared" si="59"/>
        <v>1</v>
      </c>
      <c r="P290" s="390"/>
      <c r="Q290" s="381">
        <f t="shared" si="60"/>
        <v>1</v>
      </c>
      <c r="R290" s="441">
        <f t="shared" si="61"/>
        <v>0</v>
      </c>
      <c r="S290" s="380">
        <f t="shared" si="62"/>
        <v>0</v>
      </c>
    </row>
    <row r="291" spans="1:19">
      <c r="A291" s="388"/>
      <c r="B291" s="389"/>
      <c r="C291" s="381">
        <f t="shared" si="53"/>
        <v>1</v>
      </c>
      <c r="D291" s="390"/>
      <c r="E291" s="381">
        <f t="shared" si="54"/>
        <v>1</v>
      </c>
      <c r="F291" s="390"/>
      <c r="G291" s="381">
        <f t="shared" si="55"/>
        <v>1</v>
      </c>
      <c r="H291" s="390"/>
      <c r="I291" s="381">
        <f t="shared" si="56"/>
        <v>1</v>
      </c>
      <c r="J291" s="390"/>
      <c r="K291" s="381">
        <f t="shared" si="57"/>
        <v>1</v>
      </c>
      <c r="L291" s="390"/>
      <c r="M291" s="381">
        <f t="shared" si="58"/>
        <v>1</v>
      </c>
      <c r="N291" s="390"/>
      <c r="O291" s="381">
        <f t="shared" si="59"/>
        <v>1</v>
      </c>
      <c r="P291" s="390"/>
      <c r="Q291" s="381">
        <f t="shared" si="60"/>
        <v>1</v>
      </c>
      <c r="R291" s="441">
        <f t="shared" si="61"/>
        <v>0</v>
      </c>
      <c r="S291" s="380">
        <f t="shared" si="62"/>
        <v>0</v>
      </c>
    </row>
    <row r="292" spans="1:19">
      <c r="A292" s="388"/>
      <c r="B292" s="389"/>
      <c r="C292" s="381">
        <f t="shared" si="53"/>
        <v>1</v>
      </c>
      <c r="D292" s="390"/>
      <c r="E292" s="381">
        <f t="shared" si="54"/>
        <v>1</v>
      </c>
      <c r="F292" s="390"/>
      <c r="G292" s="381">
        <f t="shared" si="55"/>
        <v>1</v>
      </c>
      <c r="H292" s="390"/>
      <c r="I292" s="381">
        <f t="shared" si="56"/>
        <v>1</v>
      </c>
      <c r="J292" s="390"/>
      <c r="K292" s="381">
        <f t="shared" si="57"/>
        <v>1</v>
      </c>
      <c r="L292" s="390"/>
      <c r="M292" s="381">
        <f t="shared" si="58"/>
        <v>1</v>
      </c>
      <c r="N292" s="390"/>
      <c r="O292" s="381">
        <f t="shared" si="59"/>
        <v>1</v>
      </c>
      <c r="P292" s="390"/>
      <c r="Q292" s="381">
        <f t="shared" si="60"/>
        <v>1</v>
      </c>
      <c r="R292" s="441">
        <f t="shared" si="61"/>
        <v>0</v>
      </c>
      <c r="S292" s="380">
        <f t="shared" si="62"/>
        <v>0</v>
      </c>
    </row>
    <row r="293" spans="1:19">
      <c r="A293" s="388"/>
      <c r="B293" s="389"/>
      <c r="C293" s="381">
        <f t="shared" si="53"/>
        <v>1</v>
      </c>
      <c r="D293" s="390"/>
      <c r="E293" s="381">
        <f t="shared" si="54"/>
        <v>1</v>
      </c>
      <c r="F293" s="390"/>
      <c r="G293" s="381">
        <f t="shared" si="55"/>
        <v>1</v>
      </c>
      <c r="H293" s="390"/>
      <c r="I293" s="381">
        <f t="shared" si="56"/>
        <v>1</v>
      </c>
      <c r="J293" s="390"/>
      <c r="K293" s="381">
        <f t="shared" si="57"/>
        <v>1</v>
      </c>
      <c r="L293" s="390"/>
      <c r="M293" s="381">
        <f t="shared" si="58"/>
        <v>1</v>
      </c>
      <c r="N293" s="390"/>
      <c r="O293" s="381">
        <f t="shared" si="59"/>
        <v>1</v>
      </c>
      <c r="P293" s="390"/>
      <c r="Q293" s="381">
        <f t="shared" si="60"/>
        <v>1</v>
      </c>
      <c r="R293" s="441">
        <f t="shared" si="61"/>
        <v>0</v>
      </c>
      <c r="S293" s="380">
        <f t="shared" si="62"/>
        <v>0</v>
      </c>
    </row>
    <row r="294" spans="1:19">
      <c r="A294" s="388"/>
      <c r="B294" s="389"/>
      <c r="C294" s="381">
        <f t="shared" si="53"/>
        <v>1</v>
      </c>
      <c r="D294" s="390"/>
      <c r="E294" s="381">
        <f t="shared" si="54"/>
        <v>1</v>
      </c>
      <c r="F294" s="390"/>
      <c r="G294" s="381">
        <f t="shared" si="55"/>
        <v>1</v>
      </c>
      <c r="H294" s="390"/>
      <c r="I294" s="381">
        <f t="shared" si="56"/>
        <v>1</v>
      </c>
      <c r="J294" s="390"/>
      <c r="K294" s="381">
        <f t="shared" si="57"/>
        <v>1</v>
      </c>
      <c r="L294" s="390"/>
      <c r="M294" s="381">
        <f t="shared" si="58"/>
        <v>1</v>
      </c>
      <c r="N294" s="390"/>
      <c r="O294" s="381">
        <f t="shared" si="59"/>
        <v>1</v>
      </c>
      <c r="P294" s="390"/>
      <c r="Q294" s="381">
        <f t="shared" si="60"/>
        <v>1</v>
      </c>
      <c r="R294" s="441">
        <f t="shared" si="61"/>
        <v>0</v>
      </c>
      <c r="S294" s="380">
        <f t="shared" si="62"/>
        <v>0</v>
      </c>
    </row>
    <row r="295" spans="1:19">
      <c r="A295" s="388"/>
      <c r="B295" s="389"/>
      <c r="C295" s="381">
        <f t="shared" si="53"/>
        <v>1</v>
      </c>
      <c r="D295" s="390"/>
      <c r="E295" s="381">
        <f t="shared" si="54"/>
        <v>1</v>
      </c>
      <c r="F295" s="390"/>
      <c r="G295" s="381">
        <f t="shared" si="55"/>
        <v>1</v>
      </c>
      <c r="H295" s="390"/>
      <c r="I295" s="381">
        <f t="shared" si="56"/>
        <v>1</v>
      </c>
      <c r="J295" s="390"/>
      <c r="K295" s="381">
        <f t="shared" si="57"/>
        <v>1</v>
      </c>
      <c r="L295" s="390"/>
      <c r="M295" s="381">
        <f t="shared" si="58"/>
        <v>1</v>
      </c>
      <c r="N295" s="390"/>
      <c r="O295" s="381">
        <f t="shared" si="59"/>
        <v>1</v>
      </c>
      <c r="P295" s="390"/>
      <c r="Q295" s="381">
        <f t="shared" si="60"/>
        <v>1</v>
      </c>
      <c r="R295" s="441">
        <f t="shared" si="61"/>
        <v>0</v>
      </c>
      <c r="S295" s="380">
        <f t="shared" si="62"/>
        <v>0</v>
      </c>
    </row>
    <row r="296" spans="1:19">
      <c r="A296" s="388"/>
      <c r="B296" s="389"/>
      <c r="C296" s="381">
        <f t="shared" si="53"/>
        <v>1</v>
      </c>
      <c r="D296" s="390"/>
      <c r="E296" s="381">
        <f t="shared" si="54"/>
        <v>1</v>
      </c>
      <c r="F296" s="390"/>
      <c r="G296" s="381">
        <f t="shared" si="55"/>
        <v>1</v>
      </c>
      <c r="H296" s="390"/>
      <c r="I296" s="381">
        <f t="shared" si="56"/>
        <v>1</v>
      </c>
      <c r="J296" s="390"/>
      <c r="K296" s="381">
        <f t="shared" si="57"/>
        <v>1</v>
      </c>
      <c r="L296" s="390"/>
      <c r="M296" s="381">
        <f t="shared" si="58"/>
        <v>1</v>
      </c>
      <c r="N296" s="390"/>
      <c r="O296" s="381">
        <f t="shared" si="59"/>
        <v>1</v>
      </c>
      <c r="P296" s="390"/>
      <c r="Q296" s="381">
        <f t="shared" si="60"/>
        <v>1</v>
      </c>
      <c r="R296" s="441">
        <f t="shared" si="61"/>
        <v>0</v>
      </c>
      <c r="S296" s="380">
        <f t="shared" si="62"/>
        <v>0</v>
      </c>
    </row>
    <row r="297" spans="1:19">
      <c r="A297" s="388"/>
      <c r="B297" s="389"/>
      <c r="C297" s="381">
        <f t="shared" si="53"/>
        <v>1</v>
      </c>
      <c r="D297" s="390"/>
      <c r="E297" s="381">
        <f t="shared" si="54"/>
        <v>1</v>
      </c>
      <c r="F297" s="390"/>
      <c r="G297" s="381">
        <f t="shared" si="55"/>
        <v>1</v>
      </c>
      <c r="H297" s="390"/>
      <c r="I297" s="381">
        <f t="shared" si="56"/>
        <v>1</v>
      </c>
      <c r="J297" s="390"/>
      <c r="K297" s="381">
        <f t="shared" si="57"/>
        <v>1</v>
      </c>
      <c r="L297" s="390"/>
      <c r="M297" s="381">
        <f t="shared" si="58"/>
        <v>1</v>
      </c>
      <c r="N297" s="390"/>
      <c r="O297" s="381">
        <f t="shared" si="59"/>
        <v>1</v>
      </c>
      <c r="P297" s="390"/>
      <c r="Q297" s="381">
        <f t="shared" si="60"/>
        <v>1</v>
      </c>
      <c r="R297" s="441">
        <f t="shared" si="61"/>
        <v>0</v>
      </c>
      <c r="S297" s="380">
        <f t="shared" si="62"/>
        <v>0</v>
      </c>
    </row>
    <row r="298" spans="1:19">
      <c r="A298" s="388"/>
      <c r="B298" s="389"/>
      <c r="C298" s="381">
        <f t="shared" si="53"/>
        <v>1</v>
      </c>
      <c r="D298" s="390"/>
      <c r="E298" s="381">
        <f t="shared" si="54"/>
        <v>1</v>
      </c>
      <c r="F298" s="390"/>
      <c r="G298" s="381">
        <f t="shared" si="55"/>
        <v>1</v>
      </c>
      <c r="H298" s="390"/>
      <c r="I298" s="381">
        <f t="shared" si="56"/>
        <v>1</v>
      </c>
      <c r="J298" s="390"/>
      <c r="K298" s="381">
        <f t="shared" si="57"/>
        <v>1</v>
      </c>
      <c r="L298" s="390"/>
      <c r="M298" s="381">
        <f t="shared" si="58"/>
        <v>1</v>
      </c>
      <c r="N298" s="390"/>
      <c r="O298" s="381">
        <f t="shared" si="59"/>
        <v>1</v>
      </c>
      <c r="P298" s="390"/>
      <c r="Q298" s="381">
        <f t="shared" si="60"/>
        <v>1</v>
      </c>
      <c r="R298" s="441">
        <f t="shared" si="61"/>
        <v>0</v>
      </c>
      <c r="S298" s="380">
        <f t="shared" si="62"/>
        <v>0</v>
      </c>
    </row>
    <row r="299" spans="1:19">
      <c r="A299" s="388"/>
      <c r="B299" s="389"/>
      <c r="C299" s="381">
        <f t="shared" si="53"/>
        <v>1</v>
      </c>
      <c r="D299" s="390"/>
      <c r="E299" s="381">
        <f t="shared" si="54"/>
        <v>1</v>
      </c>
      <c r="F299" s="390"/>
      <c r="G299" s="381">
        <f t="shared" si="55"/>
        <v>1</v>
      </c>
      <c r="H299" s="390"/>
      <c r="I299" s="381">
        <f t="shared" si="56"/>
        <v>1</v>
      </c>
      <c r="J299" s="390"/>
      <c r="K299" s="381">
        <f t="shared" si="57"/>
        <v>1</v>
      </c>
      <c r="L299" s="390"/>
      <c r="M299" s="381">
        <f t="shared" si="58"/>
        <v>1</v>
      </c>
      <c r="N299" s="390"/>
      <c r="O299" s="381">
        <f t="shared" si="59"/>
        <v>1</v>
      </c>
      <c r="P299" s="390"/>
      <c r="Q299" s="381">
        <f t="shared" si="60"/>
        <v>1</v>
      </c>
      <c r="R299" s="441">
        <f t="shared" si="61"/>
        <v>0</v>
      </c>
      <c r="S299" s="380">
        <f t="shared" si="62"/>
        <v>0</v>
      </c>
    </row>
    <row r="300" spans="1:19">
      <c r="A300" s="388"/>
      <c r="B300" s="389"/>
      <c r="C300" s="381">
        <f t="shared" si="53"/>
        <v>1</v>
      </c>
      <c r="D300" s="390"/>
      <c r="E300" s="381">
        <f t="shared" si="54"/>
        <v>1</v>
      </c>
      <c r="F300" s="390"/>
      <c r="G300" s="381">
        <f t="shared" si="55"/>
        <v>1</v>
      </c>
      <c r="H300" s="390"/>
      <c r="I300" s="381">
        <f t="shared" si="56"/>
        <v>1</v>
      </c>
      <c r="J300" s="390"/>
      <c r="K300" s="381">
        <f t="shared" si="57"/>
        <v>1</v>
      </c>
      <c r="L300" s="390"/>
      <c r="M300" s="381">
        <f t="shared" si="58"/>
        <v>1</v>
      </c>
      <c r="N300" s="390"/>
      <c r="O300" s="381">
        <f t="shared" si="59"/>
        <v>1</v>
      </c>
      <c r="P300" s="390"/>
      <c r="Q300" s="381">
        <f t="shared" si="60"/>
        <v>1</v>
      </c>
      <c r="R300" s="441">
        <f t="shared" si="61"/>
        <v>0</v>
      </c>
      <c r="S300" s="380">
        <f t="shared" si="62"/>
        <v>0</v>
      </c>
    </row>
    <row r="301" spans="1:19">
      <c r="A301" s="388"/>
      <c r="B301" s="389"/>
      <c r="C301" s="381">
        <f t="shared" si="53"/>
        <v>1</v>
      </c>
      <c r="D301" s="390"/>
      <c r="E301" s="381">
        <f t="shared" si="54"/>
        <v>1</v>
      </c>
      <c r="F301" s="390"/>
      <c r="G301" s="381">
        <f t="shared" si="55"/>
        <v>1</v>
      </c>
      <c r="H301" s="390"/>
      <c r="I301" s="381">
        <f t="shared" si="56"/>
        <v>1</v>
      </c>
      <c r="J301" s="390"/>
      <c r="K301" s="381">
        <f t="shared" si="57"/>
        <v>1</v>
      </c>
      <c r="L301" s="390"/>
      <c r="M301" s="381">
        <f t="shared" si="58"/>
        <v>1</v>
      </c>
      <c r="N301" s="390"/>
      <c r="O301" s="381">
        <f t="shared" si="59"/>
        <v>1</v>
      </c>
      <c r="P301" s="390"/>
      <c r="Q301" s="381">
        <f t="shared" si="60"/>
        <v>1</v>
      </c>
      <c r="R301" s="441">
        <f t="shared" si="61"/>
        <v>0</v>
      </c>
      <c r="S301" s="380">
        <f t="shared" si="62"/>
        <v>0</v>
      </c>
    </row>
    <row r="302" spans="1:19">
      <c r="A302" s="388"/>
      <c r="B302" s="389"/>
      <c r="C302" s="381">
        <f t="shared" si="53"/>
        <v>1</v>
      </c>
      <c r="D302" s="390"/>
      <c r="E302" s="381">
        <f t="shared" si="54"/>
        <v>1</v>
      </c>
      <c r="F302" s="390"/>
      <c r="G302" s="381">
        <f t="shared" si="55"/>
        <v>1</v>
      </c>
      <c r="H302" s="390"/>
      <c r="I302" s="381">
        <f t="shared" si="56"/>
        <v>1</v>
      </c>
      <c r="J302" s="390"/>
      <c r="K302" s="381">
        <f t="shared" si="57"/>
        <v>1</v>
      </c>
      <c r="L302" s="390"/>
      <c r="M302" s="381">
        <f t="shared" si="58"/>
        <v>1</v>
      </c>
      <c r="N302" s="390"/>
      <c r="O302" s="381">
        <f t="shared" si="59"/>
        <v>1</v>
      </c>
      <c r="P302" s="390"/>
      <c r="Q302" s="381">
        <f t="shared" si="60"/>
        <v>1</v>
      </c>
      <c r="R302" s="441">
        <f t="shared" si="61"/>
        <v>0</v>
      </c>
      <c r="S302" s="380">
        <f t="shared" si="62"/>
        <v>0</v>
      </c>
    </row>
    <row r="303" spans="1:19">
      <c r="A303" s="388"/>
      <c r="B303" s="389"/>
      <c r="C303" s="381">
        <f t="shared" si="53"/>
        <v>1</v>
      </c>
      <c r="D303" s="390"/>
      <c r="E303" s="381">
        <f t="shared" si="54"/>
        <v>1</v>
      </c>
      <c r="F303" s="390"/>
      <c r="G303" s="381">
        <f t="shared" si="55"/>
        <v>1</v>
      </c>
      <c r="H303" s="390"/>
      <c r="I303" s="381">
        <f t="shared" si="56"/>
        <v>1</v>
      </c>
      <c r="J303" s="390"/>
      <c r="K303" s="381">
        <f t="shared" si="57"/>
        <v>1</v>
      </c>
      <c r="L303" s="390"/>
      <c r="M303" s="381">
        <f t="shared" si="58"/>
        <v>1</v>
      </c>
      <c r="N303" s="390"/>
      <c r="O303" s="381">
        <f t="shared" si="59"/>
        <v>1</v>
      </c>
      <c r="P303" s="390"/>
      <c r="Q303" s="381">
        <f t="shared" si="60"/>
        <v>1</v>
      </c>
      <c r="R303" s="441">
        <f t="shared" si="61"/>
        <v>0</v>
      </c>
      <c r="S303" s="380">
        <f t="shared" si="62"/>
        <v>0</v>
      </c>
    </row>
    <row r="304" spans="1:19">
      <c r="A304" s="388"/>
      <c r="B304" s="389"/>
      <c r="C304" s="381">
        <f t="shared" si="53"/>
        <v>1</v>
      </c>
      <c r="D304" s="390"/>
      <c r="E304" s="381">
        <f t="shared" si="54"/>
        <v>1</v>
      </c>
      <c r="F304" s="390"/>
      <c r="G304" s="381">
        <f t="shared" si="55"/>
        <v>1</v>
      </c>
      <c r="H304" s="390"/>
      <c r="I304" s="381">
        <f t="shared" si="56"/>
        <v>1</v>
      </c>
      <c r="J304" s="390"/>
      <c r="K304" s="381">
        <f t="shared" si="57"/>
        <v>1</v>
      </c>
      <c r="L304" s="390"/>
      <c r="M304" s="381">
        <f t="shared" si="58"/>
        <v>1</v>
      </c>
      <c r="N304" s="390"/>
      <c r="O304" s="381">
        <f t="shared" si="59"/>
        <v>1</v>
      </c>
      <c r="P304" s="390"/>
      <c r="Q304" s="381">
        <f t="shared" si="60"/>
        <v>1</v>
      </c>
      <c r="R304" s="441">
        <f t="shared" si="61"/>
        <v>0</v>
      </c>
      <c r="S304" s="380">
        <f t="shared" si="62"/>
        <v>0</v>
      </c>
    </row>
    <row r="305" spans="1:19">
      <c r="A305" s="388"/>
      <c r="B305" s="389"/>
      <c r="C305" s="381">
        <f t="shared" si="53"/>
        <v>1</v>
      </c>
      <c r="D305" s="390"/>
      <c r="E305" s="381">
        <f t="shared" si="54"/>
        <v>1</v>
      </c>
      <c r="F305" s="390"/>
      <c r="G305" s="381">
        <f t="shared" si="55"/>
        <v>1</v>
      </c>
      <c r="H305" s="390"/>
      <c r="I305" s="381">
        <f t="shared" si="56"/>
        <v>1</v>
      </c>
      <c r="J305" s="390"/>
      <c r="K305" s="381">
        <f t="shared" si="57"/>
        <v>1</v>
      </c>
      <c r="L305" s="390"/>
      <c r="M305" s="381">
        <f t="shared" si="58"/>
        <v>1</v>
      </c>
      <c r="N305" s="390"/>
      <c r="O305" s="381">
        <f t="shared" si="59"/>
        <v>1</v>
      </c>
      <c r="P305" s="390"/>
      <c r="Q305" s="381">
        <f t="shared" si="60"/>
        <v>1</v>
      </c>
      <c r="R305" s="441">
        <f t="shared" si="61"/>
        <v>0</v>
      </c>
      <c r="S305" s="380">
        <f t="shared" si="62"/>
        <v>0</v>
      </c>
    </row>
    <row r="306" spans="1:19">
      <c r="A306" s="388"/>
      <c r="B306" s="389"/>
      <c r="C306" s="381">
        <f t="shared" si="53"/>
        <v>1</v>
      </c>
      <c r="D306" s="390"/>
      <c r="E306" s="381">
        <f t="shared" si="54"/>
        <v>1</v>
      </c>
      <c r="F306" s="390"/>
      <c r="G306" s="381">
        <f t="shared" si="55"/>
        <v>1</v>
      </c>
      <c r="H306" s="390"/>
      <c r="I306" s="381">
        <f t="shared" si="56"/>
        <v>1</v>
      </c>
      <c r="J306" s="390"/>
      <c r="K306" s="381">
        <f t="shared" si="57"/>
        <v>1</v>
      </c>
      <c r="L306" s="390"/>
      <c r="M306" s="381">
        <f t="shared" si="58"/>
        <v>1</v>
      </c>
      <c r="N306" s="390"/>
      <c r="O306" s="381">
        <f t="shared" si="59"/>
        <v>1</v>
      </c>
      <c r="P306" s="390"/>
      <c r="Q306" s="381">
        <f t="shared" si="60"/>
        <v>1</v>
      </c>
      <c r="R306" s="441">
        <f t="shared" si="61"/>
        <v>0</v>
      </c>
      <c r="S306" s="380">
        <f t="shared" si="62"/>
        <v>0</v>
      </c>
    </row>
    <row r="307" spans="1:19">
      <c r="A307" s="388"/>
      <c r="B307" s="389"/>
      <c r="C307" s="381">
        <f t="shared" si="53"/>
        <v>1</v>
      </c>
      <c r="D307" s="390"/>
      <c r="E307" s="381">
        <f t="shared" si="54"/>
        <v>1</v>
      </c>
      <c r="F307" s="390"/>
      <c r="G307" s="381">
        <f t="shared" si="55"/>
        <v>1</v>
      </c>
      <c r="H307" s="390"/>
      <c r="I307" s="381">
        <f t="shared" si="56"/>
        <v>1</v>
      </c>
      <c r="J307" s="390"/>
      <c r="K307" s="381">
        <f t="shared" si="57"/>
        <v>1</v>
      </c>
      <c r="L307" s="390"/>
      <c r="M307" s="381">
        <f t="shared" si="58"/>
        <v>1</v>
      </c>
      <c r="N307" s="390"/>
      <c r="O307" s="381">
        <f t="shared" si="59"/>
        <v>1</v>
      </c>
      <c r="P307" s="390"/>
      <c r="Q307" s="381">
        <f t="shared" si="60"/>
        <v>1</v>
      </c>
      <c r="R307" s="441">
        <f t="shared" si="61"/>
        <v>0</v>
      </c>
      <c r="S307" s="380">
        <f t="shared" si="62"/>
        <v>0</v>
      </c>
    </row>
    <row r="308" spans="1:19">
      <c r="A308" s="388"/>
      <c r="B308" s="389"/>
      <c r="C308" s="381">
        <f t="shared" si="53"/>
        <v>1</v>
      </c>
      <c r="D308" s="390"/>
      <c r="E308" s="381">
        <f t="shared" si="54"/>
        <v>1</v>
      </c>
      <c r="F308" s="390"/>
      <c r="G308" s="381">
        <f t="shared" si="55"/>
        <v>1</v>
      </c>
      <c r="H308" s="390"/>
      <c r="I308" s="381">
        <f t="shared" si="56"/>
        <v>1</v>
      </c>
      <c r="J308" s="390"/>
      <c r="K308" s="381">
        <f t="shared" si="57"/>
        <v>1</v>
      </c>
      <c r="L308" s="390"/>
      <c r="M308" s="381">
        <f t="shared" si="58"/>
        <v>1</v>
      </c>
      <c r="N308" s="390"/>
      <c r="O308" s="381">
        <f t="shared" si="59"/>
        <v>1</v>
      </c>
      <c r="P308" s="390"/>
      <c r="Q308" s="381">
        <f t="shared" si="60"/>
        <v>1</v>
      </c>
      <c r="R308" s="441">
        <f t="shared" si="61"/>
        <v>0</v>
      </c>
      <c r="S308" s="380">
        <f t="shared" si="62"/>
        <v>0</v>
      </c>
    </row>
    <row r="309" spans="1:19">
      <c r="A309" s="388"/>
      <c r="B309" s="389"/>
      <c r="C309" s="381">
        <f t="shared" si="53"/>
        <v>1</v>
      </c>
      <c r="D309" s="390"/>
      <c r="E309" s="381">
        <f t="shared" si="54"/>
        <v>1</v>
      </c>
      <c r="F309" s="390"/>
      <c r="G309" s="381">
        <f t="shared" si="55"/>
        <v>1</v>
      </c>
      <c r="H309" s="390"/>
      <c r="I309" s="381">
        <f t="shared" si="56"/>
        <v>1</v>
      </c>
      <c r="J309" s="390"/>
      <c r="K309" s="381">
        <f t="shared" si="57"/>
        <v>1</v>
      </c>
      <c r="L309" s="390"/>
      <c r="M309" s="381">
        <f t="shared" si="58"/>
        <v>1</v>
      </c>
      <c r="N309" s="390"/>
      <c r="O309" s="381">
        <f t="shared" si="59"/>
        <v>1</v>
      </c>
      <c r="P309" s="390"/>
      <c r="Q309" s="381">
        <f t="shared" si="60"/>
        <v>1</v>
      </c>
      <c r="R309" s="441">
        <f t="shared" si="61"/>
        <v>0</v>
      </c>
      <c r="S309" s="380">
        <f t="shared" si="62"/>
        <v>0</v>
      </c>
    </row>
    <row r="310" spans="1:19">
      <c r="A310" s="388"/>
      <c r="B310" s="389"/>
      <c r="C310" s="381">
        <f t="shared" si="53"/>
        <v>1</v>
      </c>
      <c r="D310" s="390"/>
      <c r="E310" s="381">
        <f t="shared" si="54"/>
        <v>1</v>
      </c>
      <c r="F310" s="390"/>
      <c r="G310" s="381">
        <f t="shared" si="55"/>
        <v>1</v>
      </c>
      <c r="H310" s="390"/>
      <c r="I310" s="381">
        <f t="shared" si="56"/>
        <v>1</v>
      </c>
      <c r="J310" s="390"/>
      <c r="K310" s="381">
        <f t="shared" si="57"/>
        <v>1</v>
      </c>
      <c r="L310" s="390"/>
      <c r="M310" s="381">
        <f t="shared" si="58"/>
        <v>1</v>
      </c>
      <c r="N310" s="390"/>
      <c r="O310" s="381">
        <f t="shared" si="59"/>
        <v>1</v>
      </c>
      <c r="P310" s="390"/>
      <c r="Q310" s="381">
        <f t="shared" si="60"/>
        <v>1</v>
      </c>
      <c r="R310" s="441">
        <f t="shared" si="61"/>
        <v>0</v>
      </c>
      <c r="S310" s="380">
        <f t="shared" si="62"/>
        <v>0</v>
      </c>
    </row>
    <row r="311" spans="1:19">
      <c r="A311" s="388"/>
      <c r="B311" s="389"/>
      <c r="C311" s="381">
        <f t="shared" si="53"/>
        <v>1</v>
      </c>
      <c r="D311" s="390"/>
      <c r="E311" s="381">
        <f t="shared" si="54"/>
        <v>1</v>
      </c>
      <c r="F311" s="390"/>
      <c r="G311" s="381">
        <f t="shared" si="55"/>
        <v>1</v>
      </c>
      <c r="H311" s="390"/>
      <c r="I311" s="381">
        <f t="shared" si="56"/>
        <v>1</v>
      </c>
      <c r="J311" s="390"/>
      <c r="K311" s="381">
        <f t="shared" si="57"/>
        <v>1</v>
      </c>
      <c r="L311" s="390"/>
      <c r="M311" s="381">
        <f t="shared" si="58"/>
        <v>1</v>
      </c>
      <c r="N311" s="390"/>
      <c r="O311" s="381">
        <f t="shared" si="59"/>
        <v>1</v>
      </c>
      <c r="P311" s="390"/>
      <c r="Q311" s="381">
        <f t="shared" si="60"/>
        <v>1</v>
      </c>
      <c r="R311" s="441">
        <f t="shared" si="61"/>
        <v>0</v>
      </c>
      <c r="S311" s="380">
        <f t="shared" si="62"/>
        <v>0</v>
      </c>
    </row>
    <row r="312" spans="1:19">
      <c r="A312" s="388"/>
      <c r="B312" s="389"/>
      <c r="C312" s="381">
        <f t="shared" si="53"/>
        <v>1</v>
      </c>
      <c r="D312" s="390"/>
      <c r="E312" s="381">
        <f t="shared" si="54"/>
        <v>1</v>
      </c>
      <c r="F312" s="390"/>
      <c r="G312" s="381">
        <f t="shared" si="55"/>
        <v>1</v>
      </c>
      <c r="H312" s="390"/>
      <c r="I312" s="381">
        <f t="shared" si="56"/>
        <v>1</v>
      </c>
      <c r="J312" s="390"/>
      <c r="K312" s="381">
        <f t="shared" si="57"/>
        <v>1</v>
      </c>
      <c r="L312" s="390"/>
      <c r="M312" s="381">
        <f t="shared" si="58"/>
        <v>1</v>
      </c>
      <c r="N312" s="390"/>
      <c r="O312" s="381">
        <f t="shared" si="59"/>
        <v>1</v>
      </c>
      <c r="P312" s="390"/>
      <c r="Q312" s="381">
        <f t="shared" si="60"/>
        <v>1</v>
      </c>
      <c r="R312" s="441">
        <f t="shared" si="61"/>
        <v>0</v>
      </c>
      <c r="S312" s="380">
        <f t="shared" si="62"/>
        <v>0</v>
      </c>
    </row>
    <row r="313" spans="1:19">
      <c r="A313" s="388"/>
      <c r="B313" s="389"/>
      <c r="C313" s="381">
        <f t="shared" si="53"/>
        <v>1</v>
      </c>
      <c r="D313" s="390"/>
      <c r="E313" s="381">
        <f t="shared" si="54"/>
        <v>1</v>
      </c>
      <c r="F313" s="390"/>
      <c r="G313" s="381">
        <f t="shared" si="55"/>
        <v>1</v>
      </c>
      <c r="H313" s="390"/>
      <c r="I313" s="381">
        <f t="shared" si="56"/>
        <v>1</v>
      </c>
      <c r="J313" s="390"/>
      <c r="K313" s="381">
        <f t="shared" si="57"/>
        <v>1</v>
      </c>
      <c r="L313" s="390"/>
      <c r="M313" s="381">
        <f t="shared" si="58"/>
        <v>1</v>
      </c>
      <c r="N313" s="390"/>
      <c r="O313" s="381">
        <f t="shared" si="59"/>
        <v>1</v>
      </c>
      <c r="P313" s="390"/>
      <c r="Q313" s="381">
        <f t="shared" si="60"/>
        <v>1</v>
      </c>
      <c r="R313" s="441">
        <f t="shared" si="61"/>
        <v>0</v>
      </c>
      <c r="S313" s="380">
        <f t="shared" si="62"/>
        <v>0</v>
      </c>
    </row>
    <row r="314" spans="1:19">
      <c r="A314" s="388"/>
      <c r="B314" s="389"/>
      <c r="C314" s="381">
        <f t="shared" si="53"/>
        <v>1</v>
      </c>
      <c r="D314" s="390"/>
      <c r="E314" s="381">
        <f t="shared" si="54"/>
        <v>1</v>
      </c>
      <c r="F314" s="390"/>
      <c r="G314" s="381">
        <f t="shared" si="55"/>
        <v>1</v>
      </c>
      <c r="H314" s="390"/>
      <c r="I314" s="381">
        <f t="shared" si="56"/>
        <v>1</v>
      </c>
      <c r="J314" s="390"/>
      <c r="K314" s="381">
        <f t="shared" si="57"/>
        <v>1</v>
      </c>
      <c r="L314" s="390"/>
      <c r="M314" s="381">
        <f t="shared" si="58"/>
        <v>1</v>
      </c>
      <c r="N314" s="390"/>
      <c r="O314" s="381">
        <f t="shared" si="59"/>
        <v>1</v>
      </c>
      <c r="P314" s="390"/>
      <c r="Q314" s="381">
        <f t="shared" si="60"/>
        <v>1</v>
      </c>
      <c r="R314" s="441">
        <f t="shared" si="61"/>
        <v>0</v>
      </c>
      <c r="S314" s="380">
        <f t="shared" si="62"/>
        <v>0</v>
      </c>
    </row>
    <row r="315" spans="1:19">
      <c r="A315" s="388"/>
      <c r="B315" s="389"/>
      <c r="C315" s="381">
        <f t="shared" si="53"/>
        <v>1</v>
      </c>
      <c r="D315" s="390"/>
      <c r="E315" s="381">
        <f t="shared" si="54"/>
        <v>1</v>
      </c>
      <c r="F315" s="390"/>
      <c r="G315" s="381">
        <f t="shared" si="55"/>
        <v>1</v>
      </c>
      <c r="H315" s="390"/>
      <c r="I315" s="381">
        <f t="shared" si="56"/>
        <v>1</v>
      </c>
      <c r="J315" s="390"/>
      <c r="K315" s="381">
        <f t="shared" si="57"/>
        <v>1</v>
      </c>
      <c r="L315" s="390"/>
      <c r="M315" s="381">
        <f t="shared" si="58"/>
        <v>1</v>
      </c>
      <c r="N315" s="390"/>
      <c r="O315" s="381">
        <f t="shared" si="59"/>
        <v>1</v>
      </c>
      <c r="P315" s="390"/>
      <c r="Q315" s="381">
        <f t="shared" si="60"/>
        <v>1</v>
      </c>
      <c r="R315" s="441">
        <f t="shared" si="61"/>
        <v>0</v>
      </c>
      <c r="S315" s="380">
        <f t="shared" si="62"/>
        <v>0</v>
      </c>
    </row>
    <row r="316" spans="1:19">
      <c r="A316" s="388"/>
      <c r="B316" s="389"/>
      <c r="C316" s="381">
        <f t="shared" si="53"/>
        <v>1</v>
      </c>
      <c r="D316" s="390"/>
      <c r="E316" s="381">
        <f t="shared" si="54"/>
        <v>1</v>
      </c>
      <c r="F316" s="390"/>
      <c r="G316" s="381">
        <f t="shared" si="55"/>
        <v>1</v>
      </c>
      <c r="H316" s="390"/>
      <c r="I316" s="381">
        <f t="shared" si="56"/>
        <v>1</v>
      </c>
      <c r="J316" s="390"/>
      <c r="K316" s="381">
        <f t="shared" si="57"/>
        <v>1</v>
      </c>
      <c r="L316" s="390"/>
      <c r="M316" s="381">
        <f t="shared" si="58"/>
        <v>1</v>
      </c>
      <c r="N316" s="390"/>
      <c r="O316" s="381">
        <f t="shared" si="59"/>
        <v>1</v>
      </c>
      <c r="P316" s="390"/>
      <c r="Q316" s="381">
        <f t="shared" si="60"/>
        <v>1</v>
      </c>
      <c r="R316" s="441">
        <f t="shared" si="61"/>
        <v>0</v>
      </c>
      <c r="S316" s="380">
        <f t="shared" si="62"/>
        <v>0</v>
      </c>
    </row>
    <row r="317" spans="1:19">
      <c r="A317" s="388"/>
      <c r="B317" s="389"/>
      <c r="C317" s="381">
        <f t="shared" si="53"/>
        <v>1</v>
      </c>
      <c r="D317" s="390"/>
      <c r="E317" s="381">
        <f t="shared" si="54"/>
        <v>1</v>
      </c>
      <c r="F317" s="390"/>
      <c r="G317" s="381">
        <f t="shared" si="55"/>
        <v>1</v>
      </c>
      <c r="H317" s="390"/>
      <c r="I317" s="381">
        <f t="shared" si="56"/>
        <v>1</v>
      </c>
      <c r="J317" s="390"/>
      <c r="K317" s="381">
        <f t="shared" si="57"/>
        <v>1</v>
      </c>
      <c r="L317" s="390"/>
      <c r="M317" s="381">
        <f t="shared" si="58"/>
        <v>1</v>
      </c>
      <c r="N317" s="390"/>
      <c r="O317" s="381">
        <f t="shared" si="59"/>
        <v>1</v>
      </c>
      <c r="P317" s="390"/>
      <c r="Q317" s="381">
        <f t="shared" si="60"/>
        <v>1</v>
      </c>
      <c r="R317" s="441">
        <f t="shared" si="61"/>
        <v>0</v>
      </c>
      <c r="S317" s="380">
        <f t="shared" si="62"/>
        <v>0</v>
      </c>
    </row>
    <row r="318" spans="1:19">
      <c r="A318" s="388"/>
      <c r="B318" s="389"/>
      <c r="C318" s="381">
        <f t="shared" si="53"/>
        <v>1</v>
      </c>
      <c r="D318" s="390"/>
      <c r="E318" s="381">
        <f t="shared" si="54"/>
        <v>1</v>
      </c>
      <c r="F318" s="390"/>
      <c r="G318" s="381">
        <f t="shared" si="55"/>
        <v>1</v>
      </c>
      <c r="H318" s="390"/>
      <c r="I318" s="381">
        <f t="shared" si="56"/>
        <v>1</v>
      </c>
      <c r="J318" s="390"/>
      <c r="K318" s="381">
        <f t="shared" si="57"/>
        <v>1</v>
      </c>
      <c r="L318" s="390"/>
      <c r="M318" s="381">
        <f t="shared" si="58"/>
        <v>1</v>
      </c>
      <c r="N318" s="390"/>
      <c r="O318" s="381">
        <f t="shared" si="59"/>
        <v>1</v>
      </c>
      <c r="P318" s="390"/>
      <c r="Q318" s="381">
        <f t="shared" si="60"/>
        <v>1</v>
      </c>
      <c r="R318" s="441">
        <f t="shared" si="61"/>
        <v>0</v>
      </c>
      <c r="S318" s="380">
        <f t="shared" si="62"/>
        <v>0</v>
      </c>
    </row>
    <row r="319" spans="1:19">
      <c r="A319" s="388"/>
      <c r="B319" s="389"/>
      <c r="C319" s="381">
        <f t="shared" si="53"/>
        <v>1</v>
      </c>
      <c r="D319" s="390"/>
      <c r="E319" s="381">
        <f t="shared" si="54"/>
        <v>1</v>
      </c>
      <c r="F319" s="390"/>
      <c r="G319" s="381">
        <f t="shared" si="55"/>
        <v>1</v>
      </c>
      <c r="H319" s="390"/>
      <c r="I319" s="381">
        <f t="shared" si="56"/>
        <v>1</v>
      </c>
      <c r="J319" s="390"/>
      <c r="K319" s="381">
        <f t="shared" si="57"/>
        <v>1</v>
      </c>
      <c r="L319" s="390"/>
      <c r="M319" s="381">
        <f t="shared" si="58"/>
        <v>1</v>
      </c>
      <c r="N319" s="390"/>
      <c r="O319" s="381">
        <f t="shared" si="59"/>
        <v>1</v>
      </c>
      <c r="P319" s="390"/>
      <c r="Q319" s="381">
        <f t="shared" si="60"/>
        <v>1</v>
      </c>
      <c r="R319" s="441">
        <f t="shared" si="61"/>
        <v>0</v>
      </c>
      <c r="S319" s="380">
        <f t="shared" si="62"/>
        <v>0</v>
      </c>
    </row>
    <row r="320" spans="1:19">
      <c r="A320" s="388"/>
      <c r="B320" s="389"/>
      <c r="C320" s="381">
        <f t="shared" si="53"/>
        <v>1</v>
      </c>
      <c r="D320" s="390"/>
      <c r="E320" s="381">
        <f t="shared" si="54"/>
        <v>1</v>
      </c>
      <c r="F320" s="390"/>
      <c r="G320" s="381">
        <f t="shared" si="55"/>
        <v>1</v>
      </c>
      <c r="H320" s="390"/>
      <c r="I320" s="381">
        <f t="shared" si="56"/>
        <v>1</v>
      </c>
      <c r="J320" s="390"/>
      <c r="K320" s="381">
        <f t="shared" si="57"/>
        <v>1</v>
      </c>
      <c r="L320" s="390"/>
      <c r="M320" s="381">
        <f t="shared" si="58"/>
        <v>1</v>
      </c>
      <c r="N320" s="390"/>
      <c r="O320" s="381">
        <f t="shared" si="59"/>
        <v>1</v>
      </c>
      <c r="P320" s="390"/>
      <c r="Q320" s="381">
        <f t="shared" si="60"/>
        <v>1</v>
      </c>
      <c r="R320" s="441">
        <f t="shared" si="61"/>
        <v>0</v>
      </c>
      <c r="S320" s="380">
        <f t="shared" si="62"/>
        <v>0</v>
      </c>
    </row>
    <row r="321" spans="1:19">
      <c r="A321" s="388"/>
      <c r="B321" s="389"/>
      <c r="C321" s="381">
        <f t="shared" si="53"/>
        <v>1</v>
      </c>
      <c r="D321" s="390"/>
      <c r="E321" s="381">
        <f t="shared" si="54"/>
        <v>1</v>
      </c>
      <c r="F321" s="390"/>
      <c r="G321" s="381">
        <f t="shared" si="55"/>
        <v>1</v>
      </c>
      <c r="H321" s="390"/>
      <c r="I321" s="381">
        <f t="shared" si="56"/>
        <v>1</v>
      </c>
      <c r="J321" s="390"/>
      <c r="K321" s="381">
        <f t="shared" si="57"/>
        <v>1</v>
      </c>
      <c r="L321" s="390"/>
      <c r="M321" s="381">
        <f t="shared" si="58"/>
        <v>1</v>
      </c>
      <c r="N321" s="390"/>
      <c r="O321" s="381">
        <f t="shared" si="59"/>
        <v>1</v>
      </c>
      <c r="P321" s="390"/>
      <c r="Q321" s="381">
        <f t="shared" si="60"/>
        <v>1</v>
      </c>
      <c r="R321" s="441">
        <f t="shared" si="61"/>
        <v>0</v>
      </c>
      <c r="S321" s="380">
        <f t="shared" ref="S321:S384" si="63">ROUND(R321*B321/10000,0)</f>
        <v>0</v>
      </c>
    </row>
    <row r="322" spans="1:19">
      <c r="A322" s="388"/>
      <c r="B322" s="389"/>
      <c r="C322" s="381">
        <f t="shared" si="53"/>
        <v>1</v>
      </c>
      <c r="D322" s="390"/>
      <c r="E322" s="381">
        <f t="shared" si="54"/>
        <v>1</v>
      </c>
      <c r="F322" s="390"/>
      <c r="G322" s="381">
        <f t="shared" si="55"/>
        <v>1</v>
      </c>
      <c r="H322" s="390"/>
      <c r="I322" s="381">
        <f t="shared" si="56"/>
        <v>1</v>
      </c>
      <c r="J322" s="390"/>
      <c r="K322" s="381">
        <f t="shared" si="57"/>
        <v>1</v>
      </c>
      <c r="L322" s="390"/>
      <c r="M322" s="381">
        <f t="shared" si="58"/>
        <v>1</v>
      </c>
      <c r="N322" s="390"/>
      <c r="O322" s="381">
        <f t="shared" si="59"/>
        <v>1</v>
      </c>
      <c r="P322" s="390"/>
      <c r="Q322" s="381">
        <f t="shared" si="60"/>
        <v>1</v>
      </c>
      <c r="R322" s="441">
        <f t="shared" si="61"/>
        <v>0</v>
      </c>
      <c r="S322" s="380">
        <f t="shared" si="63"/>
        <v>0</v>
      </c>
    </row>
    <row r="323" spans="1:19">
      <c r="A323" s="388"/>
      <c r="B323" s="389"/>
      <c r="C323" s="381">
        <f t="shared" si="53"/>
        <v>1</v>
      </c>
      <c r="D323" s="390"/>
      <c r="E323" s="381">
        <f t="shared" si="54"/>
        <v>1</v>
      </c>
      <c r="F323" s="390"/>
      <c r="G323" s="381">
        <f t="shared" si="55"/>
        <v>1</v>
      </c>
      <c r="H323" s="390"/>
      <c r="I323" s="381">
        <f t="shared" si="56"/>
        <v>1</v>
      </c>
      <c r="J323" s="390"/>
      <c r="K323" s="381">
        <f t="shared" si="57"/>
        <v>1</v>
      </c>
      <c r="L323" s="390"/>
      <c r="M323" s="381">
        <f t="shared" si="58"/>
        <v>1</v>
      </c>
      <c r="N323" s="390"/>
      <c r="O323" s="381">
        <f t="shared" si="59"/>
        <v>1</v>
      </c>
      <c r="P323" s="390"/>
      <c r="Q323" s="381">
        <f t="shared" si="60"/>
        <v>1</v>
      </c>
      <c r="R323" s="441">
        <f t="shared" si="61"/>
        <v>0</v>
      </c>
      <c r="S323" s="380">
        <f t="shared" si="63"/>
        <v>0</v>
      </c>
    </row>
    <row r="324" spans="1:19">
      <c r="A324" s="388"/>
      <c r="B324" s="389"/>
      <c r="C324" s="381">
        <f t="shared" si="53"/>
        <v>1</v>
      </c>
      <c r="D324" s="390"/>
      <c r="E324" s="381">
        <f t="shared" si="54"/>
        <v>1</v>
      </c>
      <c r="F324" s="390"/>
      <c r="G324" s="381">
        <f t="shared" si="55"/>
        <v>1</v>
      </c>
      <c r="H324" s="390"/>
      <c r="I324" s="381">
        <f t="shared" si="56"/>
        <v>1</v>
      </c>
      <c r="J324" s="390"/>
      <c r="K324" s="381">
        <f t="shared" si="57"/>
        <v>1</v>
      </c>
      <c r="L324" s="390"/>
      <c r="M324" s="381">
        <f t="shared" si="58"/>
        <v>1</v>
      </c>
      <c r="N324" s="390"/>
      <c r="O324" s="381">
        <f t="shared" si="59"/>
        <v>1</v>
      </c>
      <c r="P324" s="390"/>
      <c r="Q324" s="381">
        <f t="shared" si="60"/>
        <v>1</v>
      </c>
      <c r="R324" s="441">
        <f t="shared" si="61"/>
        <v>0</v>
      </c>
      <c r="S324" s="380">
        <f t="shared" si="63"/>
        <v>0</v>
      </c>
    </row>
    <row r="325" spans="1:19">
      <c r="A325" s="388"/>
      <c r="B325" s="389"/>
      <c r="C325" s="381">
        <f t="shared" si="53"/>
        <v>1</v>
      </c>
      <c r="D325" s="390"/>
      <c r="E325" s="381">
        <f t="shared" si="54"/>
        <v>1</v>
      </c>
      <c r="F325" s="390"/>
      <c r="G325" s="381">
        <f t="shared" si="55"/>
        <v>1</v>
      </c>
      <c r="H325" s="390"/>
      <c r="I325" s="381">
        <f t="shared" si="56"/>
        <v>1</v>
      </c>
      <c r="J325" s="390"/>
      <c r="K325" s="381">
        <f t="shared" si="57"/>
        <v>1</v>
      </c>
      <c r="L325" s="390"/>
      <c r="M325" s="381">
        <f t="shared" si="58"/>
        <v>1</v>
      </c>
      <c r="N325" s="390"/>
      <c r="O325" s="381">
        <f t="shared" si="59"/>
        <v>1</v>
      </c>
      <c r="P325" s="390"/>
      <c r="Q325" s="381">
        <f t="shared" si="60"/>
        <v>1</v>
      </c>
      <c r="R325" s="441">
        <f t="shared" si="61"/>
        <v>0</v>
      </c>
      <c r="S325" s="380">
        <f t="shared" si="63"/>
        <v>0</v>
      </c>
    </row>
    <row r="326" spans="1:19">
      <c r="A326" s="388"/>
      <c r="B326" s="389"/>
      <c r="C326" s="381">
        <f t="shared" si="53"/>
        <v>1</v>
      </c>
      <c r="D326" s="390"/>
      <c r="E326" s="381">
        <f t="shared" si="54"/>
        <v>1</v>
      </c>
      <c r="F326" s="390"/>
      <c r="G326" s="381">
        <f t="shared" si="55"/>
        <v>1</v>
      </c>
      <c r="H326" s="390"/>
      <c r="I326" s="381">
        <f t="shared" si="56"/>
        <v>1</v>
      </c>
      <c r="J326" s="390"/>
      <c r="K326" s="381">
        <f t="shared" si="57"/>
        <v>1</v>
      </c>
      <c r="L326" s="390"/>
      <c r="M326" s="381">
        <f t="shared" si="58"/>
        <v>1</v>
      </c>
      <c r="N326" s="390"/>
      <c r="O326" s="381">
        <f t="shared" si="59"/>
        <v>1</v>
      </c>
      <c r="P326" s="390"/>
      <c r="Q326" s="381">
        <f t="shared" si="60"/>
        <v>1</v>
      </c>
      <c r="R326" s="441">
        <f t="shared" si="61"/>
        <v>0</v>
      </c>
      <c r="S326" s="380">
        <f t="shared" si="63"/>
        <v>0</v>
      </c>
    </row>
    <row r="327" spans="1:19">
      <c r="A327" s="388"/>
      <c r="B327" s="389"/>
      <c r="C327" s="381">
        <f t="shared" si="53"/>
        <v>1</v>
      </c>
      <c r="D327" s="390"/>
      <c r="E327" s="381">
        <f t="shared" si="54"/>
        <v>1</v>
      </c>
      <c r="F327" s="390"/>
      <c r="G327" s="381">
        <f t="shared" si="55"/>
        <v>1</v>
      </c>
      <c r="H327" s="390"/>
      <c r="I327" s="381">
        <f t="shared" si="56"/>
        <v>1</v>
      </c>
      <c r="J327" s="390"/>
      <c r="K327" s="381">
        <f t="shared" si="57"/>
        <v>1</v>
      </c>
      <c r="L327" s="390"/>
      <c r="M327" s="381">
        <f t="shared" si="58"/>
        <v>1</v>
      </c>
      <c r="N327" s="390"/>
      <c r="O327" s="381">
        <f t="shared" si="59"/>
        <v>1</v>
      </c>
      <c r="P327" s="390"/>
      <c r="Q327" s="381">
        <f t="shared" si="60"/>
        <v>1</v>
      </c>
      <c r="R327" s="441">
        <f t="shared" si="61"/>
        <v>0</v>
      </c>
      <c r="S327" s="380">
        <f t="shared" si="63"/>
        <v>0</v>
      </c>
    </row>
    <row r="328" spans="1:19">
      <c r="A328" s="388"/>
      <c r="B328" s="389"/>
      <c r="C328" s="381">
        <f t="shared" si="53"/>
        <v>1</v>
      </c>
      <c r="D328" s="390"/>
      <c r="E328" s="381">
        <f t="shared" si="54"/>
        <v>1</v>
      </c>
      <c r="F328" s="390"/>
      <c r="G328" s="381">
        <f t="shared" si="55"/>
        <v>1</v>
      </c>
      <c r="H328" s="390"/>
      <c r="I328" s="381">
        <f t="shared" si="56"/>
        <v>1</v>
      </c>
      <c r="J328" s="390"/>
      <c r="K328" s="381">
        <f t="shared" si="57"/>
        <v>1</v>
      </c>
      <c r="L328" s="390"/>
      <c r="M328" s="381">
        <f t="shared" si="58"/>
        <v>1</v>
      </c>
      <c r="N328" s="390"/>
      <c r="O328" s="381">
        <f t="shared" si="59"/>
        <v>1</v>
      </c>
      <c r="P328" s="390"/>
      <c r="Q328" s="381">
        <f t="shared" si="60"/>
        <v>1</v>
      </c>
      <c r="R328" s="441">
        <f t="shared" si="61"/>
        <v>0</v>
      </c>
      <c r="S328" s="380">
        <f t="shared" si="63"/>
        <v>0</v>
      </c>
    </row>
    <row r="329" spans="1:19">
      <c r="A329" s="388"/>
      <c r="B329" s="389"/>
      <c r="C329" s="381">
        <f t="shared" si="53"/>
        <v>1</v>
      </c>
      <c r="D329" s="390"/>
      <c r="E329" s="381">
        <f t="shared" si="54"/>
        <v>1</v>
      </c>
      <c r="F329" s="390"/>
      <c r="G329" s="381">
        <f t="shared" si="55"/>
        <v>1</v>
      </c>
      <c r="H329" s="390"/>
      <c r="I329" s="381">
        <f t="shared" si="56"/>
        <v>1</v>
      </c>
      <c r="J329" s="390"/>
      <c r="K329" s="381">
        <f t="shared" si="57"/>
        <v>1</v>
      </c>
      <c r="L329" s="390"/>
      <c r="M329" s="381">
        <f t="shared" si="58"/>
        <v>1</v>
      </c>
      <c r="N329" s="390"/>
      <c r="O329" s="381">
        <f t="shared" si="59"/>
        <v>1</v>
      </c>
      <c r="P329" s="390"/>
      <c r="Q329" s="381">
        <f t="shared" si="60"/>
        <v>1</v>
      </c>
      <c r="R329" s="441">
        <f t="shared" si="61"/>
        <v>0</v>
      </c>
      <c r="S329" s="380">
        <f t="shared" si="63"/>
        <v>0</v>
      </c>
    </row>
    <row r="330" spans="1:19">
      <c r="A330" s="388"/>
      <c r="B330" s="389"/>
      <c r="C330" s="381">
        <f t="shared" si="53"/>
        <v>1</v>
      </c>
      <c r="D330" s="390"/>
      <c r="E330" s="381">
        <f t="shared" si="54"/>
        <v>1</v>
      </c>
      <c r="F330" s="390"/>
      <c r="G330" s="381">
        <f t="shared" si="55"/>
        <v>1</v>
      </c>
      <c r="H330" s="390"/>
      <c r="I330" s="381">
        <f t="shared" si="56"/>
        <v>1</v>
      </c>
      <c r="J330" s="390"/>
      <c r="K330" s="381">
        <f t="shared" si="57"/>
        <v>1</v>
      </c>
      <c r="L330" s="390"/>
      <c r="M330" s="381">
        <f t="shared" si="58"/>
        <v>1</v>
      </c>
      <c r="N330" s="390"/>
      <c r="O330" s="381">
        <f t="shared" si="59"/>
        <v>1</v>
      </c>
      <c r="P330" s="390"/>
      <c r="Q330" s="381">
        <f t="shared" si="60"/>
        <v>1</v>
      </c>
      <c r="R330" s="441">
        <f t="shared" si="61"/>
        <v>0</v>
      </c>
      <c r="S330" s="380">
        <f t="shared" si="63"/>
        <v>0</v>
      </c>
    </row>
    <row r="331" spans="1:19">
      <c r="A331" s="388"/>
      <c r="B331" s="389"/>
      <c r="C331" s="381">
        <f t="shared" si="53"/>
        <v>1</v>
      </c>
      <c r="D331" s="390"/>
      <c r="E331" s="381">
        <f t="shared" si="54"/>
        <v>1</v>
      </c>
      <c r="F331" s="390"/>
      <c r="G331" s="381">
        <f t="shared" si="55"/>
        <v>1</v>
      </c>
      <c r="H331" s="390"/>
      <c r="I331" s="381">
        <f t="shared" si="56"/>
        <v>1</v>
      </c>
      <c r="J331" s="390"/>
      <c r="K331" s="381">
        <f t="shared" si="57"/>
        <v>1</v>
      </c>
      <c r="L331" s="390"/>
      <c r="M331" s="381">
        <f t="shared" si="58"/>
        <v>1</v>
      </c>
      <c r="N331" s="390"/>
      <c r="O331" s="381">
        <f t="shared" si="59"/>
        <v>1</v>
      </c>
      <c r="P331" s="390"/>
      <c r="Q331" s="381">
        <f t="shared" si="60"/>
        <v>1</v>
      </c>
      <c r="R331" s="441">
        <f t="shared" si="61"/>
        <v>0</v>
      </c>
      <c r="S331" s="380">
        <f t="shared" si="63"/>
        <v>0</v>
      </c>
    </row>
    <row r="332" spans="1:19">
      <c r="A332" s="388"/>
      <c r="B332" s="389"/>
      <c r="C332" s="381">
        <f t="shared" si="53"/>
        <v>1</v>
      </c>
      <c r="D332" s="390"/>
      <c r="E332" s="381">
        <f t="shared" si="54"/>
        <v>1</v>
      </c>
      <c r="F332" s="390"/>
      <c r="G332" s="381">
        <f t="shared" si="55"/>
        <v>1</v>
      </c>
      <c r="H332" s="390"/>
      <c r="I332" s="381">
        <f t="shared" si="56"/>
        <v>1</v>
      </c>
      <c r="J332" s="390"/>
      <c r="K332" s="381">
        <f t="shared" si="57"/>
        <v>1</v>
      </c>
      <c r="L332" s="390"/>
      <c r="M332" s="381">
        <f t="shared" si="58"/>
        <v>1</v>
      </c>
      <c r="N332" s="390"/>
      <c r="O332" s="381">
        <f t="shared" si="59"/>
        <v>1</v>
      </c>
      <c r="P332" s="390"/>
      <c r="Q332" s="381">
        <f t="shared" si="60"/>
        <v>1</v>
      </c>
      <c r="R332" s="441">
        <f t="shared" si="61"/>
        <v>0</v>
      </c>
      <c r="S332" s="380">
        <f t="shared" si="63"/>
        <v>0</v>
      </c>
    </row>
    <row r="333" spans="1:19">
      <c r="A333" s="388"/>
      <c r="B333" s="389"/>
      <c r="C333" s="381">
        <f t="shared" si="53"/>
        <v>1</v>
      </c>
      <c r="D333" s="390"/>
      <c r="E333" s="381">
        <f t="shared" si="54"/>
        <v>1</v>
      </c>
      <c r="F333" s="390"/>
      <c r="G333" s="381">
        <f t="shared" si="55"/>
        <v>1</v>
      </c>
      <c r="H333" s="390"/>
      <c r="I333" s="381">
        <f t="shared" si="56"/>
        <v>1</v>
      </c>
      <c r="J333" s="390"/>
      <c r="K333" s="381">
        <f t="shared" si="57"/>
        <v>1</v>
      </c>
      <c r="L333" s="390"/>
      <c r="M333" s="381">
        <f t="shared" si="58"/>
        <v>1</v>
      </c>
      <c r="N333" s="390"/>
      <c r="O333" s="381">
        <f t="shared" si="59"/>
        <v>1</v>
      </c>
      <c r="P333" s="390"/>
      <c r="Q333" s="381">
        <f t="shared" si="60"/>
        <v>1</v>
      </c>
      <c r="R333" s="441">
        <f t="shared" si="61"/>
        <v>0</v>
      </c>
      <c r="S333" s="380">
        <f t="shared" si="63"/>
        <v>0</v>
      </c>
    </row>
    <row r="334" spans="1:19">
      <c r="A334" s="388"/>
      <c r="B334" s="389"/>
      <c r="C334" s="381">
        <f t="shared" si="53"/>
        <v>1</v>
      </c>
      <c r="D334" s="390"/>
      <c r="E334" s="381">
        <f t="shared" si="54"/>
        <v>1</v>
      </c>
      <c r="F334" s="390"/>
      <c r="G334" s="381">
        <f t="shared" si="55"/>
        <v>1</v>
      </c>
      <c r="H334" s="390"/>
      <c r="I334" s="381">
        <f t="shared" si="56"/>
        <v>1</v>
      </c>
      <c r="J334" s="390"/>
      <c r="K334" s="381">
        <f t="shared" si="57"/>
        <v>1</v>
      </c>
      <c r="L334" s="390"/>
      <c r="M334" s="381">
        <f t="shared" si="58"/>
        <v>1</v>
      </c>
      <c r="N334" s="390"/>
      <c r="O334" s="381">
        <f t="shared" si="59"/>
        <v>1</v>
      </c>
      <c r="P334" s="390"/>
      <c r="Q334" s="381">
        <f t="shared" si="60"/>
        <v>1</v>
      </c>
      <c r="R334" s="441">
        <f t="shared" si="61"/>
        <v>0</v>
      </c>
      <c r="S334" s="380">
        <f t="shared" si="63"/>
        <v>0</v>
      </c>
    </row>
    <row r="335" spans="1:19">
      <c r="A335" s="388"/>
      <c r="B335" s="389"/>
      <c r="C335" s="381">
        <f t="shared" si="53"/>
        <v>1</v>
      </c>
      <c r="D335" s="390"/>
      <c r="E335" s="381">
        <f t="shared" si="54"/>
        <v>1</v>
      </c>
      <c r="F335" s="390"/>
      <c r="G335" s="381">
        <f t="shared" si="55"/>
        <v>1</v>
      </c>
      <c r="H335" s="390"/>
      <c r="I335" s="381">
        <f t="shared" si="56"/>
        <v>1</v>
      </c>
      <c r="J335" s="390"/>
      <c r="K335" s="381">
        <f t="shared" si="57"/>
        <v>1</v>
      </c>
      <c r="L335" s="390"/>
      <c r="M335" s="381">
        <f t="shared" si="58"/>
        <v>1</v>
      </c>
      <c r="N335" s="390"/>
      <c r="O335" s="381">
        <f t="shared" si="59"/>
        <v>1</v>
      </c>
      <c r="P335" s="390"/>
      <c r="Q335" s="381">
        <f t="shared" si="60"/>
        <v>1</v>
      </c>
      <c r="R335" s="441">
        <f t="shared" si="61"/>
        <v>0</v>
      </c>
      <c r="S335" s="380">
        <f t="shared" si="63"/>
        <v>0</v>
      </c>
    </row>
    <row r="336" spans="1:19">
      <c r="A336" s="388"/>
      <c r="B336" s="389"/>
      <c r="C336" s="381">
        <f t="shared" si="53"/>
        <v>1</v>
      </c>
      <c r="D336" s="390"/>
      <c r="E336" s="381">
        <f t="shared" si="54"/>
        <v>1</v>
      </c>
      <c r="F336" s="390"/>
      <c r="G336" s="381">
        <f t="shared" si="55"/>
        <v>1</v>
      </c>
      <c r="H336" s="390"/>
      <c r="I336" s="381">
        <f t="shared" si="56"/>
        <v>1</v>
      </c>
      <c r="J336" s="390"/>
      <c r="K336" s="381">
        <f t="shared" si="57"/>
        <v>1</v>
      </c>
      <c r="L336" s="390"/>
      <c r="M336" s="381">
        <f t="shared" si="58"/>
        <v>1</v>
      </c>
      <c r="N336" s="390"/>
      <c r="O336" s="381">
        <f t="shared" si="59"/>
        <v>1</v>
      </c>
      <c r="P336" s="390"/>
      <c r="Q336" s="381">
        <f t="shared" si="60"/>
        <v>1</v>
      </c>
      <c r="R336" s="441">
        <f t="shared" si="61"/>
        <v>0</v>
      </c>
      <c r="S336" s="380">
        <f t="shared" si="63"/>
        <v>0</v>
      </c>
    </row>
    <row r="337" spans="1:19">
      <c r="A337" s="388"/>
      <c r="B337" s="389"/>
      <c r="C337" s="381">
        <f t="shared" si="53"/>
        <v>1</v>
      </c>
      <c r="D337" s="390"/>
      <c r="E337" s="381">
        <f t="shared" si="54"/>
        <v>1</v>
      </c>
      <c r="F337" s="390"/>
      <c r="G337" s="381">
        <f t="shared" si="55"/>
        <v>1</v>
      </c>
      <c r="H337" s="390"/>
      <c r="I337" s="381">
        <f t="shared" si="56"/>
        <v>1</v>
      </c>
      <c r="J337" s="390"/>
      <c r="K337" s="381">
        <f t="shared" si="57"/>
        <v>1</v>
      </c>
      <c r="L337" s="390"/>
      <c r="M337" s="381">
        <f t="shared" si="58"/>
        <v>1</v>
      </c>
      <c r="N337" s="390"/>
      <c r="O337" s="381">
        <f t="shared" si="59"/>
        <v>1</v>
      </c>
      <c r="P337" s="390"/>
      <c r="Q337" s="381">
        <f t="shared" si="60"/>
        <v>1</v>
      </c>
      <c r="R337" s="441">
        <f t="shared" si="61"/>
        <v>0</v>
      </c>
      <c r="S337" s="380">
        <f t="shared" si="63"/>
        <v>0</v>
      </c>
    </row>
    <row r="338" spans="1:19">
      <c r="A338" s="388"/>
      <c r="B338" s="389"/>
      <c r="C338" s="381">
        <f t="shared" si="53"/>
        <v>1</v>
      </c>
      <c r="D338" s="390"/>
      <c r="E338" s="381">
        <f t="shared" si="54"/>
        <v>1</v>
      </c>
      <c r="F338" s="390"/>
      <c r="G338" s="381">
        <f t="shared" si="55"/>
        <v>1</v>
      </c>
      <c r="H338" s="390"/>
      <c r="I338" s="381">
        <f t="shared" si="56"/>
        <v>1</v>
      </c>
      <c r="J338" s="390"/>
      <c r="K338" s="381">
        <f t="shared" si="57"/>
        <v>1</v>
      </c>
      <c r="L338" s="390"/>
      <c r="M338" s="381">
        <f t="shared" si="58"/>
        <v>1</v>
      </c>
      <c r="N338" s="390"/>
      <c r="O338" s="381">
        <f t="shared" si="59"/>
        <v>1</v>
      </c>
      <c r="P338" s="390"/>
      <c r="Q338" s="381">
        <f t="shared" si="60"/>
        <v>1</v>
      </c>
      <c r="R338" s="441">
        <f t="shared" si="61"/>
        <v>0</v>
      </c>
      <c r="S338" s="380">
        <f t="shared" si="63"/>
        <v>0</v>
      </c>
    </row>
    <row r="339" spans="1:19">
      <c r="A339" s="388"/>
      <c r="B339" s="389"/>
      <c r="C339" s="381">
        <f t="shared" si="53"/>
        <v>1</v>
      </c>
      <c r="D339" s="390"/>
      <c r="E339" s="381">
        <f t="shared" si="54"/>
        <v>1</v>
      </c>
      <c r="F339" s="390"/>
      <c r="G339" s="381">
        <f t="shared" si="55"/>
        <v>1</v>
      </c>
      <c r="H339" s="390"/>
      <c r="I339" s="381">
        <f t="shared" si="56"/>
        <v>1</v>
      </c>
      <c r="J339" s="390"/>
      <c r="K339" s="381">
        <f t="shared" si="57"/>
        <v>1</v>
      </c>
      <c r="L339" s="390"/>
      <c r="M339" s="381">
        <f t="shared" si="58"/>
        <v>1</v>
      </c>
      <c r="N339" s="390"/>
      <c r="O339" s="381">
        <f t="shared" si="59"/>
        <v>1</v>
      </c>
      <c r="P339" s="390"/>
      <c r="Q339" s="381">
        <f t="shared" si="60"/>
        <v>1</v>
      </c>
      <c r="R339" s="441">
        <f t="shared" si="61"/>
        <v>0</v>
      </c>
      <c r="S339" s="380">
        <f t="shared" si="63"/>
        <v>0</v>
      </c>
    </row>
    <row r="340" spans="1:19">
      <c r="A340" s="388"/>
      <c r="B340" s="389"/>
      <c r="C340" s="381">
        <f t="shared" si="53"/>
        <v>1</v>
      </c>
      <c r="D340" s="390"/>
      <c r="E340" s="381">
        <f t="shared" si="54"/>
        <v>1</v>
      </c>
      <c r="F340" s="390"/>
      <c r="G340" s="381">
        <f t="shared" si="55"/>
        <v>1</v>
      </c>
      <c r="H340" s="390"/>
      <c r="I340" s="381">
        <f t="shared" si="56"/>
        <v>1</v>
      </c>
      <c r="J340" s="390"/>
      <c r="K340" s="381">
        <f t="shared" si="57"/>
        <v>1</v>
      </c>
      <c r="L340" s="390"/>
      <c r="M340" s="381">
        <f t="shared" si="58"/>
        <v>1</v>
      </c>
      <c r="N340" s="390"/>
      <c r="O340" s="381">
        <f t="shared" si="59"/>
        <v>1</v>
      </c>
      <c r="P340" s="390"/>
      <c r="Q340" s="381">
        <f t="shared" si="60"/>
        <v>1</v>
      </c>
      <c r="R340" s="441">
        <f t="shared" si="61"/>
        <v>0</v>
      </c>
      <c r="S340" s="380">
        <f t="shared" si="63"/>
        <v>0</v>
      </c>
    </row>
    <row r="341" spans="1:19">
      <c r="A341" s="388"/>
      <c r="B341" s="389"/>
      <c r="C341" s="381">
        <f t="shared" si="53"/>
        <v>1</v>
      </c>
      <c r="D341" s="390"/>
      <c r="E341" s="381">
        <f t="shared" si="54"/>
        <v>1</v>
      </c>
      <c r="F341" s="390"/>
      <c r="G341" s="381">
        <f t="shared" si="55"/>
        <v>1</v>
      </c>
      <c r="H341" s="390"/>
      <c r="I341" s="381">
        <f t="shared" si="56"/>
        <v>1</v>
      </c>
      <c r="J341" s="390"/>
      <c r="K341" s="381">
        <f t="shared" si="57"/>
        <v>1</v>
      </c>
      <c r="L341" s="390"/>
      <c r="M341" s="381">
        <f t="shared" si="58"/>
        <v>1</v>
      </c>
      <c r="N341" s="390"/>
      <c r="O341" s="381">
        <f t="shared" si="59"/>
        <v>1</v>
      </c>
      <c r="P341" s="390"/>
      <c r="Q341" s="381">
        <f t="shared" si="60"/>
        <v>1</v>
      </c>
      <c r="R341" s="441">
        <f t="shared" si="61"/>
        <v>0</v>
      </c>
      <c r="S341" s="380">
        <f t="shared" si="63"/>
        <v>0</v>
      </c>
    </row>
    <row r="342" spans="1:19">
      <c r="A342" s="388"/>
      <c r="B342" s="389"/>
      <c r="C342" s="381">
        <f t="shared" si="53"/>
        <v>1</v>
      </c>
      <c r="D342" s="390"/>
      <c r="E342" s="381">
        <f t="shared" si="54"/>
        <v>1</v>
      </c>
      <c r="F342" s="390"/>
      <c r="G342" s="381">
        <f t="shared" si="55"/>
        <v>1</v>
      </c>
      <c r="H342" s="390"/>
      <c r="I342" s="381">
        <f t="shared" si="56"/>
        <v>1</v>
      </c>
      <c r="J342" s="390"/>
      <c r="K342" s="381">
        <f t="shared" si="57"/>
        <v>1</v>
      </c>
      <c r="L342" s="390"/>
      <c r="M342" s="381">
        <f t="shared" si="58"/>
        <v>1</v>
      </c>
      <c r="N342" s="390"/>
      <c r="O342" s="381">
        <f t="shared" si="59"/>
        <v>1</v>
      </c>
      <c r="P342" s="390"/>
      <c r="Q342" s="381">
        <f t="shared" si="60"/>
        <v>1</v>
      </c>
      <c r="R342" s="441">
        <f t="shared" si="61"/>
        <v>0</v>
      </c>
      <c r="S342" s="380">
        <f t="shared" si="63"/>
        <v>0</v>
      </c>
    </row>
    <row r="343" spans="1:19">
      <c r="A343" s="388"/>
      <c r="B343" s="389"/>
      <c r="C343" s="381">
        <f t="shared" si="53"/>
        <v>1</v>
      </c>
      <c r="D343" s="390"/>
      <c r="E343" s="381">
        <f t="shared" si="54"/>
        <v>1</v>
      </c>
      <c r="F343" s="390"/>
      <c r="G343" s="381">
        <f t="shared" si="55"/>
        <v>1</v>
      </c>
      <c r="H343" s="390"/>
      <c r="I343" s="381">
        <f t="shared" si="56"/>
        <v>1</v>
      </c>
      <c r="J343" s="390"/>
      <c r="K343" s="381">
        <f t="shared" si="57"/>
        <v>1</v>
      </c>
      <c r="L343" s="390"/>
      <c r="M343" s="381">
        <f t="shared" si="58"/>
        <v>1</v>
      </c>
      <c r="N343" s="390"/>
      <c r="O343" s="381">
        <f t="shared" si="59"/>
        <v>1</v>
      </c>
      <c r="P343" s="390"/>
      <c r="Q343" s="381">
        <f t="shared" si="60"/>
        <v>1</v>
      </c>
      <c r="R343" s="441">
        <f t="shared" si="61"/>
        <v>0</v>
      </c>
      <c r="S343" s="380">
        <f t="shared" si="63"/>
        <v>0</v>
      </c>
    </row>
    <row r="344" spans="1:19">
      <c r="A344" s="388"/>
      <c r="B344" s="389"/>
      <c r="C344" s="381">
        <f t="shared" si="53"/>
        <v>1</v>
      </c>
      <c r="D344" s="390"/>
      <c r="E344" s="381">
        <f t="shared" si="54"/>
        <v>1</v>
      </c>
      <c r="F344" s="390"/>
      <c r="G344" s="381">
        <f t="shared" si="55"/>
        <v>1</v>
      </c>
      <c r="H344" s="390"/>
      <c r="I344" s="381">
        <f t="shared" si="56"/>
        <v>1</v>
      </c>
      <c r="J344" s="390"/>
      <c r="K344" s="381">
        <f t="shared" si="57"/>
        <v>1</v>
      </c>
      <c r="L344" s="390"/>
      <c r="M344" s="381">
        <f t="shared" si="58"/>
        <v>1</v>
      </c>
      <c r="N344" s="390"/>
      <c r="O344" s="381">
        <f t="shared" si="59"/>
        <v>1</v>
      </c>
      <c r="P344" s="390"/>
      <c r="Q344" s="381">
        <f t="shared" si="60"/>
        <v>1</v>
      </c>
      <c r="R344" s="441">
        <f t="shared" si="61"/>
        <v>0</v>
      </c>
      <c r="S344" s="380">
        <f t="shared" si="63"/>
        <v>0</v>
      </c>
    </row>
    <row r="345" spans="1:19">
      <c r="A345" s="388"/>
      <c r="B345" s="389"/>
      <c r="C345" s="381">
        <f t="shared" si="53"/>
        <v>1</v>
      </c>
      <c r="D345" s="390"/>
      <c r="E345" s="381">
        <f t="shared" si="54"/>
        <v>1</v>
      </c>
      <c r="F345" s="390"/>
      <c r="G345" s="381">
        <f t="shared" si="55"/>
        <v>1</v>
      </c>
      <c r="H345" s="390"/>
      <c r="I345" s="381">
        <f t="shared" si="56"/>
        <v>1</v>
      </c>
      <c r="J345" s="390"/>
      <c r="K345" s="381">
        <f t="shared" si="57"/>
        <v>1</v>
      </c>
      <c r="L345" s="390"/>
      <c r="M345" s="381">
        <f t="shared" si="58"/>
        <v>1</v>
      </c>
      <c r="N345" s="390"/>
      <c r="O345" s="381">
        <f t="shared" si="59"/>
        <v>1</v>
      </c>
      <c r="P345" s="390"/>
      <c r="Q345" s="381">
        <f t="shared" si="60"/>
        <v>1</v>
      </c>
      <c r="R345" s="441">
        <f t="shared" si="61"/>
        <v>0</v>
      </c>
      <c r="S345" s="380">
        <f t="shared" si="63"/>
        <v>0</v>
      </c>
    </row>
    <row r="346" spans="1:19">
      <c r="A346" s="388"/>
      <c r="B346" s="389"/>
      <c r="C346" s="381">
        <f t="shared" ref="C346:C409" si="64">IF(B346="",1,(LOOKUP(B346,$3:$3,$4:$4)-LOOKUP($B$24,$3:$3,$4:$4)+100)/100)</f>
        <v>1</v>
      </c>
      <c r="D346" s="390"/>
      <c r="E346" s="381">
        <f t="shared" ref="E346:E409" si="65">(SUMIF($5:$5,D346,$6:$6)-SUMIF($5:$5,$D$24,$6:$6)+100)/100</f>
        <v>1</v>
      </c>
      <c r="F346" s="390"/>
      <c r="G346" s="381">
        <f t="shared" ref="G346:G409" si="66">(SUMIF($7:$7,F346,$8:$8)-SUMIF($7:$7,$F$24,$8:$8)+100)/100</f>
        <v>1</v>
      </c>
      <c r="H346" s="390"/>
      <c r="I346" s="381">
        <f t="shared" ref="I346:I409" si="67">(SUMIF($9:$9,H346,$10:$10)-SUMIF($9:$9,$H$24,$10:$10)+100)/100</f>
        <v>1</v>
      </c>
      <c r="J346" s="390"/>
      <c r="K346" s="381">
        <f t="shared" ref="K346:K409" si="68">(SUMIF($11:$11,J346,$12:$12)-SUMIF($11:$11,$J$24,$12:$12)+100)/100</f>
        <v>1</v>
      </c>
      <c r="L346" s="390"/>
      <c r="M346" s="381">
        <f t="shared" ref="M346:M409" si="69">(SUMIF($13:$13,L346,$14:$14)-SUMIF($13:$13,$L$24,$14:$14)+100)/100</f>
        <v>1</v>
      </c>
      <c r="N346" s="390"/>
      <c r="O346" s="381">
        <f t="shared" ref="O346:O409" si="70">(SUMIF($15:$15,N346,$16:$16)-SUMIF($15:$15,$N$24,$16:$16)+100)/100</f>
        <v>1</v>
      </c>
      <c r="P346" s="390"/>
      <c r="Q346" s="381">
        <f t="shared" ref="Q346:Q409" si="71">(SUMIF($17:$17,P346,$18:$18)-SUMIF($17:$17,$P$24,$18:$18)+100)/100</f>
        <v>1</v>
      </c>
      <c r="R346" s="441">
        <f t="shared" ref="R346:R409" si="72">IF(B346="",0,ROUND($R$24*C346*E346*G346*I346*K346*M346*O346*Q346,0))</f>
        <v>0</v>
      </c>
      <c r="S346" s="380">
        <f t="shared" si="63"/>
        <v>0</v>
      </c>
    </row>
    <row r="347" spans="1:19">
      <c r="A347" s="388"/>
      <c r="B347" s="389"/>
      <c r="C347" s="381">
        <f t="shared" si="64"/>
        <v>1</v>
      </c>
      <c r="D347" s="390"/>
      <c r="E347" s="381">
        <f t="shared" si="65"/>
        <v>1</v>
      </c>
      <c r="F347" s="390"/>
      <c r="G347" s="381">
        <f t="shared" si="66"/>
        <v>1</v>
      </c>
      <c r="H347" s="390"/>
      <c r="I347" s="381">
        <f t="shared" si="67"/>
        <v>1</v>
      </c>
      <c r="J347" s="390"/>
      <c r="K347" s="381">
        <f t="shared" si="68"/>
        <v>1</v>
      </c>
      <c r="L347" s="390"/>
      <c r="M347" s="381">
        <f t="shared" si="69"/>
        <v>1</v>
      </c>
      <c r="N347" s="390"/>
      <c r="O347" s="381">
        <f t="shared" si="70"/>
        <v>1</v>
      </c>
      <c r="P347" s="390"/>
      <c r="Q347" s="381">
        <f t="shared" si="71"/>
        <v>1</v>
      </c>
      <c r="R347" s="441">
        <f t="shared" si="72"/>
        <v>0</v>
      </c>
      <c r="S347" s="380">
        <f t="shared" si="63"/>
        <v>0</v>
      </c>
    </row>
    <row r="348" spans="1:19">
      <c r="A348" s="388"/>
      <c r="B348" s="389"/>
      <c r="C348" s="381">
        <f t="shared" si="64"/>
        <v>1</v>
      </c>
      <c r="D348" s="390"/>
      <c r="E348" s="381">
        <f t="shared" si="65"/>
        <v>1</v>
      </c>
      <c r="F348" s="390"/>
      <c r="G348" s="381">
        <f t="shared" si="66"/>
        <v>1</v>
      </c>
      <c r="H348" s="390"/>
      <c r="I348" s="381">
        <f t="shared" si="67"/>
        <v>1</v>
      </c>
      <c r="J348" s="390"/>
      <c r="K348" s="381">
        <f t="shared" si="68"/>
        <v>1</v>
      </c>
      <c r="L348" s="390"/>
      <c r="M348" s="381">
        <f t="shared" si="69"/>
        <v>1</v>
      </c>
      <c r="N348" s="390"/>
      <c r="O348" s="381">
        <f t="shared" si="70"/>
        <v>1</v>
      </c>
      <c r="P348" s="390"/>
      <c r="Q348" s="381">
        <f t="shared" si="71"/>
        <v>1</v>
      </c>
      <c r="R348" s="441">
        <f t="shared" si="72"/>
        <v>0</v>
      </c>
      <c r="S348" s="380">
        <f t="shared" si="63"/>
        <v>0</v>
      </c>
    </row>
    <row r="349" spans="1:19">
      <c r="A349" s="388"/>
      <c r="B349" s="389"/>
      <c r="C349" s="381">
        <f t="shared" si="64"/>
        <v>1</v>
      </c>
      <c r="D349" s="390"/>
      <c r="E349" s="381">
        <f t="shared" si="65"/>
        <v>1</v>
      </c>
      <c r="F349" s="390"/>
      <c r="G349" s="381">
        <f t="shared" si="66"/>
        <v>1</v>
      </c>
      <c r="H349" s="390"/>
      <c r="I349" s="381">
        <f t="shared" si="67"/>
        <v>1</v>
      </c>
      <c r="J349" s="390"/>
      <c r="K349" s="381">
        <f t="shared" si="68"/>
        <v>1</v>
      </c>
      <c r="L349" s="390"/>
      <c r="M349" s="381">
        <f t="shared" si="69"/>
        <v>1</v>
      </c>
      <c r="N349" s="390"/>
      <c r="O349" s="381">
        <f t="shared" si="70"/>
        <v>1</v>
      </c>
      <c r="P349" s="390"/>
      <c r="Q349" s="381">
        <f t="shared" si="71"/>
        <v>1</v>
      </c>
      <c r="R349" s="441">
        <f t="shared" si="72"/>
        <v>0</v>
      </c>
      <c r="S349" s="380">
        <f t="shared" si="63"/>
        <v>0</v>
      </c>
    </row>
    <row r="350" spans="1:19">
      <c r="A350" s="388"/>
      <c r="B350" s="389"/>
      <c r="C350" s="381">
        <f t="shared" si="64"/>
        <v>1</v>
      </c>
      <c r="D350" s="390"/>
      <c r="E350" s="381">
        <f t="shared" si="65"/>
        <v>1</v>
      </c>
      <c r="F350" s="390"/>
      <c r="G350" s="381">
        <f t="shared" si="66"/>
        <v>1</v>
      </c>
      <c r="H350" s="390"/>
      <c r="I350" s="381">
        <f t="shared" si="67"/>
        <v>1</v>
      </c>
      <c r="J350" s="390"/>
      <c r="K350" s="381">
        <f t="shared" si="68"/>
        <v>1</v>
      </c>
      <c r="L350" s="390"/>
      <c r="M350" s="381">
        <f t="shared" si="69"/>
        <v>1</v>
      </c>
      <c r="N350" s="390"/>
      <c r="O350" s="381">
        <f t="shared" si="70"/>
        <v>1</v>
      </c>
      <c r="P350" s="390"/>
      <c r="Q350" s="381">
        <f t="shared" si="71"/>
        <v>1</v>
      </c>
      <c r="R350" s="441">
        <f t="shared" si="72"/>
        <v>0</v>
      </c>
      <c r="S350" s="380">
        <f t="shared" si="63"/>
        <v>0</v>
      </c>
    </row>
    <row r="351" spans="1:19">
      <c r="A351" s="388"/>
      <c r="B351" s="389"/>
      <c r="C351" s="381">
        <f t="shared" si="64"/>
        <v>1</v>
      </c>
      <c r="D351" s="390"/>
      <c r="E351" s="381">
        <f t="shared" si="65"/>
        <v>1</v>
      </c>
      <c r="F351" s="390"/>
      <c r="G351" s="381">
        <f t="shared" si="66"/>
        <v>1</v>
      </c>
      <c r="H351" s="390"/>
      <c r="I351" s="381">
        <f t="shared" si="67"/>
        <v>1</v>
      </c>
      <c r="J351" s="390"/>
      <c r="K351" s="381">
        <f t="shared" si="68"/>
        <v>1</v>
      </c>
      <c r="L351" s="390"/>
      <c r="M351" s="381">
        <f t="shared" si="69"/>
        <v>1</v>
      </c>
      <c r="N351" s="390"/>
      <c r="O351" s="381">
        <f t="shared" si="70"/>
        <v>1</v>
      </c>
      <c r="P351" s="390"/>
      <c r="Q351" s="381">
        <f t="shared" si="71"/>
        <v>1</v>
      </c>
      <c r="R351" s="441">
        <f t="shared" si="72"/>
        <v>0</v>
      </c>
      <c r="S351" s="380">
        <f t="shared" si="63"/>
        <v>0</v>
      </c>
    </row>
    <row r="352" spans="1:19">
      <c r="A352" s="388"/>
      <c r="B352" s="389"/>
      <c r="C352" s="381">
        <f t="shared" si="64"/>
        <v>1</v>
      </c>
      <c r="D352" s="390"/>
      <c r="E352" s="381">
        <f t="shared" si="65"/>
        <v>1</v>
      </c>
      <c r="F352" s="390"/>
      <c r="G352" s="381">
        <f t="shared" si="66"/>
        <v>1</v>
      </c>
      <c r="H352" s="390"/>
      <c r="I352" s="381">
        <f t="shared" si="67"/>
        <v>1</v>
      </c>
      <c r="J352" s="390"/>
      <c r="K352" s="381">
        <f t="shared" si="68"/>
        <v>1</v>
      </c>
      <c r="L352" s="390"/>
      <c r="M352" s="381">
        <f t="shared" si="69"/>
        <v>1</v>
      </c>
      <c r="N352" s="390"/>
      <c r="O352" s="381">
        <f t="shared" si="70"/>
        <v>1</v>
      </c>
      <c r="P352" s="390"/>
      <c r="Q352" s="381">
        <f t="shared" si="71"/>
        <v>1</v>
      </c>
      <c r="R352" s="441">
        <f t="shared" si="72"/>
        <v>0</v>
      </c>
      <c r="S352" s="380">
        <f t="shared" si="63"/>
        <v>0</v>
      </c>
    </row>
    <row r="353" spans="1:19">
      <c r="A353" s="388"/>
      <c r="B353" s="389"/>
      <c r="C353" s="381">
        <f t="shared" si="64"/>
        <v>1</v>
      </c>
      <c r="D353" s="390"/>
      <c r="E353" s="381">
        <f t="shared" si="65"/>
        <v>1</v>
      </c>
      <c r="F353" s="390"/>
      <c r="G353" s="381">
        <f t="shared" si="66"/>
        <v>1</v>
      </c>
      <c r="H353" s="390"/>
      <c r="I353" s="381">
        <f t="shared" si="67"/>
        <v>1</v>
      </c>
      <c r="J353" s="390"/>
      <c r="K353" s="381">
        <f t="shared" si="68"/>
        <v>1</v>
      </c>
      <c r="L353" s="390"/>
      <c r="M353" s="381">
        <f t="shared" si="69"/>
        <v>1</v>
      </c>
      <c r="N353" s="390"/>
      <c r="O353" s="381">
        <f t="shared" si="70"/>
        <v>1</v>
      </c>
      <c r="P353" s="390"/>
      <c r="Q353" s="381">
        <f t="shared" si="71"/>
        <v>1</v>
      </c>
      <c r="R353" s="441">
        <f t="shared" si="72"/>
        <v>0</v>
      </c>
      <c r="S353" s="380">
        <f t="shared" si="63"/>
        <v>0</v>
      </c>
    </row>
    <row r="354" spans="1:19">
      <c r="A354" s="388"/>
      <c r="B354" s="389"/>
      <c r="C354" s="381">
        <f t="shared" si="64"/>
        <v>1</v>
      </c>
      <c r="D354" s="390"/>
      <c r="E354" s="381">
        <f t="shared" si="65"/>
        <v>1</v>
      </c>
      <c r="F354" s="390"/>
      <c r="G354" s="381">
        <f t="shared" si="66"/>
        <v>1</v>
      </c>
      <c r="H354" s="390"/>
      <c r="I354" s="381">
        <f t="shared" si="67"/>
        <v>1</v>
      </c>
      <c r="J354" s="390"/>
      <c r="K354" s="381">
        <f t="shared" si="68"/>
        <v>1</v>
      </c>
      <c r="L354" s="390"/>
      <c r="M354" s="381">
        <f t="shared" si="69"/>
        <v>1</v>
      </c>
      <c r="N354" s="390"/>
      <c r="O354" s="381">
        <f t="shared" si="70"/>
        <v>1</v>
      </c>
      <c r="P354" s="390"/>
      <c r="Q354" s="381">
        <f t="shared" si="71"/>
        <v>1</v>
      </c>
      <c r="R354" s="441">
        <f t="shared" si="72"/>
        <v>0</v>
      </c>
      <c r="S354" s="380">
        <f t="shared" si="63"/>
        <v>0</v>
      </c>
    </row>
    <row r="355" spans="1:19">
      <c r="A355" s="388"/>
      <c r="B355" s="389"/>
      <c r="C355" s="381">
        <f t="shared" si="64"/>
        <v>1</v>
      </c>
      <c r="D355" s="390"/>
      <c r="E355" s="381">
        <f t="shared" si="65"/>
        <v>1</v>
      </c>
      <c r="F355" s="390"/>
      <c r="G355" s="381">
        <f t="shared" si="66"/>
        <v>1</v>
      </c>
      <c r="H355" s="390"/>
      <c r="I355" s="381">
        <f t="shared" si="67"/>
        <v>1</v>
      </c>
      <c r="J355" s="390"/>
      <c r="K355" s="381">
        <f t="shared" si="68"/>
        <v>1</v>
      </c>
      <c r="L355" s="390"/>
      <c r="M355" s="381">
        <f t="shared" si="69"/>
        <v>1</v>
      </c>
      <c r="N355" s="390"/>
      <c r="O355" s="381">
        <f t="shared" si="70"/>
        <v>1</v>
      </c>
      <c r="P355" s="390"/>
      <c r="Q355" s="381">
        <f t="shared" si="71"/>
        <v>1</v>
      </c>
      <c r="R355" s="441">
        <f t="shared" si="72"/>
        <v>0</v>
      </c>
      <c r="S355" s="380">
        <f t="shared" si="63"/>
        <v>0</v>
      </c>
    </row>
    <row r="356" spans="1:19">
      <c r="A356" s="388"/>
      <c r="B356" s="389"/>
      <c r="C356" s="381">
        <f t="shared" si="64"/>
        <v>1</v>
      </c>
      <c r="D356" s="390"/>
      <c r="E356" s="381">
        <f t="shared" si="65"/>
        <v>1</v>
      </c>
      <c r="F356" s="390"/>
      <c r="G356" s="381">
        <f t="shared" si="66"/>
        <v>1</v>
      </c>
      <c r="H356" s="390"/>
      <c r="I356" s="381">
        <f t="shared" si="67"/>
        <v>1</v>
      </c>
      <c r="J356" s="390"/>
      <c r="K356" s="381">
        <f t="shared" si="68"/>
        <v>1</v>
      </c>
      <c r="L356" s="390"/>
      <c r="M356" s="381">
        <f t="shared" si="69"/>
        <v>1</v>
      </c>
      <c r="N356" s="390"/>
      <c r="O356" s="381">
        <f t="shared" si="70"/>
        <v>1</v>
      </c>
      <c r="P356" s="390"/>
      <c r="Q356" s="381">
        <f t="shared" si="71"/>
        <v>1</v>
      </c>
      <c r="R356" s="441">
        <f t="shared" si="72"/>
        <v>0</v>
      </c>
      <c r="S356" s="380">
        <f t="shared" si="63"/>
        <v>0</v>
      </c>
    </row>
    <row r="357" spans="1:19">
      <c r="A357" s="388"/>
      <c r="B357" s="389"/>
      <c r="C357" s="381">
        <f t="shared" si="64"/>
        <v>1</v>
      </c>
      <c r="D357" s="390"/>
      <c r="E357" s="381">
        <f t="shared" si="65"/>
        <v>1</v>
      </c>
      <c r="F357" s="390"/>
      <c r="G357" s="381">
        <f t="shared" si="66"/>
        <v>1</v>
      </c>
      <c r="H357" s="390"/>
      <c r="I357" s="381">
        <f t="shared" si="67"/>
        <v>1</v>
      </c>
      <c r="J357" s="390"/>
      <c r="K357" s="381">
        <f t="shared" si="68"/>
        <v>1</v>
      </c>
      <c r="L357" s="390"/>
      <c r="M357" s="381">
        <f t="shared" si="69"/>
        <v>1</v>
      </c>
      <c r="N357" s="390"/>
      <c r="O357" s="381">
        <f t="shared" si="70"/>
        <v>1</v>
      </c>
      <c r="P357" s="390"/>
      <c r="Q357" s="381">
        <f t="shared" si="71"/>
        <v>1</v>
      </c>
      <c r="R357" s="441">
        <f t="shared" si="72"/>
        <v>0</v>
      </c>
      <c r="S357" s="380">
        <f t="shared" si="63"/>
        <v>0</v>
      </c>
    </row>
    <row r="358" spans="1:19">
      <c r="A358" s="388"/>
      <c r="B358" s="389"/>
      <c r="C358" s="381">
        <f t="shared" si="64"/>
        <v>1</v>
      </c>
      <c r="D358" s="390"/>
      <c r="E358" s="381">
        <f t="shared" si="65"/>
        <v>1</v>
      </c>
      <c r="F358" s="390"/>
      <c r="G358" s="381">
        <f t="shared" si="66"/>
        <v>1</v>
      </c>
      <c r="H358" s="390"/>
      <c r="I358" s="381">
        <f t="shared" si="67"/>
        <v>1</v>
      </c>
      <c r="J358" s="390"/>
      <c r="K358" s="381">
        <f t="shared" si="68"/>
        <v>1</v>
      </c>
      <c r="L358" s="390"/>
      <c r="M358" s="381">
        <f t="shared" si="69"/>
        <v>1</v>
      </c>
      <c r="N358" s="390"/>
      <c r="O358" s="381">
        <f t="shared" si="70"/>
        <v>1</v>
      </c>
      <c r="P358" s="390"/>
      <c r="Q358" s="381">
        <f t="shared" si="71"/>
        <v>1</v>
      </c>
      <c r="R358" s="441">
        <f t="shared" si="72"/>
        <v>0</v>
      </c>
      <c r="S358" s="380">
        <f t="shared" si="63"/>
        <v>0</v>
      </c>
    </row>
    <row r="359" spans="1:19">
      <c r="A359" s="388"/>
      <c r="B359" s="389"/>
      <c r="C359" s="381">
        <f t="shared" si="64"/>
        <v>1</v>
      </c>
      <c r="D359" s="390"/>
      <c r="E359" s="381">
        <f t="shared" si="65"/>
        <v>1</v>
      </c>
      <c r="F359" s="390"/>
      <c r="G359" s="381">
        <f t="shared" si="66"/>
        <v>1</v>
      </c>
      <c r="H359" s="390"/>
      <c r="I359" s="381">
        <f t="shared" si="67"/>
        <v>1</v>
      </c>
      <c r="J359" s="390"/>
      <c r="K359" s="381">
        <f t="shared" si="68"/>
        <v>1</v>
      </c>
      <c r="L359" s="390"/>
      <c r="M359" s="381">
        <f t="shared" si="69"/>
        <v>1</v>
      </c>
      <c r="N359" s="390"/>
      <c r="O359" s="381">
        <f t="shared" si="70"/>
        <v>1</v>
      </c>
      <c r="P359" s="390"/>
      <c r="Q359" s="381">
        <f t="shared" si="71"/>
        <v>1</v>
      </c>
      <c r="R359" s="441">
        <f t="shared" si="72"/>
        <v>0</v>
      </c>
      <c r="S359" s="380">
        <f t="shared" si="63"/>
        <v>0</v>
      </c>
    </row>
    <row r="360" spans="1:19">
      <c r="A360" s="388"/>
      <c r="B360" s="389"/>
      <c r="C360" s="381">
        <f t="shared" si="64"/>
        <v>1</v>
      </c>
      <c r="D360" s="390"/>
      <c r="E360" s="381">
        <f t="shared" si="65"/>
        <v>1</v>
      </c>
      <c r="F360" s="390"/>
      <c r="G360" s="381">
        <f t="shared" si="66"/>
        <v>1</v>
      </c>
      <c r="H360" s="390"/>
      <c r="I360" s="381">
        <f t="shared" si="67"/>
        <v>1</v>
      </c>
      <c r="J360" s="390"/>
      <c r="K360" s="381">
        <f t="shared" si="68"/>
        <v>1</v>
      </c>
      <c r="L360" s="390"/>
      <c r="M360" s="381">
        <f t="shared" si="69"/>
        <v>1</v>
      </c>
      <c r="N360" s="390"/>
      <c r="O360" s="381">
        <f t="shared" si="70"/>
        <v>1</v>
      </c>
      <c r="P360" s="390"/>
      <c r="Q360" s="381">
        <f t="shared" si="71"/>
        <v>1</v>
      </c>
      <c r="R360" s="441">
        <f t="shared" si="72"/>
        <v>0</v>
      </c>
      <c r="S360" s="380">
        <f t="shared" si="63"/>
        <v>0</v>
      </c>
    </row>
    <row r="361" spans="1:19">
      <c r="A361" s="388"/>
      <c r="B361" s="389"/>
      <c r="C361" s="381">
        <f t="shared" si="64"/>
        <v>1</v>
      </c>
      <c r="D361" s="390"/>
      <c r="E361" s="381">
        <f t="shared" si="65"/>
        <v>1</v>
      </c>
      <c r="F361" s="390"/>
      <c r="G361" s="381">
        <f t="shared" si="66"/>
        <v>1</v>
      </c>
      <c r="H361" s="390"/>
      <c r="I361" s="381">
        <f t="shared" si="67"/>
        <v>1</v>
      </c>
      <c r="J361" s="390"/>
      <c r="K361" s="381">
        <f t="shared" si="68"/>
        <v>1</v>
      </c>
      <c r="L361" s="390"/>
      <c r="M361" s="381">
        <f t="shared" si="69"/>
        <v>1</v>
      </c>
      <c r="N361" s="390"/>
      <c r="O361" s="381">
        <f t="shared" si="70"/>
        <v>1</v>
      </c>
      <c r="P361" s="390"/>
      <c r="Q361" s="381">
        <f t="shared" si="71"/>
        <v>1</v>
      </c>
      <c r="R361" s="441">
        <f t="shared" si="72"/>
        <v>0</v>
      </c>
      <c r="S361" s="380">
        <f t="shared" si="63"/>
        <v>0</v>
      </c>
    </row>
    <row r="362" spans="1:19">
      <c r="A362" s="388"/>
      <c r="B362" s="389"/>
      <c r="C362" s="381">
        <f t="shared" si="64"/>
        <v>1</v>
      </c>
      <c r="D362" s="390"/>
      <c r="E362" s="381">
        <f t="shared" si="65"/>
        <v>1</v>
      </c>
      <c r="F362" s="390"/>
      <c r="G362" s="381">
        <f t="shared" si="66"/>
        <v>1</v>
      </c>
      <c r="H362" s="390"/>
      <c r="I362" s="381">
        <f t="shared" si="67"/>
        <v>1</v>
      </c>
      <c r="J362" s="390"/>
      <c r="K362" s="381">
        <f t="shared" si="68"/>
        <v>1</v>
      </c>
      <c r="L362" s="390"/>
      <c r="M362" s="381">
        <f t="shared" si="69"/>
        <v>1</v>
      </c>
      <c r="N362" s="390"/>
      <c r="O362" s="381">
        <f t="shared" si="70"/>
        <v>1</v>
      </c>
      <c r="P362" s="390"/>
      <c r="Q362" s="381">
        <f t="shared" si="71"/>
        <v>1</v>
      </c>
      <c r="R362" s="441">
        <f t="shared" si="72"/>
        <v>0</v>
      </c>
      <c r="S362" s="380">
        <f t="shared" si="63"/>
        <v>0</v>
      </c>
    </row>
    <row r="363" spans="1:19">
      <c r="A363" s="388"/>
      <c r="B363" s="389"/>
      <c r="C363" s="381">
        <f t="shared" si="64"/>
        <v>1</v>
      </c>
      <c r="D363" s="390"/>
      <c r="E363" s="381">
        <f t="shared" si="65"/>
        <v>1</v>
      </c>
      <c r="F363" s="390"/>
      <c r="G363" s="381">
        <f t="shared" si="66"/>
        <v>1</v>
      </c>
      <c r="H363" s="390"/>
      <c r="I363" s="381">
        <f t="shared" si="67"/>
        <v>1</v>
      </c>
      <c r="J363" s="390"/>
      <c r="K363" s="381">
        <f t="shared" si="68"/>
        <v>1</v>
      </c>
      <c r="L363" s="390"/>
      <c r="M363" s="381">
        <f t="shared" si="69"/>
        <v>1</v>
      </c>
      <c r="N363" s="390"/>
      <c r="O363" s="381">
        <f t="shared" si="70"/>
        <v>1</v>
      </c>
      <c r="P363" s="390"/>
      <c r="Q363" s="381">
        <f t="shared" si="71"/>
        <v>1</v>
      </c>
      <c r="R363" s="441">
        <f t="shared" si="72"/>
        <v>0</v>
      </c>
      <c r="S363" s="380">
        <f t="shared" si="63"/>
        <v>0</v>
      </c>
    </row>
    <row r="364" spans="1:19">
      <c r="A364" s="388"/>
      <c r="B364" s="389"/>
      <c r="C364" s="381">
        <f t="shared" si="64"/>
        <v>1</v>
      </c>
      <c r="D364" s="390"/>
      <c r="E364" s="381">
        <f t="shared" si="65"/>
        <v>1</v>
      </c>
      <c r="F364" s="390"/>
      <c r="G364" s="381">
        <f t="shared" si="66"/>
        <v>1</v>
      </c>
      <c r="H364" s="390"/>
      <c r="I364" s="381">
        <f t="shared" si="67"/>
        <v>1</v>
      </c>
      <c r="J364" s="390"/>
      <c r="K364" s="381">
        <f t="shared" si="68"/>
        <v>1</v>
      </c>
      <c r="L364" s="390"/>
      <c r="M364" s="381">
        <f t="shared" si="69"/>
        <v>1</v>
      </c>
      <c r="N364" s="390"/>
      <c r="O364" s="381">
        <f t="shared" si="70"/>
        <v>1</v>
      </c>
      <c r="P364" s="390"/>
      <c r="Q364" s="381">
        <f t="shared" si="71"/>
        <v>1</v>
      </c>
      <c r="R364" s="441">
        <f t="shared" si="72"/>
        <v>0</v>
      </c>
      <c r="S364" s="380">
        <f t="shared" si="63"/>
        <v>0</v>
      </c>
    </row>
    <row r="365" spans="1:19">
      <c r="A365" s="388"/>
      <c r="B365" s="389"/>
      <c r="C365" s="381">
        <f t="shared" si="64"/>
        <v>1</v>
      </c>
      <c r="D365" s="390"/>
      <c r="E365" s="381">
        <f t="shared" si="65"/>
        <v>1</v>
      </c>
      <c r="F365" s="390"/>
      <c r="G365" s="381">
        <f t="shared" si="66"/>
        <v>1</v>
      </c>
      <c r="H365" s="390"/>
      <c r="I365" s="381">
        <f t="shared" si="67"/>
        <v>1</v>
      </c>
      <c r="J365" s="390"/>
      <c r="K365" s="381">
        <f t="shared" si="68"/>
        <v>1</v>
      </c>
      <c r="L365" s="390"/>
      <c r="M365" s="381">
        <f t="shared" si="69"/>
        <v>1</v>
      </c>
      <c r="N365" s="390"/>
      <c r="O365" s="381">
        <f t="shared" si="70"/>
        <v>1</v>
      </c>
      <c r="P365" s="390"/>
      <c r="Q365" s="381">
        <f t="shared" si="71"/>
        <v>1</v>
      </c>
      <c r="R365" s="441">
        <f t="shared" si="72"/>
        <v>0</v>
      </c>
      <c r="S365" s="380">
        <f t="shared" si="63"/>
        <v>0</v>
      </c>
    </row>
    <row r="366" spans="1:19">
      <c r="A366" s="388"/>
      <c r="B366" s="389"/>
      <c r="C366" s="381">
        <f t="shared" si="64"/>
        <v>1</v>
      </c>
      <c r="D366" s="390"/>
      <c r="E366" s="381">
        <f t="shared" si="65"/>
        <v>1</v>
      </c>
      <c r="F366" s="390"/>
      <c r="G366" s="381">
        <f t="shared" si="66"/>
        <v>1</v>
      </c>
      <c r="H366" s="390"/>
      <c r="I366" s="381">
        <f t="shared" si="67"/>
        <v>1</v>
      </c>
      <c r="J366" s="390"/>
      <c r="K366" s="381">
        <f t="shared" si="68"/>
        <v>1</v>
      </c>
      <c r="L366" s="390"/>
      <c r="M366" s="381">
        <f t="shared" si="69"/>
        <v>1</v>
      </c>
      <c r="N366" s="390"/>
      <c r="O366" s="381">
        <f t="shared" si="70"/>
        <v>1</v>
      </c>
      <c r="P366" s="390"/>
      <c r="Q366" s="381">
        <f t="shared" si="71"/>
        <v>1</v>
      </c>
      <c r="R366" s="441">
        <f t="shared" si="72"/>
        <v>0</v>
      </c>
      <c r="S366" s="380">
        <f t="shared" si="63"/>
        <v>0</v>
      </c>
    </row>
    <row r="367" spans="1:19">
      <c r="A367" s="388"/>
      <c r="B367" s="389"/>
      <c r="C367" s="381">
        <f t="shared" si="64"/>
        <v>1</v>
      </c>
      <c r="D367" s="390"/>
      <c r="E367" s="381">
        <f t="shared" si="65"/>
        <v>1</v>
      </c>
      <c r="F367" s="390"/>
      <c r="G367" s="381">
        <f t="shared" si="66"/>
        <v>1</v>
      </c>
      <c r="H367" s="390"/>
      <c r="I367" s="381">
        <f t="shared" si="67"/>
        <v>1</v>
      </c>
      <c r="J367" s="390"/>
      <c r="K367" s="381">
        <f t="shared" si="68"/>
        <v>1</v>
      </c>
      <c r="L367" s="390"/>
      <c r="M367" s="381">
        <f t="shared" si="69"/>
        <v>1</v>
      </c>
      <c r="N367" s="390"/>
      <c r="O367" s="381">
        <f t="shared" si="70"/>
        <v>1</v>
      </c>
      <c r="P367" s="390"/>
      <c r="Q367" s="381">
        <f t="shared" si="71"/>
        <v>1</v>
      </c>
      <c r="R367" s="441">
        <f t="shared" si="72"/>
        <v>0</v>
      </c>
      <c r="S367" s="380">
        <f t="shared" si="63"/>
        <v>0</v>
      </c>
    </row>
    <row r="368" spans="1:19">
      <c r="A368" s="388"/>
      <c r="B368" s="389"/>
      <c r="C368" s="381">
        <f t="shared" si="64"/>
        <v>1</v>
      </c>
      <c r="D368" s="390"/>
      <c r="E368" s="381">
        <f t="shared" si="65"/>
        <v>1</v>
      </c>
      <c r="F368" s="390"/>
      <c r="G368" s="381">
        <f t="shared" si="66"/>
        <v>1</v>
      </c>
      <c r="H368" s="390"/>
      <c r="I368" s="381">
        <f t="shared" si="67"/>
        <v>1</v>
      </c>
      <c r="J368" s="390"/>
      <c r="K368" s="381">
        <f t="shared" si="68"/>
        <v>1</v>
      </c>
      <c r="L368" s="390"/>
      <c r="M368" s="381">
        <f t="shared" si="69"/>
        <v>1</v>
      </c>
      <c r="N368" s="390"/>
      <c r="O368" s="381">
        <f t="shared" si="70"/>
        <v>1</v>
      </c>
      <c r="P368" s="390"/>
      <c r="Q368" s="381">
        <f t="shared" si="71"/>
        <v>1</v>
      </c>
      <c r="R368" s="441">
        <f t="shared" si="72"/>
        <v>0</v>
      </c>
      <c r="S368" s="380">
        <f t="shared" si="63"/>
        <v>0</v>
      </c>
    </row>
    <row r="369" spans="1:19">
      <c r="A369" s="388"/>
      <c r="B369" s="389"/>
      <c r="C369" s="381">
        <f t="shared" si="64"/>
        <v>1</v>
      </c>
      <c r="D369" s="390"/>
      <c r="E369" s="381">
        <f t="shared" si="65"/>
        <v>1</v>
      </c>
      <c r="F369" s="390"/>
      <c r="G369" s="381">
        <f t="shared" si="66"/>
        <v>1</v>
      </c>
      <c r="H369" s="390"/>
      <c r="I369" s="381">
        <f t="shared" si="67"/>
        <v>1</v>
      </c>
      <c r="J369" s="390"/>
      <c r="K369" s="381">
        <f t="shared" si="68"/>
        <v>1</v>
      </c>
      <c r="L369" s="390"/>
      <c r="M369" s="381">
        <f t="shared" si="69"/>
        <v>1</v>
      </c>
      <c r="N369" s="390"/>
      <c r="O369" s="381">
        <f t="shared" si="70"/>
        <v>1</v>
      </c>
      <c r="P369" s="390"/>
      <c r="Q369" s="381">
        <f t="shared" si="71"/>
        <v>1</v>
      </c>
      <c r="R369" s="441">
        <f t="shared" si="72"/>
        <v>0</v>
      </c>
      <c r="S369" s="380">
        <f t="shared" si="63"/>
        <v>0</v>
      </c>
    </row>
    <row r="370" spans="1:19">
      <c r="A370" s="388"/>
      <c r="B370" s="389"/>
      <c r="C370" s="381">
        <f t="shared" si="64"/>
        <v>1</v>
      </c>
      <c r="D370" s="390"/>
      <c r="E370" s="381">
        <f t="shared" si="65"/>
        <v>1</v>
      </c>
      <c r="F370" s="390"/>
      <c r="G370" s="381">
        <f t="shared" si="66"/>
        <v>1</v>
      </c>
      <c r="H370" s="390"/>
      <c r="I370" s="381">
        <f t="shared" si="67"/>
        <v>1</v>
      </c>
      <c r="J370" s="390"/>
      <c r="K370" s="381">
        <f t="shared" si="68"/>
        <v>1</v>
      </c>
      <c r="L370" s="390"/>
      <c r="M370" s="381">
        <f t="shared" si="69"/>
        <v>1</v>
      </c>
      <c r="N370" s="390"/>
      <c r="O370" s="381">
        <f t="shared" si="70"/>
        <v>1</v>
      </c>
      <c r="P370" s="390"/>
      <c r="Q370" s="381">
        <f t="shared" si="71"/>
        <v>1</v>
      </c>
      <c r="R370" s="441">
        <f t="shared" si="72"/>
        <v>0</v>
      </c>
      <c r="S370" s="380">
        <f t="shared" si="63"/>
        <v>0</v>
      </c>
    </row>
    <row r="371" spans="1:19">
      <c r="A371" s="388"/>
      <c r="B371" s="389"/>
      <c r="C371" s="381">
        <f t="shared" si="64"/>
        <v>1</v>
      </c>
      <c r="D371" s="390"/>
      <c r="E371" s="381">
        <f t="shared" si="65"/>
        <v>1</v>
      </c>
      <c r="F371" s="390"/>
      <c r="G371" s="381">
        <f t="shared" si="66"/>
        <v>1</v>
      </c>
      <c r="H371" s="390"/>
      <c r="I371" s="381">
        <f t="shared" si="67"/>
        <v>1</v>
      </c>
      <c r="J371" s="390"/>
      <c r="K371" s="381">
        <f t="shared" si="68"/>
        <v>1</v>
      </c>
      <c r="L371" s="390"/>
      <c r="M371" s="381">
        <f t="shared" si="69"/>
        <v>1</v>
      </c>
      <c r="N371" s="390"/>
      <c r="O371" s="381">
        <f t="shared" si="70"/>
        <v>1</v>
      </c>
      <c r="P371" s="390"/>
      <c r="Q371" s="381">
        <f t="shared" si="71"/>
        <v>1</v>
      </c>
      <c r="R371" s="441">
        <f t="shared" si="72"/>
        <v>0</v>
      </c>
      <c r="S371" s="380">
        <f t="shared" si="63"/>
        <v>0</v>
      </c>
    </row>
    <row r="372" spans="1:19">
      <c r="A372" s="388"/>
      <c r="B372" s="389"/>
      <c r="C372" s="381">
        <f t="shared" si="64"/>
        <v>1</v>
      </c>
      <c r="D372" s="390"/>
      <c r="E372" s="381">
        <f t="shared" si="65"/>
        <v>1</v>
      </c>
      <c r="F372" s="390"/>
      <c r="G372" s="381">
        <f t="shared" si="66"/>
        <v>1</v>
      </c>
      <c r="H372" s="390"/>
      <c r="I372" s="381">
        <f t="shared" si="67"/>
        <v>1</v>
      </c>
      <c r="J372" s="390"/>
      <c r="K372" s="381">
        <f t="shared" si="68"/>
        <v>1</v>
      </c>
      <c r="L372" s="390"/>
      <c r="M372" s="381">
        <f t="shared" si="69"/>
        <v>1</v>
      </c>
      <c r="N372" s="390"/>
      <c r="O372" s="381">
        <f t="shared" si="70"/>
        <v>1</v>
      </c>
      <c r="P372" s="390"/>
      <c r="Q372" s="381">
        <f t="shared" si="71"/>
        <v>1</v>
      </c>
      <c r="R372" s="441">
        <f t="shared" si="72"/>
        <v>0</v>
      </c>
      <c r="S372" s="380">
        <f t="shared" si="63"/>
        <v>0</v>
      </c>
    </row>
    <row r="373" spans="1:19">
      <c r="A373" s="388"/>
      <c r="B373" s="389"/>
      <c r="C373" s="381">
        <f t="shared" si="64"/>
        <v>1</v>
      </c>
      <c r="D373" s="390"/>
      <c r="E373" s="381">
        <f t="shared" si="65"/>
        <v>1</v>
      </c>
      <c r="F373" s="390"/>
      <c r="G373" s="381">
        <f t="shared" si="66"/>
        <v>1</v>
      </c>
      <c r="H373" s="390"/>
      <c r="I373" s="381">
        <f t="shared" si="67"/>
        <v>1</v>
      </c>
      <c r="J373" s="390"/>
      <c r="K373" s="381">
        <f t="shared" si="68"/>
        <v>1</v>
      </c>
      <c r="L373" s="390"/>
      <c r="M373" s="381">
        <f t="shared" si="69"/>
        <v>1</v>
      </c>
      <c r="N373" s="390"/>
      <c r="O373" s="381">
        <f t="shared" si="70"/>
        <v>1</v>
      </c>
      <c r="P373" s="390"/>
      <c r="Q373" s="381">
        <f t="shared" si="71"/>
        <v>1</v>
      </c>
      <c r="R373" s="441">
        <f t="shared" si="72"/>
        <v>0</v>
      </c>
      <c r="S373" s="380">
        <f t="shared" si="63"/>
        <v>0</v>
      </c>
    </row>
    <row r="374" spans="1:19">
      <c r="A374" s="388"/>
      <c r="B374" s="389"/>
      <c r="C374" s="381">
        <f t="shared" si="64"/>
        <v>1</v>
      </c>
      <c r="D374" s="390"/>
      <c r="E374" s="381">
        <f t="shared" si="65"/>
        <v>1</v>
      </c>
      <c r="F374" s="390"/>
      <c r="G374" s="381">
        <f t="shared" si="66"/>
        <v>1</v>
      </c>
      <c r="H374" s="390"/>
      <c r="I374" s="381">
        <f t="shared" si="67"/>
        <v>1</v>
      </c>
      <c r="J374" s="390"/>
      <c r="K374" s="381">
        <f t="shared" si="68"/>
        <v>1</v>
      </c>
      <c r="L374" s="390"/>
      <c r="M374" s="381">
        <f t="shared" si="69"/>
        <v>1</v>
      </c>
      <c r="N374" s="390"/>
      <c r="O374" s="381">
        <f t="shared" si="70"/>
        <v>1</v>
      </c>
      <c r="P374" s="390"/>
      <c r="Q374" s="381">
        <f t="shared" si="71"/>
        <v>1</v>
      </c>
      <c r="R374" s="441">
        <f t="shared" si="72"/>
        <v>0</v>
      </c>
      <c r="S374" s="380">
        <f t="shared" si="63"/>
        <v>0</v>
      </c>
    </row>
    <row r="375" spans="1:19">
      <c r="A375" s="388"/>
      <c r="B375" s="389"/>
      <c r="C375" s="381">
        <f t="shared" si="64"/>
        <v>1</v>
      </c>
      <c r="D375" s="390"/>
      <c r="E375" s="381">
        <f t="shared" si="65"/>
        <v>1</v>
      </c>
      <c r="F375" s="390"/>
      <c r="G375" s="381">
        <f t="shared" si="66"/>
        <v>1</v>
      </c>
      <c r="H375" s="390"/>
      <c r="I375" s="381">
        <f t="shared" si="67"/>
        <v>1</v>
      </c>
      <c r="J375" s="390"/>
      <c r="K375" s="381">
        <f t="shared" si="68"/>
        <v>1</v>
      </c>
      <c r="L375" s="390"/>
      <c r="M375" s="381">
        <f t="shared" si="69"/>
        <v>1</v>
      </c>
      <c r="N375" s="390"/>
      <c r="O375" s="381">
        <f t="shared" si="70"/>
        <v>1</v>
      </c>
      <c r="P375" s="390"/>
      <c r="Q375" s="381">
        <f t="shared" si="71"/>
        <v>1</v>
      </c>
      <c r="R375" s="441">
        <f t="shared" si="72"/>
        <v>0</v>
      </c>
      <c r="S375" s="380">
        <f t="shared" si="63"/>
        <v>0</v>
      </c>
    </row>
    <row r="376" spans="1:19">
      <c r="A376" s="388"/>
      <c r="B376" s="389"/>
      <c r="C376" s="381">
        <f t="shared" si="64"/>
        <v>1</v>
      </c>
      <c r="D376" s="390"/>
      <c r="E376" s="381">
        <f t="shared" si="65"/>
        <v>1</v>
      </c>
      <c r="F376" s="390"/>
      <c r="G376" s="381">
        <f t="shared" si="66"/>
        <v>1</v>
      </c>
      <c r="H376" s="390"/>
      <c r="I376" s="381">
        <f t="shared" si="67"/>
        <v>1</v>
      </c>
      <c r="J376" s="390"/>
      <c r="K376" s="381">
        <f t="shared" si="68"/>
        <v>1</v>
      </c>
      <c r="L376" s="390"/>
      <c r="M376" s="381">
        <f t="shared" si="69"/>
        <v>1</v>
      </c>
      <c r="N376" s="390"/>
      <c r="O376" s="381">
        <f t="shared" si="70"/>
        <v>1</v>
      </c>
      <c r="P376" s="390"/>
      <c r="Q376" s="381">
        <f t="shared" si="71"/>
        <v>1</v>
      </c>
      <c r="R376" s="441">
        <f t="shared" si="72"/>
        <v>0</v>
      </c>
      <c r="S376" s="380">
        <f t="shared" si="63"/>
        <v>0</v>
      </c>
    </row>
    <row r="377" spans="1:19">
      <c r="A377" s="388"/>
      <c r="B377" s="389"/>
      <c r="C377" s="381">
        <f t="shared" si="64"/>
        <v>1</v>
      </c>
      <c r="D377" s="390"/>
      <c r="E377" s="381">
        <f t="shared" si="65"/>
        <v>1</v>
      </c>
      <c r="F377" s="390"/>
      <c r="G377" s="381">
        <f t="shared" si="66"/>
        <v>1</v>
      </c>
      <c r="H377" s="390"/>
      <c r="I377" s="381">
        <f t="shared" si="67"/>
        <v>1</v>
      </c>
      <c r="J377" s="390"/>
      <c r="K377" s="381">
        <f t="shared" si="68"/>
        <v>1</v>
      </c>
      <c r="L377" s="390"/>
      <c r="M377" s="381">
        <f t="shared" si="69"/>
        <v>1</v>
      </c>
      <c r="N377" s="390"/>
      <c r="O377" s="381">
        <f t="shared" si="70"/>
        <v>1</v>
      </c>
      <c r="P377" s="390"/>
      <c r="Q377" s="381">
        <f t="shared" si="71"/>
        <v>1</v>
      </c>
      <c r="R377" s="441">
        <f t="shared" si="72"/>
        <v>0</v>
      </c>
      <c r="S377" s="380">
        <f t="shared" si="63"/>
        <v>0</v>
      </c>
    </row>
    <row r="378" spans="1:19">
      <c r="A378" s="388"/>
      <c r="B378" s="389"/>
      <c r="C378" s="381">
        <f t="shared" si="64"/>
        <v>1</v>
      </c>
      <c r="D378" s="390"/>
      <c r="E378" s="381">
        <f t="shared" si="65"/>
        <v>1</v>
      </c>
      <c r="F378" s="390"/>
      <c r="G378" s="381">
        <f t="shared" si="66"/>
        <v>1</v>
      </c>
      <c r="H378" s="390"/>
      <c r="I378" s="381">
        <f t="shared" si="67"/>
        <v>1</v>
      </c>
      <c r="J378" s="390"/>
      <c r="K378" s="381">
        <f t="shared" si="68"/>
        <v>1</v>
      </c>
      <c r="L378" s="390"/>
      <c r="M378" s="381">
        <f t="shared" si="69"/>
        <v>1</v>
      </c>
      <c r="N378" s="390"/>
      <c r="O378" s="381">
        <f t="shared" si="70"/>
        <v>1</v>
      </c>
      <c r="P378" s="390"/>
      <c r="Q378" s="381">
        <f t="shared" si="71"/>
        <v>1</v>
      </c>
      <c r="R378" s="441">
        <f t="shared" si="72"/>
        <v>0</v>
      </c>
      <c r="S378" s="380">
        <f t="shared" si="63"/>
        <v>0</v>
      </c>
    </row>
    <row r="379" spans="1:19">
      <c r="A379" s="388"/>
      <c r="B379" s="389"/>
      <c r="C379" s="381">
        <f t="shared" si="64"/>
        <v>1</v>
      </c>
      <c r="D379" s="390"/>
      <c r="E379" s="381">
        <f t="shared" si="65"/>
        <v>1</v>
      </c>
      <c r="F379" s="390"/>
      <c r="G379" s="381">
        <f t="shared" si="66"/>
        <v>1</v>
      </c>
      <c r="H379" s="390"/>
      <c r="I379" s="381">
        <f t="shared" si="67"/>
        <v>1</v>
      </c>
      <c r="J379" s="390"/>
      <c r="K379" s="381">
        <f t="shared" si="68"/>
        <v>1</v>
      </c>
      <c r="L379" s="390"/>
      <c r="M379" s="381">
        <f t="shared" si="69"/>
        <v>1</v>
      </c>
      <c r="N379" s="390"/>
      <c r="O379" s="381">
        <f t="shared" si="70"/>
        <v>1</v>
      </c>
      <c r="P379" s="390"/>
      <c r="Q379" s="381">
        <f t="shared" si="71"/>
        <v>1</v>
      </c>
      <c r="R379" s="441">
        <f t="shared" si="72"/>
        <v>0</v>
      </c>
      <c r="S379" s="380">
        <f t="shared" si="63"/>
        <v>0</v>
      </c>
    </row>
    <row r="380" spans="1:19">
      <c r="A380" s="388"/>
      <c r="B380" s="389"/>
      <c r="C380" s="381">
        <f t="shared" si="64"/>
        <v>1</v>
      </c>
      <c r="D380" s="390"/>
      <c r="E380" s="381">
        <f t="shared" si="65"/>
        <v>1</v>
      </c>
      <c r="F380" s="390"/>
      <c r="G380" s="381">
        <f t="shared" si="66"/>
        <v>1</v>
      </c>
      <c r="H380" s="390"/>
      <c r="I380" s="381">
        <f t="shared" si="67"/>
        <v>1</v>
      </c>
      <c r="J380" s="390"/>
      <c r="K380" s="381">
        <f t="shared" si="68"/>
        <v>1</v>
      </c>
      <c r="L380" s="390"/>
      <c r="M380" s="381">
        <f t="shared" si="69"/>
        <v>1</v>
      </c>
      <c r="N380" s="390"/>
      <c r="O380" s="381">
        <f t="shared" si="70"/>
        <v>1</v>
      </c>
      <c r="P380" s="390"/>
      <c r="Q380" s="381">
        <f t="shared" si="71"/>
        <v>1</v>
      </c>
      <c r="R380" s="441">
        <f t="shared" si="72"/>
        <v>0</v>
      </c>
      <c r="S380" s="380">
        <f t="shared" si="63"/>
        <v>0</v>
      </c>
    </row>
    <row r="381" spans="1:19">
      <c r="A381" s="388"/>
      <c r="B381" s="389"/>
      <c r="C381" s="381">
        <f t="shared" si="64"/>
        <v>1</v>
      </c>
      <c r="D381" s="390"/>
      <c r="E381" s="381">
        <f t="shared" si="65"/>
        <v>1</v>
      </c>
      <c r="F381" s="390"/>
      <c r="G381" s="381">
        <f t="shared" si="66"/>
        <v>1</v>
      </c>
      <c r="H381" s="390"/>
      <c r="I381" s="381">
        <f t="shared" si="67"/>
        <v>1</v>
      </c>
      <c r="J381" s="390"/>
      <c r="K381" s="381">
        <f t="shared" si="68"/>
        <v>1</v>
      </c>
      <c r="L381" s="390"/>
      <c r="M381" s="381">
        <f t="shared" si="69"/>
        <v>1</v>
      </c>
      <c r="N381" s="390"/>
      <c r="O381" s="381">
        <f t="shared" si="70"/>
        <v>1</v>
      </c>
      <c r="P381" s="390"/>
      <c r="Q381" s="381">
        <f t="shared" si="71"/>
        <v>1</v>
      </c>
      <c r="R381" s="441">
        <f t="shared" si="72"/>
        <v>0</v>
      </c>
      <c r="S381" s="380">
        <f t="shared" si="63"/>
        <v>0</v>
      </c>
    </row>
    <row r="382" spans="1:19">
      <c r="A382" s="388"/>
      <c r="B382" s="389"/>
      <c r="C382" s="381">
        <f t="shared" si="64"/>
        <v>1</v>
      </c>
      <c r="D382" s="390"/>
      <c r="E382" s="381">
        <f t="shared" si="65"/>
        <v>1</v>
      </c>
      <c r="F382" s="390"/>
      <c r="G382" s="381">
        <f t="shared" si="66"/>
        <v>1</v>
      </c>
      <c r="H382" s="390"/>
      <c r="I382" s="381">
        <f t="shared" si="67"/>
        <v>1</v>
      </c>
      <c r="J382" s="390"/>
      <c r="K382" s="381">
        <f t="shared" si="68"/>
        <v>1</v>
      </c>
      <c r="L382" s="390"/>
      <c r="M382" s="381">
        <f t="shared" si="69"/>
        <v>1</v>
      </c>
      <c r="N382" s="390"/>
      <c r="O382" s="381">
        <f t="shared" si="70"/>
        <v>1</v>
      </c>
      <c r="P382" s="390"/>
      <c r="Q382" s="381">
        <f t="shared" si="71"/>
        <v>1</v>
      </c>
      <c r="R382" s="441">
        <f t="shared" si="72"/>
        <v>0</v>
      </c>
      <c r="S382" s="380">
        <f t="shared" si="63"/>
        <v>0</v>
      </c>
    </row>
    <row r="383" spans="1:19">
      <c r="A383" s="388"/>
      <c r="B383" s="389"/>
      <c r="C383" s="381">
        <f t="shared" si="64"/>
        <v>1</v>
      </c>
      <c r="D383" s="390"/>
      <c r="E383" s="381">
        <f t="shared" si="65"/>
        <v>1</v>
      </c>
      <c r="F383" s="390"/>
      <c r="G383" s="381">
        <f t="shared" si="66"/>
        <v>1</v>
      </c>
      <c r="H383" s="390"/>
      <c r="I383" s="381">
        <f t="shared" si="67"/>
        <v>1</v>
      </c>
      <c r="J383" s="390"/>
      <c r="K383" s="381">
        <f t="shared" si="68"/>
        <v>1</v>
      </c>
      <c r="L383" s="390"/>
      <c r="M383" s="381">
        <f t="shared" si="69"/>
        <v>1</v>
      </c>
      <c r="N383" s="390"/>
      <c r="O383" s="381">
        <f t="shared" si="70"/>
        <v>1</v>
      </c>
      <c r="P383" s="390"/>
      <c r="Q383" s="381">
        <f t="shared" si="71"/>
        <v>1</v>
      </c>
      <c r="R383" s="441">
        <f t="shared" si="72"/>
        <v>0</v>
      </c>
      <c r="S383" s="380">
        <f t="shared" si="63"/>
        <v>0</v>
      </c>
    </row>
    <row r="384" spans="1:19">
      <c r="A384" s="388"/>
      <c r="B384" s="389"/>
      <c r="C384" s="381">
        <f t="shared" si="64"/>
        <v>1</v>
      </c>
      <c r="D384" s="390"/>
      <c r="E384" s="381">
        <f t="shared" si="65"/>
        <v>1</v>
      </c>
      <c r="F384" s="390"/>
      <c r="G384" s="381">
        <f t="shared" si="66"/>
        <v>1</v>
      </c>
      <c r="H384" s="390"/>
      <c r="I384" s="381">
        <f t="shared" si="67"/>
        <v>1</v>
      </c>
      <c r="J384" s="390"/>
      <c r="K384" s="381">
        <f t="shared" si="68"/>
        <v>1</v>
      </c>
      <c r="L384" s="390"/>
      <c r="M384" s="381">
        <f t="shared" si="69"/>
        <v>1</v>
      </c>
      <c r="N384" s="390"/>
      <c r="O384" s="381">
        <f t="shared" si="70"/>
        <v>1</v>
      </c>
      <c r="P384" s="390"/>
      <c r="Q384" s="381">
        <f t="shared" si="71"/>
        <v>1</v>
      </c>
      <c r="R384" s="441">
        <f t="shared" si="72"/>
        <v>0</v>
      </c>
      <c r="S384" s="380">
        <f t="shared" si="63"/>
        <v>0</v>
      </c>
    </row>
    <row r="385" spans="1:19">
      <c r="A385" s="388"/>
      <c r="B385" s="389"/>
      <c r="C385" s="381">
        <f t="shared" si="64"/>
        <v>1</v>
      </c>
      <c r="D385" s="390"/>
      <c r="E385" s="381">
        <f t="shared" si="65"/>
        <v>1</v>
      </c>
      <c r="F385" s="390"/>
      <c r="G385" s="381">
        <f t="shared" si="66"/>
        <v>1</v>
      </c>
      <c r="H385" s="390"/>
      <c r="I385" s="381">
        <f t="shared" si="67"/>
        <v>1</v>
      </c>
      <c r="J385" s="390"/>
      <c r="K385" s="381">
        <f t="shared" si="68"/>
        <v>1</v>
      </c>
      <c r="L385" s="390"/>
      <c r="M385" s="381">
        <f t="shared" si="69"/>
        <v>1</v>
      </c>
      <c r="N385" s="390"/>
      <c r="O385" s="381">
        <f t="shared" si="70"/>
        <v>1</v>
      </c>
      <c r="P385" s="390"/>
      <c r="Q385" s="381">
        <f t="shared" si="71"/>
        <v>1</v>
      </c>
      <c r="R385" s="441">
        <f t="shared" si="72"/>
        <v>0</v>
      </c>
      <c r="S385" s="380">
        <f t="shared" ref="S385:S422" si="73">ROUND(R385*B385/10000,0)</f>
        <v>0</v>
      </c>
    </row>
    <row r="386" spans="1:19">
      <c r="A386" s="388"/>
      <c r="B386" s="389"/>
      <c r="C386" s="381">
        <f t="shared" si="64"/>
        <v>1</v>
      </c>
      <c r="D386" s="390"/>
      <c r="E386" s="381">
        <f t="shared" si="65"/>
        <v>1</v>
      </c>
      <c r="F386" s="390"/>
      <c r="G386" s="381">
        <f t="shared" si="66"/>
        <v>1</v>
      </c>
      <c r="H386" s="390"/>
      <c r="I386" s="381">
        <f t="shared" si="67"/>
        <v>1</v>
      </c>
      <c r="J386" s="390"/>
      <c r="K386" s="381">
        <f t="shared" si="68"/>
        <v>1</v>
      </c>
      <c r="L386" s="390"/>
      <c r="M386" s="381">
        <f t="shared" si="69"/>
        <v>1</v>
      </c>
      <c r="N386" s="390"/>
      <c r="O386" s="381">
        <f t="shared" si="70"/>
        <v>1</v>
      </c>
      <c r="P386" s="390"/>
      <c r="Q386" s="381">
        <f t="shared" si="71"/>
        <v>1</v>
      </c>
      <c r="R386" s="441">
        <f t="shared" si="72"/>
        <v>0</v>
      </c>
      <c r="S386" s="380">
        <f t="shared" si="73"/>
        <v>0</v>
      </c>
    </row>
    <row r="387" spans="1:19">
      <c r="A387" s="388"/>
      <c r="B387" s="389"/>
      <c r="C387" s="381">
        <f t="shared" si="64"/>
        <v>1</v>
      </c>
      <c r="D387" s="390"/>
      <c r="E387" s="381">
        <f t="shared" si="65"/>
        <v>1</v>
      </c>
      <c r="F387" s="390"/>
      <c r="G387" s="381">
        <f t="shared" si="66"/>
        <v>1</v>
      </c>
      <c r="H387" s="390"/>
      <c r="I387" s="381">
        <f t="shared" si="67"/>
        <v>1</v>
      </c>
      <c r="J387" s="390"/>
      <c r="K387" s="381">
        <f t="shared" si="68"/>
        <v>1</v>
      </c>
      <c r="L387" s="390"/>
      <c r="M387" s="381">
        <f t="shared" si="69"/>
        <v>1</v>
      </c>
      <c r="N387" s="390"/>
      <c r="O387" s="381">
        <f t="shared" si="70"/>
        <v>1</v>
      </c>
      <c r="P387" s="390"/>
      <c r="Q387" s="381">
        <f t="shared" si="71"/>
        <v>1</v>
      </c>
      <c r="R387" s="441">
        <f t="shared" si="72"/>
        <v>0</v>
      </c>
      <c r="S387" s="380">
        <f t="shared" si="73"/>
        <v>0</v>
      </c>
    </row>
    <row r="388" spans="1:19">
      <c r="A388" s="388"/>
      <c r="B388" s="389"/>
      <c r="C388" s="381">
        <f t="shared" si="64"/>
        <v>1</v>
      </c>
      <c r="D388" s="390"/>
      <c r="E388" s="381">
        <f t="shared" si="65"/>
        <v>1</v>
      </c>
      <c r="F388" s="390"/>
      <c r="G388" s="381">
        <f t="shared" si="66"/>
        <v>1</v>
      </c>
      <c r="H388" s="390"/>
      <c r="I388" s="381">
        <f t="shared" si="67"/>
        <v>1</v>
      </c>
      <c r="J388" s="390"/>
      <c r="K388" s="381">
        <f t="shared" si="68"/>
        <v>1</v>
      </c>
      <c r="L388" s="390"/>
      <c r="M388" s="381">
        <f t="shared" si="69"/>
        <v>1</v>
      </c>
      <c r="N388" s="390"/>
      <c r="O388" s="381">
        <f t="shared" si="70"/>
        <v>1</v>
      </c>
      <c r="P388" s="390"/>
      <c r="Q388" s="381">
        <f t="shared" si="71"/>
        <v>1</v>
      </c>
      <c r="R388" s="441">
        <f t="shared" si="72"/>
        <v>0</v>
      </c>
      <c r="S388" s="380">
        <f t="shared" si="73"/>
        <v>0</v>
      </c>
    </row>
    <row r="389" spans="1:19">
      <c r="A389" s="388"/>
      <c r="B389" s="389"/>
      <c r="C389" s="381">
        <f t="shared" si="64"/>
        <v>1</v>
      </c>
      <c r="D389" s="390"/>
      <c r="E389" s="381">
        <f t="shared" si="65"/>
        <v>1</v>
      </c>
      <c r="F389" s="390"/>
      <c r="G389" s="381">
        <f t="shared" si="66"/>
        <v>1</v>
      </c>
      <c r="H389" s="390"/>
      <c r="I389" s="381">
        <f t="shared" si="67"/>
        <v>1</v>
      </c>
      <c r="J389" s="390"/>
      <c r="K389" s="381">
        <f t="shared" si="68"/>
        <v>1</v>
      </c>
      <c r="L389" s="390"/>
      <c r="M389" s="381">
        <f t="shared" si="69"/>
        <v>1</v>
      </c>
      <c r="N389" s="390"/>
      <c r="O389" s="381">
        <f t="shared" si="70"/>
        <v>1</v>
      </c>
      <c r="P389" s="390"/>
      <c r="Q389" s="381">
        <f t="shared" si="71"/>
        <v>1</v>
      </c>
      <c r="R389" s="441">
        <f t="shared" si="72"/>
        <v>0</v>
      </c>
      <c r="S389" s="380">
        <f t="shared" si="73"/>
        <v>0</v>
      </c>
    </row>
    <row r="390" spans="1:19">
      <c r="A390" s="388"/>
      <c r="B390" s="389"/>
      <c r="C390" s="381">
        <f t="shared" si="64"/>
        <v>1</v>
      </c>
      <c r="D390" s="390"/>
      <c r="E390" s="381">
        <f t="shared" si="65"/>
        <v>1</v>
      </c>
      <c r="F390" s="390"/>
      <c r="G390" s="381">
        <f t="shared" si="66"/>
        <v>1</v>
      </c>
      <c r="H390" s="390"/>
      <c r="I390" s="381">
        <f t="shared" si="67"/>
        <v>1</v>
      </c>
      <c r="J390" s="390"/>
      <c r="K390" s="381">
        <f t="shared" si="68"/>
        <v>1</v>
      </c>
      <c r="L390" s="390"/>
      <c r="M390" s="381">
        <f t="shared" si="69"/>
        <v>1</v>
      </c>
      <c r="N390" s="390"/>
      <c r="O390" s="381">
        <f t="shared" si="70"/>
        <v>1</v>
      </c>
      <c r="P390" s="390"/>
      <c r="Q390" s="381">
        <f t="shared" si="71"/>
        <v>1</v>
      </c>
      <c r="R390" s="441">
        <f t="shared" si="72"/>
        <v>0</v>
      </c>
      <c r="S390" s="380">
        <f t="shared" si="73"/>
        <v>0</v>
      </c>
    </row>
    <row r="391" spans="1:19">
      <c r="A391" s="388"/>
      <c r="B391" s="389"/>
      <c r="C391" s="381">
        <f t="shared" si="64"/>
        <v>1</v>
      </c>
      <c r="D391" s="390"/>
      <c r="E391" s="381">
        <f t="shared" si="65"/>
        <v>1</v>
      </c>
      <c r="F391" s="390"/>
      <c r="G391" s="381">
        <f t="shared" si="66"/>
        <v>1</v>
      </c>
      <c r="H391" s="390"/>
      <c r="I391" s="381">
        <f t="shared" si="67"/>
        <v>1</v>
      </c>
      <c r="J391" s="390"/>
      <c r="K391" s="381">
        <f t="shared" si="68"/>
        <v>1</v>
      </c>
      <c r="L391" s="390"/>
      <c r="M391" s="381">
        <f t="shared" si="69"/>
        <v>1</v>
      </c>
      <c r="N391" s="390"/>
      <c r="O391" s="381">
        <f t="shared" si="70"/>
        <v>1</v>
      </c>
      <c r="P391" s="390"/>
      <c r="Q391" s="381">
        <f t="shared" si="71"/>
        <v>1</v>
      </c>
      <c r="R391" s="441">
        <f t="shared" si="72"/>
        <v>0</v>
      </c>
      <c r="S391" s="380">
        <f t="shared" si="73"/>
        <v>0</v>
      </c>
    </row>
    <row r="392" spans="1:19">
      <c r="A392" s="388"/>
      <c r="B392" s="389"/>
      <c r="C392" s="381">
        <f t="shared" si="64"/>
        <v>1</v>
      </c>
      <c r="D392" s="390"/>
      <c r="E392" s="381">
        <f t="shared" si="65"/>
        <v>1</v>
      </c>
      <c r="F392" s="390"/>
      <c r="G392" s="381">
        <f t="shared" si="66"/>
        <v>1</v>
      </c>
      <c r="H392" s="390"/>
      <c r="I392" s="381">
        <f t="shared" si="67"/>
        <v>1</v>
      </c>
      <c r="J392" s="390"/>
      <c r="K392" s="381">
        <f t="shared" si="68"/>
        <v>1</v>
      </c>
      <c r="L392" s="390"/>
      <c r="M392" s="381">
        <f t="shared" si="69"/>
        <v>1</v>
      </c>
      <c r="N392" s="390"/>
      <c r="O392" s="381">
        <f t="shared" si="70"/>
        <v>1</v>
      </c>
      <c r="P392" s="390"/>
      <c r="Q392" s="381">
        <f t="shared" si="71"/>
        <v>1</v>
      </c>
      <c r="R392" s="441">
        <f t="shared" si="72"/>
        <v>0</v>
      </c>
      <c r="S392" s="380">
        <f t="shared" si="73"/>
        <v>0</v>
      </c>
    </row>
    <row r="393" spans="1:19">
      <c r="A393" s="388"/>
      <c r="B393" s="389"/>
      <c r="C393" s="381">
        <f t="shared" si="64"/>
        <v>1</v>
      </c>
      <c r="D393" s="390"/>
      <c r="E393" s="381">
        <f t="shared" si="65"/>
        <v>1</v>
      </c>
      <c r="F393" s="390"/>
      <c r="G393" s="381">
        <f t="shared" si="66"/>
        <v>1</v>
      </c>
      <c r="H393" s="390"/>
      <c r="I393" s="381">
        <f t="shared" si="67"/>
        <v>1</v>
      </c>
      <c r="J393" s="390"/>
      <c r="K393" s="381">
        <f t="shared" si="68"/>
        <v>1</v>
      </c>
      <c r="L393" s="390"/>
      <c r="M393" s="381">
        <f t="shared" si="69"/>
        <v>1</v>
      </c>
      <c r="N393" s="390"/>
      <c r="O393" s="381">
        <f t="shared" si="70"/>
        <v>1</v>
      </c>
      <c r="P393" s="390"/>
      <c r="Q393" s="381">
        <f t="shared" si="71"/>
        <v>1</v>
      </c>
      <c r="R393" s="441">
        <f t="shared" si="72"/>
        <v>0</v>
      </c>
      <c r="S393" s="380">
        <f t="shared" si="73"/>
        <v>0</v>
      </c>
    </row>
    <row r="394" spans="1:19">
      <c r="A394" s="388"/>
      <c r="B394" s="389"/>
      <c r="C394" s="381">
        <f t="shared" si="64"/>
        <v>1</v>
      </c>
      <c r="D394" s="390"/>
      <c r="E394" s="381">
        <f t="shared" si="65"/>
        <v>1</v>
      </c>
      <c r="F394" s="390"/>
      <c r="G394" s="381">
        <f t="shared" si="66"/>
        <v>1</v>
      </c>
      <c r="H394" s="390"/>
      <c r="I394" s="381">
        <f t="shared" si="67"/>
        <v>1</v>
      </c>
      <c r="J394" s="390"/>
      <c r="K394" s="381">
        <f t="shared" si="68"/>
        <v>1</v>
      </c>
      <c r="L394" s="390"/>
      <c r="M394" s="381">
        <f t="shared" si="69"/>
        <v>1</v>
      </c>
      <c r="N394" s="390"/>
      <c r="O394" s="381">
        <f t="shared" si="70"/>
        <v>1</v>
      </c>
      <c r="P394" s="390"/>
      <c r="Q394" s="381">
        <f t="shared" si="71"/>
        <v>1</v>
      </c>
      <c r="R394" s="441">
        <f t="shared" si="72"/>
        <v>0</v>
      </c>
      <c r="S394" s="380">
        <f t="shared" si="73"/>
        <v>0</v>
      </c>
    </row>
    <row r="395" spans="1:19">
      <c r="A395" s="388"/>
      <c r="B395" s="389"/>
      <c r="C395" s="381">
        <f t="shared" si="64"/>
        <v>1</v>
      </c>
      <c r="D395" s="390"/>
      <c r="E395" s="381">
        <f t="shared" si="65"/>
        <v>1</v>
      </c>
      <c r="F395" s="390"/>
      <c r="G395" s="381">
        <f t="shared" si="66"/>
        <v>1</v>
      </c>
      <c r="H395" s="390"/>
      <c r="I395" s="381">
        <f t="shared" si="67"/>
        <v>1</v>
      </c>
      <c r="J395" s="390"/>
      <c r="K395" s="381">
        <f t="shared" si="68"/>
        <v>1</v>
      </c>
      <c r="L395" s="390"/>
      <c r="M395" s="381">
        <f t="shared" si="69"/>
        <v>1</v>
      </c>
      <c r="N395" s="390"/>
      <c r="O395" s="381">
        <f t="shared" si="70"/>
        <v>1</v>
      </c>
      <c r="P395" s="390"/>
      <c r="Q395" s="381">
        <f t="shared" si="71"/>
        <v>1</v>
      </c>
      <c r="R395" s="441">
        <f t="shared" si="72"/>
        <v>0</v>
      </c>
      <c r="S395" s="380">
        <f t="shared" si="73"/>
        <v>0</v>
      </c>
    </row>
    <row r="396" spans="1:19">
      <c r="A396" s="388"/>
      <c r="B396" s="389"/>
      <c r="C396" s="381">
        <f t="shared" si="64"/>
        <v>1</v>
      </c>
      <c r="D396" s="390"/>
      <c r="E396" s="381">
        <f t="shared" si="65"/>
        <v>1</v>
      </c>
      <c r="F396" s="390"/>
      <c r="G396" s="381">
        <f t="shared" si="66"/>
        <v>1</v>
      </c>
      <c r="H396" s="390"/>
      <c r="I396" s="381">
        <f t="shared" si="67"/>
        <v>1</v>
      </c>
      <c r="J396" s="390"/>
      <c r="K396" s="381">
        <f t="shared" si="68"/>
        <v>1</v>
      </c>
      <c r="L396" s="390"/>
      <c r="M396" s="381">
        <f t="shared" si="69"/>
        <v>1</v>
      </c>
      <c r="N396" s="390"/>
      <c r="O396" s="381">
        <f t="shared" si="70"/>
        <v>1</v>
      </c>
      <c r="P396" s="390"/>
      <c r="Q396" s="381">
        <f t="shared" si="71"/>
        <v>1</v>
      </c>
      <c r="R396" s="441">
        <f t="shared" si="72"/>
        <v>0</v>
      </c>
      <c r="S396" s="380">
        <f t="shared" si="73"/>
        <v>0</v>
      </c>
    </row>
    <row r="397" spans="1:19">
      <c r="A397" s="388"/>
      <c r="B397" s="389"/>
      <c r="C397" s="381">
        <f t="shared" si="64"/>
        <v>1</v>
      </c>
      <c r="D397" s="390"/>
      <c r="E397" s="381">
        <f t="shared" si="65"/>
        <v>1</v>
      </c>
      <c r="F397" s="390"/>
      <c r="G397" s="381">
        <f t="shared" si="66"/>
        <v>1</v>
      </c>
      <c r="H397" s="390"/>
      <c r="I397" s="381">
        <f t="shared" si="67"/>
        <v>1</v>
      </c>
      <c r="J397" s="390"/>
      <c r="K397" s="381">
        <f t="shared" si="68"/>
        <v>1</v>
      </c>
      <c r="L397" s="390"/>
      <c r="M397" s="381">
        <f t="shared" si="69"/>
        <v>1</v>
      </c>
      <c r="N397" s="390"/>
      <c r="O397" s="381">
        <f t="shared" si="70"/>
        <v>1</v>
      </c>
      <c r="P397" s="390"/>
      <c r="Q397" s="381">
        <f t="shared" si="71"/>
        <v>1</v>
      </c>
      <c r="R397" s="441">
        <f t="shared" si="72"/>
        <v>0</v>
      </c>
      <c r="S397" s="380">
        <f t="shared" si="73"/>
        <v>0</v>
      </c>
    </row>
    <row r="398" spans="1:19">
      <c r="A398" s="388"/>
      <c r="B398" s="389"/>
      <c r="C398" s="381">
        <f t="shared" si="64"/>
        <v>1</v>
      </c>
      <c r="D398" s="390"/>
      <c r="E398" s="381">
        <f t="shared" si="65"/>
        <v>1</v>
      </c>
      <c r="F398" s="390"/>
      <c r="G398" s="381">
        <f t="shared" si="66"/>
        <v>1</v>
      </c>
      <c r="H398" s="390"/>
      <c r="I398" s="381">
        <f t="shared" si="67"/>
        <v>1</v>
      </c>
      <c r="J398" s="390"/>
      <c r="K398" s="381">
        <f t="shared" si="68"/>
        <v>1</v>
      </c>
      <c r="L398" s="390"/>
      <c r="M398" s="381">
        <f t="shared" si="69"/>
        <v>1</v>
      </c>
      <c r="N398" s="390"/>
      <c r="O398" s="381">
        <f t="shared" si="70"/>
        <v>1</v>
      </c>
      <c r="P398" s="390"/>
      <c r="Q398" s="381">
        <f t="shared" si="71"/>
        <v>1</v>
      </c>
      <c r="R398" s="441">
        <f t="shared" si="72"/>
        <v>0</v>
      </c>
      <c r="S398" s="380">
        <f t="shared" si="73"/>
        <v>0</v>
      </c>
    </row>
    <row r="399" spans="1:19">
      <c r="A399" s="388"/>
      <c r="B399" s="389"/>
      <c r="C399" s="381">
        <f t="shared" si="64"/>
        <v>1</v>
      </c>
      <c r="D399" s="390"/>
      <c r="E399" s="381">
        <f t="shared" si="65"/>
        <v>1</v>
      </c>
      <c r="F399" s="390"/>
      <c r="G399" s="381">
        <f t="shared" si="66"/>
        <v>1</v>
      </c>
      <c r="H399" s="390"/>
      <c r="I399" s="381">
        <f t="shared" si="67"/>
        <v>1</v>
      </c>
      <c r="J399" s="390"/>
      <c r="K399" s="381">
        <f t="shared" si="68"/>
        <v>1</v>
      </c>
      <c r="L399" s="390"/>
      <c r="M399" s="381">
        <f t="shared" si="69"/>
        <v>1</v>
      </c>
      <c r="N399" s="390"/>
      <c r="O399" s="381">
        <f t="shared" si="70"/>
        <v>1</v>
      </c>
      <c r="P399" s="390"/>
      <c r="Q399" s="381">
        <f t="shared" si="71"/>
        <v>1</v>
      </c>
      <c r="R399" s="441">
        <f t="shared" si="72"/>
        <v>0</v>
      </c>
      <c r="S399" s="380">
        <f t="shared" si="73"/>
        <v>0</v>
      </c>
    </row>
    <row r="400" spans="1:19">
      <c r="A400" s="388"/>
      <c r="B400" s="389"/>
      <c r="C400" s="381">
        <f t="shared" si="64"/>
        <v>1</v>
      </c>
      <c r="D400" s="390"/>
      <c r="E400" s="381">
        <f t="shared" si="65"/>
        <v>1</v>
      </c>
      <c r="F400" s="390"/>
      <c r="G400" s="381">
        <f t="shared" si="66"/>
        <v>1</v>
      </c>
      <c r="H400" s="390"/>
      <c r="I400" s="381">
        <f t="shared" si="67"/>
        <v>1</v>
      </c>
      <c r="J400" s="390"/>
      <c r="K400" s="381">
        <f t="shared" si="68"/>
        <v>1</v>
      </c>
      <c r="L400" s="390"/>
      <c r="M400" s="381">
        <f t="shared" si="69"/>
        <v>1</v>
      </c>
      <c r="N400" s="390"/>
      <c r="O400" s="381">
        <f t="shared" si="70"/>
        <v>1</v>
      </c>
      <c r="P400" s="390"/>
      <c r="Q400" s="381">
        <f t="shared" si="71"/>
        <v>1</v>
      </c>
      <c r="R400" s="441">
        <f t="shared" si="72"/>
        <v>0</v>
      </c>
      <c r="S400" s="380">
        <f t="shared" si="73"/>
        <v>0</v>
      </c>
    </row>
    <row r="401" spans="1:19">
      <c r="A401" s="388"/>
      <c r="B401" s="389"/>
      <c r="C401" s="381">
        <f t="shared" si="64"/>
        <v>1</v>
      </c>
      <c r="D401" s="390"/>
      <c r="E401" s="381">
        <f t="shared" si="65"/>
        <v>1</v>
      </c>
      <c r="F401" s="390"/>
      <c r="G401" s="381">
        <f t="shared" si="66"/>
        <v>1</v>
      </c>
      <c r="H401" s="390"/>
      <c r="I401" s="381">
        <f t="shared" si="67"/>
        <v>1</v>
      </c>
      <c r="J401" s="390"/>
      <c r="K401" s="381">
        <f t="shared" si="68"/>
        <v>1</v>
      </c>
      <c r="L401" s="390"/>
      <c r="M401" s="381">
        <f t="shared" si="69"/>
        <v>1</v>
      </c>
      <c r="N401" s="390"/>
      <c r="O401" s="381">
        <f t="shared" si="70"/>
        <v>1</v>
      </c>
      <c r="P401" s="390"/>
      <c r="Q401" s="381">
        <f t="shared" si="71"/>
        <v>1</v>
      </c>
      <c r="R401" s="441">
        <f t="shared" si="72"/>
        <v>0</v>
      </c>
      <c r="S401" s="380">
        <f t="shared" si="73"/>
        <v>0</v>
      </c>
    </row>
    <row r="402" spans="1:19">
      <c r="A402" s="388"/>
      <c r="B402" s="389"/>
      <c r="C402" s="381">
        <f t="shared" si="64"/>
        <v>1</v>
      </c>
      <c r="D402" s="390"/>
      <c r="E402" s="381">
        <f t="shared" si="65"/>
        <v>1</v>
      </c>
      <c r="F402" s="390"/>
      <c r="G402" s="381">
        <f t="shared" si="66"/>
        <v>1</v>
      </c>
      <c r="H402" s="390"/>
      <c r="I402" s="381">
        <f t="shared" si="67"/>
        <v>1</v>
      </c>
      <c r="J402" s="390"/>
      <c r="K402" s="381">
        <f t="shared" si="68"/>
        <v>1</v>
      </c>
      <c r="L402" s="390"/>
      <c r="M402" s="381">
        <f t="shared" si="69"/>
        <v>1</v>
      </c>
      <c r="N402" s="390"/>
      <c r="O402" s="381">
        <f t="shared" si="70"/>
        <v>1</v>
      </c>
      <c r="P402" s="390"/>
      <c r="Q402" s="381">
        <f t="shared" si="71"/>
        <v>1</v>
      </c>
      <c r="R402" s="441">
        <f t="shared" si="72"/>
        <v>0</v>
      </c>
      <c r="S402" s="380">
        <f t="shared" si="73"/>
        <v>0</v>
      </c>
    </row>
    <row r="403" spans="1:19">
      <c r="A403" s="388"/>
      <c r="B403" s="389"/>
      <c r="C403" s="381">
        <f t="shared" si="64"/>
        <v>1</v>
      </c>
      <c r="D403" s="390"/>
      <c r="E403" s="381">
        <f t="shared" si="65"/>
        <v>1</v>
      </c>
      <c r="F403" s="390"/>
      <c r="G403" s="381">
        <f t="shared" si="66"/>
        <v>1</v>
      </c>
      <c r="H403" s="390"/>
      <c r="I403" s="381">
        <f t="shared" si="67"/>
        <v>1</v>
      </c>
      <c r="J403" s="390"/>
      <c r="K403" s="381">
        <f t="shared" si="68"/>
        <v>1</v>
      </c>
      <c r="L403" s="390"/>
      <c r="M403" s="381">
        <f t="shared" si="69"/>
        <v>1</v>
      </c>
      <c r="N403" s="390"/>
      <c r="O403" s="381">
        <f t="shared" si="70"/>
        <v>1</v>
      </c>
      <c r="P403" s="390"/>
      <c r="Q403" s="381">
        <f t="shared" si="71"/>
        <v>1</v>
      </c>
      <c r="R403" s="441">
        <f t="shared" si="72"/>
        <v>0</v>
      </c>
      <c r="S403" s="380">
        <f t="shared" si="73"/>
        <v>0</v>
      </c>
    </row>
    <row r="404" spans="1:19">
      <c r="A404" s="388"/>
      <c r="B404" s="389"/>
      <c r="C404" s="381">
        <f t="shared" si="64"/>
        <v>1</v>
      </c>
      <c r="D404" s="390"/>
      <c r="E404" s="381">
        <f t="shared" si="65"/>
        <v>1</v>
      </c>
      <c r="F404" s="390"/>
      <c r="G404" s="381">
        <f t="shared" si="66"/>
        <v>1</v>
      </c>
      <c r="H404" s="390"/>
      <c r="I404" s="381">
        <f t="shared" si="67"/>
        <v>1</v>
      </c>
      <c r="J404" s="390"/>
      <c r="K404" s="381">
        <f t="shared" si="68"/>
        <v>1</v>
      </c>
      <c r="L404" s="390"/>
      <c r="M404" s="381">
        <f t="shared" si="69"/>
        <v>1</v>
      </c>
      <c r="N404" s="390"/>
      <c r="O404" s="381">
        <f t="shared" si="70"/>
        <v>1</v>
      </c>
      <c r="P404" s="390"/>
      <c r="Q404" s="381">
        <f t="shared" si="71"/>
        <v>1</v>
      </c>
      <c r="R404" s="441">
        <f t="shared" si="72"/>
        <v>0</v>
      </c>
      <c r="S404" s="380">
        <f t="shared" si="73"/>
        <v>0</v>
      </c>
    </row>
    <row r="405" spans="1:19">
      <c r="A405" s="388"/>
      <c r="B405" s="389"/>
      <c r="C405" s="381">
        <f t="shared" si="64"/>
        <v>1</v>
      </c>
      <c r="D405" s="390"/>
      <c r="E405" s="381">
        <f t="shared" si="65"/>
        <v>1</v>
      </c>
      <c r="F405" s="390"/>
      <c r="G405" s="381">
        <f t="shared" si="66"/>
        <v>1</v>
      </c>
      <c r="H405" s="390"/>
      <c r="I405" s="381">
        <f t="shared" si="67"/>
        <v>1</v>
      </c>
      <c r="J405" s="390"/>
      <c r="K405" s="381">
        <f t="shared" si="68"/>
        <v>1</v>
      </c>
      <c r="L405" s="390"/>
      <c r="M405" s="381">
        <f t="shared" si="69"/>
        <v>1</v>
      </c>
      <c r="N405" s="390"/>
      <c r="O405" s="381">
        <f t="shared" si="70"/>
        <v>1</v>
      </c>
      <c r="P405" s="390"/>
      <c r="Q405" s="381">
        <f t="shared" si="71"/>
        <v>1</v>
      </c>
      <c r="R405" s="441">
        <f t="shared" si="72"/>
        <v>0</v>
      </c>
      <c r="S405" s="380">
        <f t="shared" si="73"/>
        <v>0</v>
      </c>
    </row>
    <row r="406" spans="1:19">
      <c r="A406" s="388"/>
      <c r="B406" s="389"/>
      <c r="C406" s="381">
        <f t="shared" si="64"/>
        <v>1</v>
      </c>
      <c r="D406" s="390"/>
      <c r="E406" s="381">
        <f t="shared" si="65"/>
        <v>1</v>
      </c>
      <c r="F406" s="390"/>
      <c r="G406" s="381">
        <f t="shared" si="66"/>
        <v>1</v>
      </c>
      <c r="H406" s="390"/>
      <c r="I406" s="381">
        <f t="shared" si="67"/>
        <v>1</v>
      </c>
      <c r="J406" s="390"/>
      <c r="K406" s="381">
        <f t="shared" si="68"/>
        <v>1</v>
      </c>
      <c r="L406" s="390"/>
      <c r="M406" s="381">
        <f t="shared" si="69"/>
        <v>1</v>
      </c>
      <c r="N406" s="390"/>
      <c r="O406" s="381">
        <f t="shared" si="70"/>
        <v>1</v>
      </c>
      <c r="P406" s="390"/>
      <c r="Q406" s="381">
        <f t="shared" si="71"/>
        <v>1</v>
      </c>
      <c r="R406" s="441">
        <f t="shared" si="72"/>
        <v>0</v>
      </c>
      <c r="S406" s="380">
        <f t="shared" si="73"/>
        <v>0</v>
      </c>
    </row>
    <row r="407" spans="1:19">
      <c r="A407" s="388"/>
      <c r="B407" s="389"/>
      <c r="C407" s="381">
        <f t="shared" si="64"/>
        <v>1</v>
      </c>
      <c r="D407" s="390"/>
      <c r="E407" s="381">
        <f t="shared" si="65"/>
        <v>1</v>
      </c>
      <c r="F407" s="390"/>
      <c r="G407" s="381">
        <f t="shared" si="66"/>
        <v>1</v>
      </c>
      <c r="H407" s="390"/>
      <c r="I407" s="381">
        <f t="shared" si="67"/>
        <v>1</v>
      </c>
      <c r="J407" s="390"/>
      <c r="K407" s="381">
        <f t="shared" si="68"/>
        <v>1</v>
      </c>
      <c r="L407" s="390"/>
      <c r="M407" s="381">
        <f t="shared" si="69"/>
        <v>1</v>
      </c>
      <c r="N407" s="390"/>
      <c r="O407" s="381">
        <f t="shared" si="70"/>
        <v>1</v>
      </c>
      <c r="P407" s="390"/>
      <c r="Q407" s="381">
        <f t="shared" si="71"/>
        <v>1</v>
      </c>
      <c r="R407" s="441">
        <f t="shared" si="72"/>
        <v>0</v>
      </c>
      <c r="S407" s="380">
        <f t="shared" si="73"/>
        <v>0</v>
      </c>
    </row>
    <row r="408" spans="1:19">
      <c r="A408" s="388"/>
      <c r="B408" s="389"/>
      <c r="C408" s="381">
        <f t="shared" si="64"/>
        <v>1</v>
      </c>
      <c r="D408" s="390"/>
      <c r="E408" s="381">
        <f t="shared" si="65"/>
        <v>1</v>
      </c>
      <c r="F408" s="390"/>
      <c r="G408" s="381">
        <f t="shared" si="66"/>
        <v>1</v>
      </c>
      <c r="H408" s="390"/>
      <c r="I408" s="381">
        <f t="shared" si="67"/>
        <v>1</v>
      </c>
      <c r="J408" s="390"/>
      <c r="K408" s="381">
        <f t="shared" si="68"/>
        <v>1</v>
      </c>
      <c r="L408" s="390"/>
      <c r="M408" s="381">
        <f t="shared" si="69"/>
        <v>1</v>
      </c>
      <c r="N408" s="390"/>
      <c r="O408" s="381">
        <f t="shared" si="70"/>
        <v>1</v>
      </c>
      <c r="P408" s="390"/>
      <c r="Q408" s="381">
        <f t="shared" si="71"/>
        <v>1</v>
      </c>
      <c r="R408" s="441">
        <f t="shared" si="72"/>
        <v>0</v>
      </c>
      <c r="S408" s="380">
        <f t="shared" si="73"/>
        <v>0</v>
      </c>
    </row>
    <row r="409" spans="1:19">
      <c r="A409" s="388"/>
      <c r="B409" s="389"/>
      <c r="C409" s="381">
        <f t="shared" si="64"/>
        <v>1</v>
      </c>
      <c r="D409" s="390"/>
      <c r="E409" s="381">
        <f t="shared" si="65"/>
        <v>1</v>
      </c>
      <c r="F409" s="390"/>
      <c r="G409" s="381">
        <f t="shared" si="66"/>
        <v>1</v>
      </c>
      <c r="H409" s="390"/>
      <c r="I409" s="381">
        <f t="shared" si="67"/>
        <v>1</v>
      </c>
      <c r="J409" s="390"/>
      <c r="K409" s="381">
        <f t="shared" si="68"/>
        <v>1</v>
      </c>
      <c r="L409" s="390"/>
      <c r="M409" s="381">
        <f t="shared" si="69"/>
        <v>1</v>
      </c>
      <c r="N409" s="390"/>
      <c r="O409" s="381">
        <f t="shared" si="70"/>
        <v>1</v>
      </c>
      <c r="P409" s="390"/>
      <c r="Q409" s="381">
        <f t="shared" si="71"/>
        <v>1</v>
      </c>
      <c r="R409" s="441">
        <f t="shared" si="72"/>
        <v>0</v>
      </c>
      <c r="S409" s="380">
        <f t="shared" si="73"/>
        <v>0</v>
      </c>
    </row>
    <row r="410" spans="1:19">
      <c r="A410" s="388"/>
      <c r="B410" s="389"/>
      <c r="C410" s="381">
        <f t="shared" ref="C410:C473" si="74">IF(B410="",1,(LOOKUP(B410,$3:$3,$4:$4)-LOOKUP($B$24,$3:$3,$4:$4)+100)/100)</f>
        <v>1</v>
      </c>
      <c r="D410" s="390"/>
      <c r="E410" s="381">
        <f t="shared" ref="E410:E473" si="75">(SUMIF($5:$5,D410,$6:$6)-SUMIF($5:$5,$D$24,$6:$6)+100)/100</f>
        <v>1</v>
      </c>
      <c r="F410" s="390"/>
      <c r="G410" s="381">
        <f t="shared" ref="G410:G473" si="76">(SUMIF($7:$7,F410,$8:$8)-SUMIF($7:$7,$F$24,$8:$8)+100)/100</f>
        <v>1</v>
      </c>
      <c r="H410" s="390"/>
      <c r="I410" s="381">
        <f t="shared" ref="I410:I473" si="77">(SUMIF($9:$9,H410,$10:$10)-SUMIF($9:$9,$H$24,$10:$10)+100)/100</f>
        <v>1</v>
      </c>
      <c r="J410" s="390"/>
      <c r="K410" s="381">
        <f t="shared" ref="K410:K473" si="78">(SUMIF($11:$11,J410,$12:$12)-SUMIF($11:$11,$J$24,$12:$12)+100)/100</f>
        <v>1</v>
      </c>
      <c r="L410" s="390"/>
      <c r="M410" s="381">
        <f t="shared" ref="M410:M473" si="79">(SUMIF($13:$13,L410,$14:$14)-SUMIF($13:$13,$L$24,$14:$14)+100)/100</f>
        <v>1</v>
      </c>
      <c r="N410" s="390"/>
      <c r="O410" s="381">
        <f t="shared" ref="O410:O473" si="80">(SUMIF($15:$15,N410,$16:$16)-SUMIF($15:$15,$N$24,$16:$16)+100)/100</f>
        <v>1</v>
      </c>
      <c r="P410" s="390"/>
      <c r="Q410" s="381">
        <f t="shared" ref="Q410:Q473" si="81">(SUMIF($17:$17,P410,$18:$18)-SUMIF($17:$17,$P$24,$18:$18)+100)/100</f>
        <v>1</v>
      </c>
      <c r="R410" s="441">
        <f t="shared" ref="R410:R473" si="82">IF(B410="",0,ROUND($R$24*C410*E410*G410*I410*K410*M410*O410*Q410,0))</f>
        <v>0</v>
      </c>
      <c r="S410" s="380">
        <f t="shared" si="73"/>
        <v>0</v>
      </c>
    </row>
    <row r="411" spans="1:19">
      <c r="A411" s="388"/>
      <c r="B411" s="389"/>
      <c r="C411" s="381">
        <f t="shared" si="74"/>
        <v>1</v>
      </c>
      <c r="D411" s="390"/>
      <c r="E411" s="381">
        <f t="shared" si="75"/>
        <v>1</v>
      </c>
      <c r="F411" s="390"/>
      <c r="G411" s="381">
        <f t="shared" si="76"/>
        <v>1</v>
      </c>
      <c r="H411" s="390"/>
      <c r="I411" s="381">
        <f t="shared" si="77"/>
        <v>1</v>
      </c>
      <c r="J411" s="390"/>
      <c r="K411" s="381">
        <f t="shared" si="78"/>
        <v>1</v>
      </c>
      <c r="L411" s="390"/>
      <c r="M411" s="381">
        <f t="shared" si="79"/>
        <v>1</v>
      </c>
      <c r="N411" s="390"/>
      <c r="O411" s="381">
        <f t="shared" si="80"/>
        <v>1</v>
      </c>
      <c r="P411" s="390"/>
      <c r="Q411" s="381">
        <f t="shared" si="81"/>
        <v>1</v>
      </c>
      <c r="R411" s="441">
        <f t="shared" si="82"/>
        <v>0</v>
      </c>
      <c r="S411" s="380">
        <f t="shared" si="73"/>
        <v>0</v>
      </c>
    </row>
    <row r="412" spans="1:19">
      <c r="A412" s="388"/>
      <c r="B412" s="389"/>
      <c r="C412" s="381">
        <f t="shared" si="74"/>
        <v>1</v>
      </c>
      <c r="D412" s="390"/>
      <c r="E412" s="381">
        <f t="shared" si="75"/>
        <v>1</v>
      </c>
      <c r="F412" s="390"/>
      <c r="G412" s="381">
        <f t="shared" si="76"/>
        <v>1</v>
      </c>
      <c r="H412" s="390"/>
      <c r="I412" s="381">
        <f t="shared" si="77"/>
        <v>1</v>
      </c>
      <c r="J412" s="390"/>
      <c r="K412" s="381">
        <f t="shared" si="78"/>
        <v>1</v>
      </c>
      <c r="L412" s="390"/>
      <c r="M412" s="381">
        <f t="shared" si="79"/>
        <v>1</v>
      </c>
      <c r="N412" s="390"/>
      <c r="O412" s="381">
        <f t="shared" si="80"/>
        <v>1</v>
      </c>
      <c r="P412" s="390"/>
      <c r="Q412" s="381">
        <f t="shared" si="81"/>
        <v>1</v>
      </c>
      <c r="R412" s="441">
        <f t="shared" si="82"/>
        <v>0</v>
      </c>
      <c r="S412" s="380">
        <f t="shared" si="73"/>
        <v>0</v>
      </c>
    </row>
    <row r="413" spans="1:19">
      <c r="A413" s="388"/>
      <c r="B413" s="389"/>
      <c r="C413" s="381">
        <f t="shared" si="74"/>
        <v>1</v>
      </c>
      <c r="D413" s="390"/>
      <c r="E413" s="381">
        <f t="shared" si="75"/>
        <v>1</v>
      </c>
      <c r="F413" s="390"/>
      <c r="G413" s="381">
        <f t="shared" si="76"/>
        <v>1</v>
      </c>
      <c r="H413" s="390"/>
      <c r="I413" s="381">
        <f t="shared" si="77"/>
        <v>1</v>
      </c>
      <c r="J413" s="390"/>
      <c r="K413" s="381">
        <f t="shared" si="78"/>
        <v>1</v>
      </c>
      <c r="L413" s="390"/>
      <c r="M413" s="381">
        <f t="shared" si="79"/>
        <v>1</v>
      </c>
      <c r="N413" s="390"/>
      <c r="O413" s="381">
        <f t="shared" si="80"/>
        <v>1</v>
      </c>
      <c r="P413" s="390"/>
      <c r="Q413" s="381">
        <f t="shared" si="81"/>
        <v>1</v>
      </c>
      <c r="R413" s="441">
        <f t="shared" si="82"/>
        <v>0</v>
      </c>
      <c r="S413" s="380">
        <f t="shared" si="73"/>
        <v>0</v>
      </c>
    </row>
    <row r="414" spans="1:19">
      <c r="A414" s="388"/>
      <c r="B414" s="389"/>
      <c r="C414" s="381">
        <f t="shared" si="74"/>
        <v>1</v>
      </c>
      <c r="D414" s="390"/>
      <c r="E414" s="381">
        <f t="shared" si="75"/>
        <v>1</v>
      </c>
      <c r="F414" s="390"/>
      <c r="G414" s="381">
        <f t="shared" si="76"/>
        <v>1</v>
      </c>
      <c r="H414" s="390"/>
      <c r="I414" s="381">
        <f t="shared" si="77"/>
        <v>1</v>
      </c>
      <c r="J414" s="390"/>
      <c r="K414" s="381">
        <f t="shared" si="78"/>
        <v>1</v>
      </c>
      <c r="L414" s="390"/>
      <c r="M414" s="381">
        <f t="shared" si="79"/>
        <v>1</v>
      </c>
      <c r="N414" s="390"/>
      <c r="O414" s="381">
        <f t="shared" si="80"/>
        <v>1</v>
      </c>
      <c r="P414" s="390"/>
      <c r="Q414" s="381">
        <f t="shared" si="81"/>
        <v>1</v>
      </c>
      <c r="R414" s="441">
        <f t="shared" si="82"/>
        <v>0</v>
      </c>
      <c r="S414" s="380">
        <f t="shared" si="73"/>
        <v>0</v>
      </c>
    </row>
    <row r="415" spans="1:19">
      <c r="A415" s="388"/>
      <c r="B415" s="389"/>
      <c r="C415" s="381">
        <f t="shared" si="74"/>
        <v>1</v>
      </c>
      <c r="D415" s="390"/>
      <c r="E415" s="381">
        <f t="shared" si="75"/>
        <v>1</v>
      </c>
      <c r="F415" s="390"/>
      <c r="G415" s="381">
        <f t="shared" si="76"/>
        <v>1</v>
      </c>
      <c r="H415" s="390"/>
      <c r="I415" s="381">
        <f t="shared" si="77"/>
        <v>1</v>
      </c>
      <c r="J415" s="390"/>
      <c r="K415" s="381">
        <f t="shared" si="78"/>
        <v>1</v>
      </c>
      <c r="L415" s="390"/>
      <c r="M415" s="381">
        <f t="shared" si="79"/>
        <v>1</v>
      </c>
      <c r="N415" s="390"/>
      <c r="O415" s="381">
        <f t="shared" si="80"/>
        <v>1</v>
      </c>
      <c r="P415" s="390"/>
      <c r="Q415" s="381">
        <f t="shared" si="81"/>
        <v>1</v>
      </c>
      <c r="R415" s="441">
        <f t="shared" si="82"/>
        <v>0</v>
      </c>
      <c r="S415" s="380">
        <f t="shared" si="73"/>
        <v>0</v>
      </c>
    </row>
    <row r="416" spans="1:19">
      <c r="A416" s="388"/>
      <c r="B416" s="389"/>
      <c r="C416" s="381">
        <f t="shared" si="74"/>
        <v>1</v>
      </c>
      <c r="D416" s="390"/>
      <c r="E416" s="381">
        <f t="shared" si="75"/>
        <v>1</v>
      </c>
      <c r="F416" s="390"/>
      <c r="G416" s="381">
        <f t="shared" si="76"/>
        <v>1</v>
      </c>
      <c r="H416" s="390"/>
      <c r="I416" s="381">
        <f t="shared" si="77"/>
        <v>1</v>
      </c>
      <c r="J416" s="390"/>
      <c r="K416" s="381">
        <f t="shared" si="78"/>
        <v>1</v>
      </c>
      <c r="L416" s="390"/>
      <c r="M416" s="381">
        <f t="shared" si="79"/>
        <v>1</v>
      </c>
      <c r="N416" s="390"/>
      <c r="O416" s="381">
        <f t="shared" si="80"/>
        <v>1</v>
      </c>
      <c r="P416" s="390"/>
      <c r="Q416" s="381">
        <f t="shared" si="81"/>
        <v>1</v>
      </c>
      <c r="R416" s="441">
        <f t="shared" si="82"/>
        <v>0</v>
      </c>
      <c r="S416" s="380">
        <f t="shared" si="73"/>
        <v>0</v>
      </c>
    </row>
    <row r="417" spans="1:19">
      <c r="A417" s="388"/>
      <c r="B417" s="389"/>
      <c r="C417" s="381">
        <f t="shared" si="74"/>
        <v>1</v>
      </c>
      <c r="D417" s="390"/>
      <c r="E417" s="381">
        <f t="shared" si="75"/>
        <v>1</v>
      </c>
      <c r="F417" s="390"/>
      <c r="G417" s="381">
        <f t="shared" si="76"/>
        <v>1</v>
      </c>
      <c r="H417" s="390"/>
      <c r="I417" s="381">
        <f t="shared" si="77"/>
        <v>1</v>
      </c>
      <c r="J417" s="390"/>
      <c r="K417" s="381">
        <f t="shared" si="78"/>
        <v>1</v>
      </c>
      <c r="L417" s="390"/>
      <c r="M417" s="381">
        <f t="shared" si="79"/>
        <v>1</v>
      </c>
      <c r="N417" s="390"/>
      <c r="O417" s="381">
        <f t="shared" si="80"/>
        <v>1</v>
      </c>
      <c r="P417" s="390"/>
      <c r="Q417" s="381">
        <f t="shared" si="81"/>
        <v>1</v>
      </c>
      <c r="R417" s="441">
        <f t="shared" si="82"/>
        <v>0</v>
      </c>
      <c r="S417" s="380">
        <f t="shared" si="73"/>
        <v>0</v>
      </c>
    </row>
    <row r="418" spans="1:19">
      <c r="A418" s="388"/>
      <c r="B418" s="389"/>
      <c r="C418" s="381">
        <f t="shared" si="74"/>
        <v>1</v>
      </c>
      <c r="D418" s="390"/>
      <c r="E418" s="381">
        <f t="shared" si="75"/>
        <v>1</v>
      </c>
      <c r="F418" s="390"/>
      <c r="G418" s="381">
        <f t="shared" si="76"/>
        <v>1</v>
      </c>
      <c r="H418" s="390"/>
      <c r="I418" s="381">
        <f t="shared" si="77"/>
        <v>1</v>
      </c>
      <c r="J418" s="390"/>
      <c r="K418" s="381">
        <f t="shared" si="78"/>
        <v>1</v>
      </c>
      <c r="L418" s="390"/>
      <c r="M418" s="381">
        <f t="shared" si="79"/>
        <v>1</v>
      </c>
      <c r="N418" s="390"/>
      <c r="O418" s="381">
        <f t="shared" si="80"/>
        <v>1</v>
      </c>
      <c r="P418" s="390"/>
      <c r="Q418" s="381">
        <f t="shared" si="81"/>
        <v>1</v>
      </c>
      <c r="R418" s="441">
        <f t="shared" si="82"/>
        <v>0</v>
      </c>
      <c r="S418" s="380">
        <f t="shared" si="73"/>
        <v>0</v>
      </c>
    </row>
    <row r="419" spans="1:19">
      <c r="A419" s="388"/>
      <c r="B419" s="389"/>
      <c r="C419" s="381">
        <f t="shared" si="74"/>
        <v>1</v>
      </c>
      <c r="D419" s="390"/>
      <c r="E419" s="381">
        <f t="shared" si="75"/>
        <v>1</v>
      </c>
      <c r="F419" s="390"/>
      <c r="G419" s="381">
        <f t="shared" si="76"/>
        <v>1</v>
      </c>
      <c r="H419" s="390"/>
      <c r="I419" s="381">
        <f t="shared" si="77"/>
        <v>1</v>
      </c>
      <c r="J419" s="390"/>
      <c r="K419" s="381">
        <f t="shared" si="78"/>
        <v>1</v>
      </c>
      <c r="L419" s="390"/>
      <c r="M419" s="381">
        <f t="shared" si="79"/>
        <v>1</v>
      </c>
      <c r="N419" s="390"/>
      <c r="O419" s="381">
        <f t="shared" si="80"/>
        <v>1</v>
      </c>
      <c r="P419" s="390"/>
      <c r="Q419" s="381">
        <f t="shared" si="81"/>
        <v>1</v>
      </c>
      <c r="R419" s="441">
        <f t="shared" si="82"/>
        <v>0</v>
      </c>
      <c r="S419" s="380">
        <f t="shared" si="73"/>
        <v>0</v>
      </c>
    </row>
    <row r="420" spans="1:19">
      <c r="A420" s="388"/>
      <c r="B420" s="389"/>
      <c r="C420" s="381">
        <f t="shared" si="74"/>
        <v>1</v>
      </c>
      <c r="D420" s="390"/>
      <c r="E420" s="381">
        <f t="shared" si="75"/>
        <v>1</v>
      </c>
      <c r="F420" s="390"/>
      <c r="G420" s="381">
        <f t="shared" si="76"/>
        <v>1</v>
      </c>
      <c r="H420" s="390"/>
      <c r="I420" s="381">
        <f t="shared" si="77"/>
        <v>1</v>
      </c>
      <c r="J420" s="390"/>
      <c r="K420" s="381">
        <f t="shared" si="78"/>
        <v>1</v>
      </c>
      <c r="L420" s="390"/>
      <c r="M420" s="381">
        <f t="shared" si="79"/>
        <v>1</v>
      </c>
      <c r="N420" s="390"/>
      <c r="O420" s="381">
        <f t="shared" si="80"/>
        <v>1</v>
      </c>
      <c r="P420" s="390"/>
      <c r="Q420" s="381">
        <f t="shared" si="81"/>
        <v>1</v>
      </c>
      <c r="R420" s="441">
        <f t="shared" si="82"/>
        <v>0</v>
      </c>
      <c r="S420" s="380">
        <f t="shared" si="73"/>
        <v>0</v>
      </c>
    </row>
    <row r="421" spans="1:19">
      <c r="A421" s="388"/>
      <c r="B421" s="389"/>
      <c r="C421" s="381">
        <f t="shared" si="74"/>
        <v>1</v>
      </c>
      <c r="D421" s="390"/>
      <c r="E421" s="381">
        <f t="shared" si="75"/>
        <v>1</v>
      </c>
      <c r="F421" s="390"/>
      <c r="G421" s="381">
        <f t="shared" si="76"/>
        <v>1</v>
      </c>
      <c r="H421" s="390"/>
      <c r="I421" s="381">
        <f t="shared" si="77"/>
        <v>1</v>
      </c>
      <c r="J421" s="390"/>
      <c r="K421" s="381">
        <f t="shared" si="78"/>
        <v>1</v>
      </c>
      <c r="L421" s="390"/>
      <c r="M421" s="381">
        <f t="shared" si="79"/>
        <v>1</v>
      </c>
      <c r="N421" s="390"/>
      <c r="O421" s="381">
        <f t="shared" si="80"/>
        <v>1</v>
      </c>
      <c r="P421" s="390"/>
      <c r="Q421" s="381">
        <f t="shared" si="81"/>
        <v>1</v>
      </c>
      <c r="R421" s="441">
        <f t="shared" si="82"/>
        <v>0</v>
      </c>
      <c r="S421" s="380">
        <f t="shared" si="73"/>
        <v>0</v>
      </c>
    </row>
    <row r="422" spans="1:19">
      <c r="A422" s="388"/>
      <c r="B422" s="389"/>
      <c r="C422" s="381">
        <f t="shared" si="74"/>
        <v>1</v>
      </c>
      <c r="D422" s="390"/>
      <c r="E422" s="381">
        <f t="shared" si="75"/>
        <v>1</v>
      </c>
      <c r="F422" s="390"/>
      <c r="G422" s="381">
        <f t="shared" si="76"/>
        <v>1</v>
      </c>
      <c r="H422" s="390"/>
      <c r="I422" s="381">
        <f t="shared" si="77"/>
        <v>1</v>
      </c>
      <c r="J422" s="390"/>
      <c r="K422" s="381">
        <f t="shared" si="78"/>
        <v>1</v>
      </c>
      <c r="L422" s="390"/>
      <c r="M422" s="381">
        <f t="shared" si="79"/>
        <v>1</v>
      </c>
      <c r="N422" s="390"/>
      <c r="O422" s="381">
        <f t="shared" si="80"/>
        <v>1</v>
      </c>
      <c r="P422" s="390"/>
      <c r="Q422" s="381">
        <f t="shared" si="81"/>
        <v>1</v>
      </c>
      <c r="R422" s="441">
        <f t="shared" si="82"/>
        <v>0</v>
      </c>
      <c r="S422" s="380">
        <f t="shared" si="73"/>
        <v>0</v>
      </c>
    </row>
    <row r="423" spans="1:19">
      <c r="A423" s="388"/>
      <c r="B423" s="389"/>
      <c r="C423" s="381">
        <f t="shared" si="74"/>
        <v>1</v>
      </c>
      <c r="D423" s="390"/>
      <c r="E423" s="381">
        <f t="shared" si="75"/>
        <v>1</v>
      </c>
      <c r="F423" s="390"/>
      <c r="G423" s="381">
        <f t="shared" si="76"/>
        <v>1</v>
      </c>
      <c r="H423" s="390"/>
      <c r="I423" s="381">
        <f t="shared" si="77"/>
        <v>1</v>
      </c>
      <c r="J423" s="390"/>
      <c r="K423" s="381">
        <f t="shared" si="78"/>
        <v>1</v>
      </c>
      <c r="L423" s="390"/>
      <c r="M423" s="381">
        <f t="shared" si="79"/>
        <v>1</v>
      </c>
      <c r="N423" s="390"/>
      <c r="O423" s="381">
        <f t="shared" si="80"/>
        <v>1</v>
      </c>
      <c r="P423" s="390"/>
      <c r="Q423" s="381">
        <f t="shared" si="81"/>
        <v>1</v>
      </c>
      <c r="R423" s="441">
        <f t="shared" si="82"/>
        <v>0</v>
      </c>
      <c r="S423" s="380">
        <f t="shared" ref="S423:S467" si="83">ROUND(R423*B423/10000,0)</f>
        <v>0</v>
      </c>
    </row>
    <row r="424" spans="1:19">
      <c r="A424" s="388"/>
      <c r="B424" s="389"/>
      <c r="C424" s="381">
        <f t="shared" si="74"/>
        <v>1</v>
      </c>
      <c r="D424" s="390"/>
      <c r="E424" s="381">
        <f t="shared" si="75"/>
        <v>1</v>
      </c>
      <c r="F424" s="390"/>
      <c r="G424" s="381">
        <f t="shared" si="76"/>
        <v>1</v>
      </c>
      <c r="H424" s="390"/>
      <c r="I424" s="381">
        <f t="shared" si="77"/>
        <v>1</v>
      </c>
      <c r="J424" s="390"/>
      <c r="K424" s="381">
        <f t="shared" si="78"/>
        <v>1</v>
      </c>
      <c r="L424" s="390"/>
      <c r="M424" s="381">
        <f t="shared" si="79"/>
        <v>1</v>
      </c>
      <c r="N424" s="390"/>
      <c r="O424" s="381">
        <f t="shared" si="80"/>
        <v>1</v>
      </c>
      <c r="P424" s="390"/>
      <c r="Q424" s="381">
        <f t="shared" si="81"/>
        <v>1</v>
      </c>
      <c r="R424" s="441">
        <f t="shared" si="82"/>
        <v>0</v>
      </c>
      <c r="S424" s="380">
        <f t="shared" si="83"/>
        <v>0</v>
      </c>
    </row>
    <row r="425" spans="1:19">
      <c r="A425" s="388"/>
      <c r="B425" s="389"/>
      <c r="C425" s="381">
        <f t="shared" si="74"/>
        <v>1</v>
      </c>
      <c r="D425" s="390"/>
      <c r="E425" s="381">
        <f t="shared" si="75"/>
        <v>1</v>
      </c>
      <c r="F425" s="390"/>
      <c r="G425" s="381">
        <f t="shared" si="76"/>
        <v>1</v>
      </c>
      <c r="H425" s="390"/>
      <c r="I425" s="381">
        <f t="shared" si="77"/>
        <v>1</v>
      </c>
      <c r="J425" s="390"/>
      <c r="K425" s="381">
        <f t="shared" si="78"/>
        <v>1</v>
      </c>
      <c r="L425" s="390"/>
      <c r="M425" s="381">
        <f t="shared" si="79"/>
        <v>1</v>
      </c>
      <c r="N425" s="390"/>
      <c r="O425" s="381">
        <f t="shared" si="80"/>
        <v>1</v>
      </c>
      <c r="P425" s="390"/>
      <c r="Q425" s="381">
        <f t="shared" si="81"/>
        <v>1</v>
      </c>
      <c r="R425" s="441">
        <f t="shared" si="82"/>
        <v>0</v>
      </c>
      <c r="S425" s="380">
        <f t="shared" si="83"/>
        <v>0</v>
      </c>
    </row>
    <row r="426" spans="1:19">
      <c r="A426" s="388"/>
      <c r="B426" s="389"/>
      <c r="C426" s="381">
        <f t="shared" si="74"/>
        <v>1</v>
      </c>
      <c r="D426" s="390"/>
      <c r="E426" s="381">
        <f t="shared" si="75"/>
        <v>1</v>
      </c>
      <c r="F426" s="390"/>
      <c r="G426" s="381">
        <f t="shared" si="76"/>
        <v>1</v>
      </c>
      <c r="H426" s="390"/>
      <c r="I426" s="381">
        <f t="shared" si="77"/>
        <v>1</v>
      </c>
      <c r="J426" s="390"/>
      <c r="K426" s="381">
        <f t="shared" si="78"/>
        <v>1</v>
      </c>
      <c r="L426" s="390"/>
      <c r="M426" s="381">
        <f t="shared" si="79"/>
        <v>1</v>
      </c>
      <c r="N426" s="390"/>
      <c r="O426" s="381">
        <f t="shared" si="80"/>
        <v>1</v>
      </c>
      <c r="P426" s="390"/>
      <c r="Q426" s="381">
        <f t="shared" si="81"/>
        <v>1</v>
      </c>
      <c r="R426" s="441">
        <f t="shared" si="82"/>
        <v>0</v>
      </c>
      <c r="S426" s="380">
        <f t="shared" si="83"/>
        <v>0</v>
      </c>
    </row>
    <row r="427" spans="1:19">
      <c r="A427" s="388"/>
      <c r="B427" s="389"/>
      <c r="C427" s="381">
        <f t="shared" si="74"/>
        <v>1</v>
      </c>
      <c r="D427" s="390"/>
      <c r="E427" s="381">
        <f t="shared" si="75"/>
        <v>1</v>
      </c>
      <c r="F427" s="390"/>
      <c r="G427" s="381">
        <f t="shared" si="76"/>
        <v>1</v>
      </c>
      <c r="H427" s="390"/>
      <c r="I427" s="381">
        <f t="shared" si="77"/>
        <v>1</v>
      </c>
      <c r="J427" s="390"/>
      <c r="K427" s="381">
        <f t="shared" si="78"/>
        <v>1</v>
      </c>
      <c r="L427" s="390"/>
      <c r="M427" s="381">
        <f t="shared" si="79"/>
        <v>1</v>
      </c>
      <c r="N427" s="390"/>
      <c r="O427" s="381">
        <f t="shared" si="80"/>
        <v>1</v>
      </c>
      <c r="P427" s="390"/>
      <c r="Q427" s="381">
        <f t="shared" si="81"/>
        <v>1</v>
      </c>
      <c r="R427" s="441">
        <f t="shared" si="82"/>
        <v>0</v>
      </c>
      <c r="S427" s="380">
        <f t="shared" si="83"/>
        <v>0</v>
      </c>
    </row>
    <row r="428" spans="1:19">
      <c r="A428" s="388"/>
      <c r="B428" s="389"/>
      <c r="C428" s="381">
        <f t="shared" si="74"/>
        <v>1</v>
      </c>
      <c r="D428" s="390"/>
      <c r="E428" s="381">
        <f t="shared" si="75"/>
        <v>1</v>
      </c>
      <c r="F428" s="390"/>
      <c r="G428" s="381">
        <f t="shared" si="76"/>
        <v>1</v>
      </c>
      <c r="H428" s="390"/>
      <c r="I428" s="381">
        <f t="shared" si="77"/>
        <v>1</v>
      </c>
      <c r="J428" s="390"/>
      <c r="K428" s="381">
        <f t="shared" si="78"/>
        <v>1</v>
      </c>
      <c r="L428" s="390"/>
      <c r="M428" s="381">
        <f t="shared" si="79"/>
        <v>1</v>
      </c>
      <c r="N428" s="390"/>
      <c r="O428" s="381">
        <f t="shared" si="80"/>
        <v>1</v>
      </c>
      <c r="P428" s="390"/>
      <c r="Q428" s="381">
        <f t="shared" si="81"/>
        <v>1</v>
      </c>
      <c r="R428" s="441">
        <f t="shared" si="82"/>
        <v>0</v>
      </c>
      <c r="S428" s="380">
        <f t="shared" si="83"/>
        <v>0</v>
      </c>
    </row>
    <row r="429" spans="1:19">
      <c r="A429" s="388"/>
      <c r="B429" s="389"/>
      <c r="C429" s="381">
        <f t="shared" si="74"/>
        <v>1</v>
      </c>
      <c r="D429" s="390"/>
      <c r="E429" s="381">
        <f t="shared" si="75"/>
        <v>1</v>
      </c>
      <c r="F429" s="390"/>
      <c r="G429" s="381">
        <f t="shared" si="76"/>
        <v>1</v>
      </c>
      <c r="H429" s="390"/>
      <c r="I429" s="381">
        <f t="shared" si="77"/>
        <v>1</v>
      </c>
      <c r="J429" s="390"/>
      <c r="K429" s="381">
        <f t="shared" si="78"/>
        <v>1</v>
      </c>
      <c r="L429" s="390"/>
      <c r="M429" s="381">
        <f t="shared" si="79"/>
        <v>1</v>
      </c>
      <c r="N429" s="390"/>
      <c r="O429" s="381">
        <f t="shared" si="80"/>
        <v>1</v>
      </c>
      <c r="P429" s="390"/>
      <c r="Q429" s="381">
        <f t="shared" si="81"/>
        <v>1</v>
      </c>
      <c r="R429" s="441">
        <f t="shared" si="82"/>
        <v>0</v>
      </c>
      <c r="S429" s="380">
        <f t="shared" si="83"/>
        <v>0</v>
      </c>
    </row>
    <row r="430" spans="1:19">
      <c r="A430" s="388"/>
      <c r="B430" s="389"/>
      <c r="C430" s="381">
        <f t="shared" si="74"/>
        <v>1</v>
      </c>
      <c r="D430" s="390"/>
      <c r="E430" s="381">
        <f t="shared" si="75"/>
        <v>1</v>
      </c>
      <c r="F430" s="390"/>
      <c r="G430" s="381">
        <f t="shared" si="76"/>
        <v>1</v>
      </c>
      <c r="H430" s="390"/>
      <c r="I430" s="381">
        <f t="shared" si="77"/>
        <v>1</v>
      </c>
      <c r="J430" s="390"/>
      <c r="K430" s="381">
        <f t="shared" si="78"/>
        <v>1</v>
      </c>
      <c r="L430" s="390"/>
      <c r="M430" s="381">
        <f t="shared" si="79"/>
        <v>1</v>
      </c>
      <c r="N430" s="390"/>
      <c r="O430" s="381">
        <f t="shared" si="80"/>
        <v>1</v>
      </c>
      <c r="P430" s="390"/>
      <c r="Q430" s="381">
        <f t="shared" si="81"/>
        <v>1</v>
      </c>
      <c r="R430" s="441">
        <f t="shared" si="82"/>
        <v>0</v>
      </c>
      <c r="S430" s="380">
        <f t="shared" si="83"/>
        <v>0</v>
      </c>
    </row>
    <row r="431" spans="1:19">
      <c r="A431" s="388"/>
      <c r="B431" s="389"/>
      <c r="C431" s="381">
        <f t="shared" si="74"/>
        <v>1</v>
      </c>
      <c r="D431" s="390"/>
      <c r="E431" s="381">
        <f t="shared" si="75"/>
        <v>1</v>
      </c>
      <c r="F431" s="390"/>
      <c r="G431" s="381">
        <f t="shared" si="76"/>
        <v>1</v>
      </c>
      <c r="H431" s="390"/>
      <c r="I431" s="381">
        <f t="shared" si="77"/>
        <v>1</v>
      </c>
      <c r="J431" s="390"/>
      <c r="K431" s="381">
        <f t="shared" si="78"/>
        <v>1</v>
      </c>
      <c r="L431" s="390"/>
      <c r="M431" s="381">
        <f t="shared" si="79"/>
        <v>1</v>
      </c>
      <c r="N431" s="390"/>
      <c r="O431" s="381">
        <f t="shared" si="80"/>
        <v>1</v>
      </c>
      <c r="P431" s="390"/>
      <c r="Q431" s="381">
        <f t="shared" si="81"/>
        <v>1</v>
      </c>
      <c r="R431" s="441">
        <f t="shared" si="82"/>
        <v>0</v>
      </c>
      <c r="S431" s="380">
        <f t="shared" si="83"/>
        <v>0</v>
      </c>
    </row>
    <row r="432" spans="1:19">
      <c r="A432" s="388"/>
      <c r="B432" s="389"/>
      <c r="C432" s="381">
        <f t="shared" si="74"/>
        <v>1</v>
      </c>
      <c r="D432" s="390"/>
      <c r="E432" s="381">
        <f t="shared" si="75"/>
        <v>1</v>
      </c>
      <c r="F432" s="390"/>
      <c r="G432" s="381">
        <f t="shared" si="76"/>
        <v>1</v>
      </c>
      <c r="H432" s="390"/>
      <c r="I432" s="381">
        <f t="shared" si="77"/>
        <v>1</v>
      </c>
      <c r="J432" s="390"/>
      <c r="K432" s="381">
        <f t="shared" si="78"/>
        <v>1</v>
      </c>
      <c r="L432" s="390"/>
      <c r="M432" s="381">
        <f t="shared" si="79"/>
        <v>1</v>
      </c>
      <c r="N432" s="390"/>
      <c r="O432" s="381">
        <f t="shared" si="80"/>
        <v>1</v>
      </c>
      <c r="P432" s="390"/>
      <c r="Q432" s="381">
        <f t="shared" si="81"/>
        <v>1</v>
      </c>
      <c r="R432" s="441">
        <f t="shared" si="82"/>
        <v>0</v>
      </c>
      <c r="S432" s="380">
        <f t="shared" si="83"/>
        <v>0</v>
      </c>
    </row>
    <row r="433" spans="1:19">
      <c r="A433" s="388"/>
      <c r="B433" s="389"/>
      <c r="C433" s="381">
        <f t="shared" si="74"/>
        <v>1</v>
      </c>
      <c r="D433" s="390"/>
      <c r="E433" s="381">
        <f t="shared" si="75"/>
        <v>1</v>
      </c>
      <c r="F433" s="390"/>
      <c r="G433" s="381">
        <f t="shared" si="76"/>
        <v>1</v>
      </c>
      <c r="H433" s="390"/>
      <c r="I433" s="381">
        <f t="shared" si="77"/>
        <v>1</v>
      </c>
      <c r="J433" s="390"/>
      <c r="K433" s="381">
        <f t="shared" si="78"/>
        <v>1</v>
      </c>
      <c r="L433" s="390"/>
      <c r="M433" s="381">
        <f t="shared" si="79"/>
        <v>1</v>
      </c>
      <c r="N433" s="390"/>
      <c r="O433" s="381">
        <f t="shared" si="80"/>
        <v>1</v>
      </c>
      <c r="P433" s="390"/>
      <c r="Q433" s="381">
        <f t="shared" si="81"/>
        <v>1</v>
      </c>
      <c r="R433" s="441">
        <f t="shared" si="82"/>
        <v>0</v>
      </c>
      <c r="S433" s="380">
        <f t="shared" si="83"/>
        <v>0</v>
      </c>
    </row>
    <row r="434" spans="1:19">
      <c r="A434" s="388"/>
      <c r="B434" s="389"/>
      <c r="C434" s="381">
        <f t="shared" si="74"/>
        <v>1</v>
      </c>
      <c r="D434" s="390"/>
      <c r="E434" s="381">
        <f t="shared" si="75"/>
        <v>1</v>
      </c>
      <c r="F434" s="390"/>
      <c r="G434" s="381">
        <f t="shared" si="76"/>
        <v>1</v>
      </c>
      <c r="H434" s="390"/>
      <c r="I434" s="381">
        <f t="shared" si="77"/>
        <v>1</v>
      </c>
      <c r="J434" s="390"/>
      <c r="K434" s="381">
        <f t="shared" si="78"/>
        <v>1</v>
      </c>
      <c r="L434" s="390"/>
      <c r="M434" s="381">
        <f t="shared" si="79"/>
        <v>1</v>
      </c>
      <c r="N434" s="390"/>
      <c r="O434" s="381">
        <f t="shared" si="80"/>
        <v>1</v>
      </c>
      <c r="P434" s="390"/>
      <c r="Q434" s="381">
        <f t="shared" si="81"/>
        <v>1</v>
      </c>
      <c r="R434" s="441">
        <f t="shared" si="82"/>
        <v>0</v>
      </c>
      <c r="S434" s="380">
        <f t="shared" si="83"/>
        <v>0</v>
      </c>
    </row>
    <row r="435" spans="1:19">
      <c r="A435" s="388"/>
      <c r="B435" s="389"/>
      <c r="C435" s="381">
        <f t="shared" si="74"/>
        <v>1</v>
      </c>
      <c r="D435" s="390"/>
      <c r="E435" s="381">
        <f t="shared" si="75"/>
        <v>1</v>
      </c>
      <c r="F435" s="390"/>
      <c r="G435" s="381">
        <f t="shared" si="76"/>
        <v>1</v>
      </c>
      <c r="H435" s="390"/>
      <c r="I435" s="381">
        <f t="shared" si="77"/>
        <v>1</v>
      </c>
      <c r="J435" s="390"/>
      <c r="K435" s="381">
        <f t="shared" si="78"/>
        <v>1</v>
      </c>
      <c r="L435" s="390"/>
      <c r="M435" s="381">
        <f t="shared" si="79"/>
        <v>1</v>
      </c>
      <c r="N435" s="390"/>
      <c r="O435" s="381">
        <f t="shared" si="80"/>
        <v>1</v>
      </c>
      <c r="P435" s="390"/>
      <c r="Q435" s="381">
        <f t="shared" si="81"/>
        <v>1</v>
      </c>
      <c r="R435" s="441">
        <f t="shared" si="82"/>
        <v>0</v>
      </c>
      <c r="S435" s="380">
        <f t="shared" si="83"/>
        <v>0</v>
      </c>
    </row>
    <row r="436" spans="1:19">
      <c r="A436" s="388"/>
      <c r="B436" s="389"/>
      <c r="C436" s="381">
        <f t="shared" si="74"/>
        <v>1</v>
      </c>
      <c r="D436" s="390"/>
      <c r="E436" s="381">
        <f t="shared" si="75"/>
        <v>1</v>
      </c>
      <c r="F436" s="390"/>
      <c r="G436" s="381">
        <f t="shared" si="76"/>
        <v>1</v>
      </c>
      <c r="H436" s="390"/>
      <c r="I436" s="381">
        <f t="shared" si="77"/>
        <v>1</v>
      </c>
      <c r="J436" s="390"/>
      <c r="K436" s="381">
        <f t="shared" si="78"/>
        <v>1</v>
      </c>
      <c r="L436" s="390"/>
      <c r="M436" s="381">
        <f t="shared" si="79"/>
        <v>1</v>
      </c>
      <c r="N436" s="390"/>
      <c r="O436" s="381">
        <f t="shared" si="80"/>
        <v>1</v>
      </c>
      <c r="P436" s="390"/>
      <c r="Q436" s="381">
        <f t="shared" si="81"/>
        <v>1</v>
      </c>
      <c r="R436" s="441">
        <f t="shared" si="82"/>
        <v>0</v>
      </c>
      <c r="S436" s="380">
        <f t="shared" si="83"/>
        <v>0</v>
      </c>
    </row>
    <row r="437" spans="1:19">
      <c r="A437" s="388"/>
      <c r="B437" s="389"/>
      <c r="C437" s="381">
        <f t="shared" si="74"/>
        <v>1</v>
      </c>
      <c r="D437" s="390"/>
      <c r="E437" s="381">
        <f t="shared" si="75"/>
        <v>1</v>
      </c>
      <c r="F437" s="390"/>
      <c r="G437" s="381">
        <f t="shared" si="76"/>
        <v>1</v>
      </c>
      <c r="H437" s="390"/>
      <c r="I437" s="381">
        <f t="shared" si="77"/>
        <v>1</v>
      </c>
      <c r="J437" s="390"/>
      <c r="K437" s="381">
        <f t="shared" si="78"/>
        <v>1</v>
      </c>
      <c r="L437" s="390"/>
      <c r="M437" s="381">
        <f t="shared" si="79"/>
        <v>1</v>
      </c>
      <c r="N437" s="390"/>
      <c r="O437" s="381">
        <f t="shared" si="80"/>
        <v>1</v>
      </c>
      <c r="P437" s="390"/>
      <c r="Q437" s="381">
        <f t="shared" si="81"/>
        <v>1</v>
      </c>
      <c r="R437" s="441">
        <f t="shared" si="82"/>
        <v>0</v>
      </c>
      <c r="S437" s="380">
        <f t="shared" si="83"/>
        <v>0</v>
      </c>
    </row>
    <row r="438" spans="1:19">
      <c r="A438" s="388"/>
      <c r="B438" s="389"/>
      <c r="C438" s="381">
        <f t="shared" si="74"/>
        <v>1</v>
      </c>
      <c r="D438" s="390"/>
      <c r="E438" s="381">
        <f t="shared" si="75"/>
        <v>1</v>
      </c>
      <c r="F438" s="390"/>
      <c r="G438" s="381">
        <f t="shared" si="76"/>
        <v>1</v>
      </c>
      <c r="H438" s="390"/>
      <c r="I438" s="381">
        <f t="shared" si="77"/>
        <v>1</v>
      </c>
      <c r="J438" s="390"/>
      <c r="K438" s="381">
        <f t="shared" si="78"/>
        <v>1</v>
      </c>
      <c r="L438" s="390"/>
      <c r="M438" s="381">
        <f t="shared" si="79"/>
        <v>1</v>
      </c>
      <c r="N438" s="390"/>
      <c r="O438" s="381">
        <f t="shared" si="80"/>
        <v>1</v>
      </c>
      <c r="P438" s="390"/>
      <c r="Q438" s="381">
        <f t="shared" si="81"/>
        <v>1</v>
      </c>
      <c r="R438" s="441">
        <f t="shared" si="82"/>
        <v>0</v>
      </c>
      <c r="S438" s="380">
        <f t="shared" si="83"/>
        <v>0</v>
      </c>
    </row>
    <row r="439" spans="1:19">
      <c r="A439" s="388"/>
      <c r="B439" s="389"/>
      <c r="C439" s="381">
        <f t="shared" si="74"/>
        <v>1</v>
      </c>
      <c r="D439" s="390"/>
      <c r="E439" s="381">
        <f t="shared" si="75"/>
        <v>1</v>
      </c>
      <c r="F439" s="390"/>
      <c r="G439" s="381">
        <f t="shared" si="76"/>
        <v>1</v>
      </c>
      <c r="H439" s="390"/>
      <c r="I439" s="381">
        <f t="shared" si="77"/>
        <v>1</v>
      </c>
      <c r="J439" s="390"/>
      <c r="K439" s="381">
        <f t="shared" si="78"/>
        <v>1</v>
      </c>
      <c r="L439" s="390"/>
      <c r="M439" s="381">
        <f t="shared" si="79"/>
        <v>1</v>
      </c>
      <c r="N439" s="390"/>
      <c r="O439" s="381">
        <f t="shared" si="80"/>
        <v>1</v>
      </c>
      <c r="P439" s="390"/>
      <c r="Q439" s="381">
        <f t="shared" si="81"/>
        <v>1</v>
      </c>
      <c r="R439" s="441">
        <f t="shared" si="82"/>
        <v>0</v>
      </c>
      <c r="S439" s="380">
        <f t="shared" si="83"/>
        <v>0</v>
      </c>
    </row>
    <row r="440" spans="1:19">
      <c r="A440" s="388"/>
      <c r="B440" s="389"/>
      <c r="C440" s="381">
        <f t="shared" si="74"/>
        <v>1</v>
      </c>
      <c r="D440" s="390"/>
      <c r="E440" s="381">
        <f t="shared" si="75"/>
        <v>1</v>
      </c>
      <c r="F440" s="390"/>
      <c r="G440" s="381">
        <f t="shared" si="76"/>
        <v>1</v>
      </c>
      <c r="H440" s="390"/>
      <c r="I440" s="381">
        <f t="shared" si="77"/>
        <v>1</v>
      </c>
      <c r="J440" s="390"/>
      <c r="K440" s="381">
        <f t="shared" si="78"/>
        <v>1</v>
      </c>
      <c r="L440" s="390"/>
      <c r="M440" s="381">
        <f t="shared" si="79"/>
        <v>1</v>
      </c>
      <c r="N440" s="390"/>
      <c r="O440" s="381">
        <f t="shared" si="80"/>
        <v>1</v>
      </c>
      <c r="P440" s="390"/>
      <c r="Q440" s="381">
        <f t="shared" si="81"/>
        <v>1</v>
      </c>
      <c r="R440" s="441">
        <f t="shared" si="82"/>
        <v>0</v>
      </c>
      <c r="S440" s="380">
        <f t="shared" si="83"/>
        <v>0</v>
      </c>
    </row>
    <row r="441" spans="1:19">
      <c r="A441" s="388"/>
      <c r="B441" s="389"/>
      <c r="C441" s="381">
        <f t="shared" si="74"/>
        <v>1</v>
      </c>
      <c r="D441" s="390"/>
      <c r="E441" s="381">
        <f t="shared" si="75"/>
        <v>1</v>
      </c>
      <c r="F441" s="390"/>
      <c r="G441" s="381">
        <f t="shared" si="76"/>
        <v>1</v>
      </c>
      <c r="H441" s="390"/>
      <c r="I441" s="381">
        <f t="shared" si="77"/>
        <v>1</v>
      </c>
      <c r="J441" s="390"/>
      <c r="K441" s="381">
        <f t="shared" si="78"/>
        <v>1</v>
      </c>
      <c r="L441" s="390"/>
      <c r="M441" s="381">
        <f t="shared" si="79"/>
        <v>1</v>
      </c>
      <c r="N441" s="390"/>
      <c r="O441" s="381">
        <f t="shared" si="80"/>
        <v>1</v>
      </c>
      <c r="P441" s="390"/>
      <c r="Q441" s="381">
        <f t="shared" si="81"/>
        <v>1</v>
      </c>
      <c r="R441" s="441">
        <f t="shared" si="82"/>
        <v>0</v>
      </c>
      <c r="S441" s="380">
        <f t="shared" si="83"/>
        <v>0</v>
      </c>
    </row>
    <row r="442" spans="1:19">
      <c r="A442" s="388"/>
      <c r="B442" s="389"/>
      <c r="C442" s="381">
        <f t="shared" si="74"/>
        <v>1</v>
      </c>
      <c r="D442" s="390"/>
      <c r="E442" s="381">
        <f t="shared" si="75"/>
        <v>1</v>
      </c>
      <c r="F442" s="390"/>
      <c r="G442" s="381">
        <f t="shared" si="76"/>
        <v>1</v>
      </c>
      <c r="H442" s="390"/>
      <c r="I442" s="381">
        <f t="shared" si="77"/>
        <v>1</v>
      </c>
      <c r="J442" s="390"/>
      <c r="K442" s="381">
        <f t="shared" si="78"/>
        <v>1</v>
      </c>
      <c r="L442" s="390"/>
      <c r="M442" s="381">
        <f t="shared" si="79"/>
        <v>1</v>
      </c>
      <c r="N442" s="390"/>
      <c r="O442" s="381">
        <f t="shared" si="80"/>
        <v>1</v>
      </c>
      <c r="P442" s="390"/>
      <c r="Q442" s="381">
        <f t="shared" si="81"/>
        <v>1</v>
      </c>
      <c r="R442" s="441">
        <f t="shared" si="82"/>
        <v>0</v>
      </c>
      <c r="S442" s="380">
        <f t="shared" si="83"/>
        <v>0</v>
      </c>
    </row>
    <row r="443" spans="1:19">
      <c r="A443" s="388"/>
      <c r="B443" s="389"/>
      <c r="C443" s="381">
        <f t="shared" si="74"/>
        <v>1</v>
      </c>
      <c r="D443" s="390"/>
      <c r="E443" s="381">
        <f t="shared" si="75"/>
        <v>1</v>
      </c>
      <c r="F443" s="390"/>
      <c r="G443" s="381">
        <f t="shared" si="76"/>
        <v>1</v>
      </c>
      <c r="H443" s="390"/>
      <c r="I443" s="381">
        <f t="shared" si="77"/>
        <v>1</v>
      </c>
      <c r="J443" s="390"/>
      <c r="K443" s="381">
        <f t="shared" si="78"/>
        <v>1</v>
      </c>
      <c r="L443" s="390"/>
      <c r="M443" s="381">
        <f t="shared" si="79"/>
        <v>1</v>
      </c>
      <c r="N443" s="390"/>
      <c r="O443" s="381">
        <f t="shared" si="80"/>
        <v>1</v>
      </c>
      <c r="P443" s="390"/>
      <c r="Q443" s="381">
        <f t="shared" si="81"/>
        <v>1</v>
      </c>
      <c r="R443" s="441">
        <f t="shared" si="82"/>
        <v>0</v>
      </c>
      <c r="S443" s="380">
        <f t="shared" si="83"/>
        <v>0</v>
      </c>
    </row>
    <row r="444" spans="1:19">
      <c r="A444" s="388"/>
      <c r="B444" s="389"/>
      <c r="C444" s="381">
        <f t="shared" si="74"/>
        <v>1</v>
      </c>
      <c r="D444" s="390"/>
      <c r="E444" s="381">
        <f t="shared" si="75"/>
        <v>1</v>
      </c>
      <c r="F444" s="390"/>
      <c r="G444" s="381">
        <f t="shared" si="76"/>
        <v>1</v>
      </c>
      <c r="H444" s="390"/>
      <c r="I444" s="381">
        <f t="shared" si="77"/>
        <v>1</v>
      </c>
      <c r="J444" s="390"/>
      <c r="K444" s="381">
        <f t="shared" si="78"/>
        <v>1</v>
      </c>
      <c r="L444" s="390"/>
      <c r="M444" s="381">
        <f t="shared" si="79"/>
        <v>1</v>
      </c>
      <c r="N444" s="390"/>
      <c r="O444" s="381">
        <f t="shared" si="80"/>
        <v>1</v>
      </c>
      <c r="P444" s="390"/>
      <c r="Q444" s="381">
        <f t="shared" si="81"/>
        <v>1</v>
      </c>
      <c r="R444" s="441">
        <f t="shared" si="82"/>
        <v>0</v>
      </c>
      <c r="S444" s="380">
        <f t="shared" si="83"/>
        <v>0</v>
      </c>
    </row>
    <row r="445" spans="1:19">
      <c r="A445" s="388"/>
      <c r="B445" s="389"/>
      <c r="C445" s="381">
        <f t="shared" si="74"/>
        <v>1</v>
      </c>
      <c r="D445" s="390"/>
      <c r="E445" s="381">
        <f t="shared" si="75"/>
        <v>1</v>
      </c>
      <c r="F445" s="390"/>
      <c r="G445" s="381">
        <f t="shared" si="76"/>
        <v>1</v>
      </c>
      <c r="H445" s="390"/>
      <c r="I445" s="381">
        <f t="shared" si="77"/>
        <v>1</v>
      </c>
      <c r="J445" s="390"/>
      <c r="K445" s="381">
        <f t="shared" si="78"/>
        <v>1</v>
      </c>
      <c r="L445" s="390"/>
      <c r="M445" s="381">
        <f t="shared" si="79"/>
        <v>1</v>
      </c>
      <c r="N445" s="390"/>
      <c r="O445" s="381">
        <f t="shared" si="80"/>
        <v>1</v>
      </c>
      <c r="P445" s="390"/>
      <c r="Q445" s="381">
        <f t="shared" si="81"/>
        <v>1</v>
      </c>
      <c r="R445" s="441">
        <f t="shared" si="82"/>
        <v>0</v>
      </c>
      <c r="S445" s="380">
        <f t="shared" si="83"/>
        <v>0</v>
      </c>
    </row>
    <row r="446" spans="1:19">
      <c r="A446" s="388"/>
      <c r="B446" s="389"/>
      <c r="C446" s="381">
        <f t="shared" si="74"/>
        <v>1</v>
      </c>
      <c r="D446" s="390"/>
      <c r="E446" s="381">
        <f t="shared" si="75"/>
        <v>1</v>
      </c>
      <c r="F446" s="390"/>
      <c r="G446" s="381">
        <f t="shared" si="76"/>
        <v>1</v>
      </c>
      <c r="H446" s="390"/>
      <c r="I446" s="381">
        <f t="shared" si="77"/>
        <v>1</v>
      </c>
      <c r="J446" s="390"/>
      <c r="K446" s="381">
        <f t="shared" si="78"/>
        <v>1</v>
      </c>
      <c r="L446" s="390"/>
      <c r="M446" s="381">
        <f t="shared" si="79"/>
        <v>1</v>
      </c>
      <c r="N446" s="390"/>
      <c r="O446" s="381">
        <f t="shared" si="80"/>
        <v>1</v>
      </c>
      <c r="P446" s="390"/>
      <c r="Q446" s="381">
        <f t="shared" si="81"/>
        <v>1</v>
      </c>
      <c r="R446" s="441">
        <f t="shared" si="82"/>
        <v>0</v>
      </c>
      <c r="S446" s="380">
        <f t="shared" si="83"/>
        <v>0</v>
      </c>
    </row>
    <row r="447" spans="1:19">
      <c r="A447" s="388"/>
      <c r="B447" s="389"/>
      <c r="C447" s="381">
        <f t="shared" si="74"/>
        <v>1</v>
      </c>
      <c r="D447" s="390"/>
      <c r="E447" s="381">
        <f t="shared" si="75"/>
        <v>1</v>
      </c>
      <c r="F447" s="390"/>
      <c r="G447" s="381">
        <f t="shared" si="76"/>
        <v>1</v>
      </c>
      <c r="H447" s="390"/>
      <c r="I447" s="381">
        <f t="shared" si="77"/>
        <v>1</v>
      </c>
      <c r="J447" s="390"/>
      <c r="K447" s="381">
        <f t="shared" si="78"/>
        <v>1</v>
      </c>
      <c r="L447" s="390"/>
      <c r="M447" s="381">
        <f t="shared" si="79"/>
        <v>1</v>
      </c>
      <c r="N447" s="390"/>
      <c r="O447" s="381">
        <f t="shared" si="80"/>
        <v>1</v>
      </c>
      <c r="P447" s="390"/>
      <c r="Q447" s="381">
        <f t="shared" si="81"/>
        <v>1</v>
      </c>
      <c r="R447" s="441">
        <f t="shared" si="82"/>
        <v>0</v>
      </c>
      <c r="S447" s="380">
        <f t="shared" si="83"/>
        <v>0</v>
      </c>
    </row>
    <row r="448" spans="1:19">
      <c r="A448" s="388"/>
      <c r="B448" s="389"/>
      <c r="C448" s="381">
        <f t="shared" si="74"/>
        <v>1</v>
      </c>
      <c r="D448" s="390"/>
      <c r="E448" s="381">
        <f t="shared" si="75"/>
        <v>1</v>
      </c>
      <c r="F448" s="390"/>
      <c r="G448" s="381">
        <f t="shared" si="76"/>
        <v>1</v>
      </c>
      <c r="H448" s="390"/>
      <c r="I448" s="381">
        <f t="shared" si="77"/>
        <v>1</v>
      </c>
      <c r="J448" s="390"/>
      <c r="K448" s="381">
        <f t="shared" si="78"/>
        <v>1</v>
      </c>
      <c r="L448" s="390"/>
      <c r="M448" s="381">
        <f t="shared" si="79"/>
        <v>1</v>
      </c>
      <c r="N448" s="390"/>
      <c r="O448" s="381">
        <f t="shared" si="80"/>
        <v>1</v>
      </c>
      <c r="P448" s="390"/>
      <c r="Q448" s="381">
        <f t="shared" si="81"/>
        <v>1</v>
      </c>
      <c r="R448" s="441">
        <f t="shared" si="82"/>
        <v>0</v>
      </c>
      <c r="S448" s="380">
        <f t="shared" si="83"/>
        <v>0</v>
      </c>
    </row>
    <row r="449" spans="1:19">
      <c r="A449" s="388"/>
      <c r="B449" s="389"/>
      <c r="C449" s="381">
        <f t="shared" si="74"/>
        <v>1</v>
      </c>
      <c r="D449" s="390"/>
      <c r="E449" s="381">
        <f t="shared" si="75"/>
        <v>1</v>
      </c>
      <c r="F449" s="390"/>
      <c r="G449" s="381">
        <f t="shared" si="76"/>
        <v>1</v>
      </c>
      <c r="H449" s="390"/>
      <c r="I449" s="381">
        <f t="shared" si="77"/>
        <v>1</v>
      </c>
      <c r="J449" s="390"/>
      <c r="K449" s="381">
        <f t="shared" si="78"/>
        <v>1</v>
      </c>
      <c r="L449" s="390"/>
      <c r="M449" s="381">
        <f t="shared" si="79"/>
        <v>1</v>
      </c>
      <c r="N449" s="390"/>
      <c r="O449" s="381">
        <f t="shared" si="80"/>
        <v>1</v>
      </c>
      <c r="P449" s="390"/>
      <c r="Q449" s="381">
        <f t="shared" si="81"/>
        <v>1</v>
      </c>
      <c r="R449" s="441">
        <f t="shared" si="82"/>
        <v>0</v>
      </c>
      <c r="S449" s="380">
        <f t="shared" si="83"/>
        <v>0</v>
      </c>
    </row>
    <row r="450" spans="1:19">
      <c r="A450" s="388"/>
      <c r="B450" s="389"/>
      <c r="C450" s="381">
        <f t="shared" si="74"/>
        <v>1</v>
      </c>
      <c r="D450" s="390"/>
      <c r="E450" s="381">
        <f t="shared" si="75"/>
        <v>1</v>
      </c>
      <c r="F450" s="390"/>
      <c r="G450" s="381">
        <f t="shared" si="76"/>
        <v>1</v>
      </c>
      <c r="H450" s="390"/>
      <c r="I450" s="381">
        <f t="shared" si="77"/>
        <v>1</v>
      </c>
      <c r="J450" s="390"/>
      <c r="K450" s="381">
        <f t="shared" si="78"/>
        <v>1</v>
      </c>
      <c r="L450" s="390"/>
      <c r="M450" s="381">
        <f t="shared" si="79"/>
        <v>1</v>
      </c>
      <c r="N450" s="390"/>
      <c r="O450" s="381">
        <f t="shared" si="80"/>
        <v>1</v>
      </c>
      <c r="P450" s="390"/>
      <c r="Q450" s="381">
        <f t="shared" si="81"/>
        <v>1</v>
      </c>
      <c r="R450" s="441">
        <f t="shared" si="82"/>
        <v>0</v>
      </c>
      <c r="S450" s="380">
        <f t="shared" si="83"/>
        <v>0</v>
      </c>
    </row>
    <row r="451" spans="1:19">
      <c r="A451" s="388"/>
      <c r="B451" s="389"/>
      <c r="C451" s="381">
        <f t="shared" si="74"/>
        <v>1</v>
      </c>
      <c r="D451" s="390"/>
      <c r="E451" s="381">
        <f t="shared" si="75"/>
        <v>1</v>
      </c>
      <c r="F451" s="390"/>
      <c r="G451" s="381">
        <f t="shared" si="76"/>
        <v>1</v>
      </c>
      <c r="H451" s="390"/>
      <c r="I451" s="381">
        <f t="shared" si="77"/>
        <v>1</v>
      </c>
      <c r="J451" s="390"/>
      <c r="K451" s="381">
        <f t="shared" si="78"/>
        <v>1</v>
      </c>
      <c r="L451" s="390"/>
      <c r="M451" s="381">
        <f t="shared" si="79"/>
        <v>1</v>
      </c>
      <c r="N451" s="390"/>
      <c r="O451" s="381">
        <f t="shared" si="80"/>
        <v>1</v>
      </c>
      <c r="P451" s="390"/>
      <c r="Q451" s="381">
        <f t="shared" si="81"/>
        <v>1</v>
      </c>
      <c r="R451" s="441">
        <f t="shared" si="82"/>
        <v>0</v>
      </c>
      <c r="S451" s="380">
        <f t="shared" si="83"/>
        <v>0</v>
      </c>
    </row>
    <row r="452" spans="1:19">
      <c r="A452" s="388"/>
      <c r="B452" s="389"/>
      <c r="C452" s="381">
        <f t="shared" si="74"/>
        <v>1</v>
      </c>
      <c r="D452" s="390"/>
      <c r="E452" s="381">
        <f t="shared" si="75"/>
        <v>1</v>
      </c>
      <c r="F452" s="390"/>
      <c r="G452" s="381">
        <f t="shared" si="76"/>
        <v>1</v>
      </c>
      <c r="H452" s="390"/>
      <c r="I452" s="381">
        <f t="shared" si="77"/>
        <v>1</v>
      </c>
      <c r="J452" s="390"/>
      <c r="K452" s="381">
        <f t="shared" si="78"/>
        <v>1</v>
      </c>
      <c r="L452" s="390"/>
      <c r="M452" s="381">
        <f t="shared" si="79"/>
        <v>1</v>
      </c>
      <c r="N452" s="390"/>
      <c r="O452" s="381">
        <f t="shared" si="80"/>
        <v>1</v>
      </c>
      <c r="P452" s="390"/>
      <c r="Q452" s="381">
        <f t="shared" si="81"/>
        <v>1</v>
      </c>
      <c r="R452" s="441">
        <f t="shared" si="82"/>
        <v>0</v>
      </c>
      <c r="S452" s="380">
        <f t="shared" si="83"/>
        <v>0</v>
      </c>
    </row>
    <row r="453" spans="1:19">
      <c r="A453" s="388"/>
      <c r="B453" s="389"/>
      <c r="C453" s="381">
        <f t="shared" si="74"/>
        <v>1</v>
      </c>
      <c r="D453" s="390"/>
      <c r="E453" s="381">
        <f t="shared" si="75"/>
        <v>1</v>
      </c>
      <c r="F453" s="390"/>
      <c r="G453" s="381">
        <f t="shared" si="76"/>
        <v>1</v>
      </c>
      <c r="H453" s="390"/>
      <c r="I453" s="381">
        <f t="shared" si="77"/>
        <v>1</v>
      </c>
      <c r="J453" s="390"/>
      <c r="K453" s="381">
        <f t="shared" si="78"/>
        <v>1</v>
      </c>
      <c r="L453" s="390"/>
      <c r="M453" s="381">
        <f t="shared" si="79"/>
        <v>1</v>
      </c>
      <c r="N453" s="390"/>
      <c r="O453" s="381">
        <f t="shared" si="80"/>
        <v>1</v>
      </c>
      <c r="P453" s="390"/>
      <c r="Q453" s="381">
        <f t="shared" si="81"/>
        <v>1</v>
      </c>
      <c r="R453" s="441">
        <f t="shared" si="82"/>
        <v>0</v>
      </c>
      <c r="S453" s="380">
        <f t="shared" si="83"/>
        <v>0</v>
      </c>
    </row>
    <row r="454" spans="1:19">
      <c r="A454" s="388"/>
      <c r="B454" s="389"/>
      <c r="C454" s="381">
        <f t="shared" si="74"/>
        <v>1</v>
      </c>
      <c r="D454" s="390"/>
      <c r="E454" s="381">
        <f t="shared" si="75"/>
        <v>1</v>
      </c>
      <c r="F454" s="390"/>
      <c r="G454" s="381">
        <f t="shared" si="76"/>
        <v>1</v>
      </c>
      <c r="H454" s="390"/>
      <c r="I454" s="381">
        <f t="shared" si="77"/>
        <v>1</v>
      </c>
      <c r="J454" s="390"/>
      <c r="K454" s="381">
        <f t="shared" si="78"/>
        <v>1</v>
      </c>
      <c r="L454" s="390"/>
      <c r="M454" s="381">
        <f t="shared" si="79"/>
        <v>1</v>
      </c>
      <c r="N454" s="390"/>
      <c r="O454" s="381">
        <f t="shared" si="80"/>
        <v>1</v>
      </c>
      <c r="P454" s="390"/>
      <c r="Q454" s="381">
        <f t="shared" si="81"/>
        <v>1</v>
      </c>
      <c r="R454" s="441">
        <f t="shared" si="82"/>
        <v>0</v>
      </c>
      <c r="S454" s="380">
        <f t="shared" si="83"/>
        <v>0</v>
      </c>
    </row>
    <row r="455" spans="1:19">
      <c r="A455" s="388"/>
      <c r="B455" s="389"/>
      <c r="C455" s="381">
        <f t="shared" si="74"/>
        <v>1</v>
      </c>
      <c r="D455" s="390"/>
      <c r="E455" s="381">
        <f t="shared" si="75"/>
        <v>1</v>
      </c>
      <c r="F455" s="390"/>
      <c r="G455" s="381">
        <f t="shared" si="76"/>
        <v>1</v>
      </c>
      <c r="H455" s="390"/>
      <c r="I455" s="381">
        <f t="shared" si="77"/>
        <v>1</v>
      </c>
      <c r="J455" s="390"/>
      <c r="K455" s="381">
        <f t="shared" si="78"/>
        <v>1</v>
      </c>
      <c r="L455" s="390"/>
      <c r="M455" s="381">
        <f t="shared" si="79"/>
        <v>1</v>
      </c>
      <c r="N455" s="390"/>
      <c r="O455" s="381">
        <f t="shared" si="80"/>
        <v>1</v>
      </c>
      <c r="P455" s="390"/>
      <c r="Q455" s="381">
        <f t="shared" si="81"/>
        <v>1</v>
      </c>
      <c r="R455" s="441">
        <f t="shared" si="82"/>
        <v>0</v>
      </c>
      <c r="S455" s="380">
        <f t="shared" si="83"/>
        <v>0</v>
      </c>
    </row>
    <row r="456" spans="1:19">
      <c r="A456" s="388"/>
      <c r="B456" s="389"/>
      <c r="C456" s="381">
        <f t="shared" si="74"/>
        <v>1</v>
      </c>
      <c r="D456" s="390"/>
      <c r="E456" s="381">
        <f t="shared" si="75"/>
        <v>1</v>
      </c>
      <c r="F456" s="390"/>
      <c r="G456" s="381">
        <f t="shared" si="76"/>
        <v>1</v>
      </c>
      <c r="H456" s="390"/>
      <c r="I456" s="381">
        <f t="shared" si="77"/>
        <v>1</v>
      </c>
      <c r="J456" s="390"/>
      <c r="K456" s="381">
        <f t="shared" si="78"/>
        <v>1</v>
      </c>
      <c r="L456" s="390"/>
      <c r="M456" s="381">
        <f t="shared" si="79"/>
        <v>1</v>
      </c>
      <c r="N456" s="390"/>
      <c r="O456" s="381">
        <f t="shared" si="80"/>
        <v>1</v>
      </c>
      <c r="P456" s="390"/>
      <c r="Q456" s="381">
        <f t="shared" si="81"/>
        <v>1</v>
      </c>
      <c r="R456" s="441">
        <f t="shared" si="82"/>
        <v>0</v>
      </c>
      <c r="S456" s="380">
        <f t="shared" si="83"/>
        <v>0</v>
      </c>
    </row>
    <row r="457" spans="1:19">
      <c r="A457" s="388"/>
      <c r="B457" s="389"/>
      <c r="C457" s="381">
        <f t="shared" si="74"/>
        <v>1</v>
      </c>
      <c r="D457" s="390"/>
      <c r="E457" s="381">
        <f t="shared" si="75"/>
        <v>1</v>
      </c>
      <c r="F457" s="390"/>
      <c r="G457" s="381">
        <f t="shared" si="76"/>
        <v>1</v>
      </c>
      <c r="H457" s="390"/>
      <c r="I457" s="381">
        <f t="shared" si="77"/>
        <v>1</v>
      </c>
      <c r="J457" s="390"/>
      <c r="K457" s="381">
        <f t="shared" si="78"/>
        <v>1</v>
      </c>
      <c r="L457" s="390"/>
      <c r="M457" s="381">
        <f t="shared" si="79"/>
        <v>1</v>
      </c>
      <c r="N457" s="390"/>
      <c r="O457" s="381">
        <f t="shared" si="80"/>
        <v>1</v>
      </c>
      <c r="P457" s="390"/>
      <c r="Q457" s="381">
        <f t="shared" si="81"/>
        <v>1</v>
      </c>
      <c r="R457" s="441">
        <f t="shared" si="82"/>
        <v>0</v>
      </c>
      <c r="S457" s="380">
        <f t="shared" si="83"/>
        <v>0</v>
      </c>
    </row>
    <row r="458" spans="1:19">
      <c r="A458" s="388"/>
      <c r="B458" s="389"/>
      <c r="C458" s="381">
        <f t="shared" si="74"/>
        <v>1</v>
      </c>
      <c r="D458" s="390"/>
      <c r="E458" s="381">
        <f t="shared" si="75"/>
        <v>1</v>
      </c>
      <c r="F458" s="390"/>
      <c r="G458" s="381">
        <f t="shared" si="76"/>
        <v>1</v>
      </c>
      <c r="H458" s="390"/>
      <c r="I458" s="381">
        <f t="shared" si="77"/>
        <v>1</v>
      </c>
      <c r="J458" s="390"/>
      <c r="K458" s="381">
        <f t="shared" si="78"/>
        <v>1</v>
      </c>
      <c r="L458" s="390"/>
      <c r="M458" s="381">
        <f t="shared" si="79"/>
        <v>1</v>
      </c>
      <c r="N458" s="390"/>
      <c r="O458" s="381">
        <f t="shared" si="80"/>
        <v>1</v>
      </c>
      <c r="P458" s="390"/>
      <c r="Q458" s="381">
        <f t="shared" si="81"/>
        <v>1</v>
      </c>
      <c r="R458" s="441">
        <f t="shared" si="82"/>
        <v>0</v>
      </c>
      <c r="S458" s="380">
        <f t="shared" si="83"/>
        <v>0</v>
      </c>
    </row>
    <row r="459" spans="1:19">
      <c r="A459" s="388"/>
      <c r="B459" s="389"/>
      <c r="C459" s="381">
        <f t="shared" si="74"/>
        <v>1</v>
      </c>
      <c r="D459" s="390"/>
      <c r="E459" s="381">
        <f t="shared" si="75"/>
        <v>1</v>
      </c>
      <c r="F459" s="390"/>
      <c r="G459" s="381">
        <f t="shared" si="76"/>
        <v>1</v>
      </c>
      <c r="H459" s="390"/>
      <c r="I459" s="381">
        <f t="shared" si="77"/>
        <v>1</v>
      </c>
      <c r="J459" s="390"/>
      <c r="K459" s="381">
        <f t="shared" si="78"/>
        <v>1</v>
      </c>
      <c r="L459" s="390"/>
      <c r="M459" s="381">
        <f t="shared" si="79"/>
        <v>1</v>
      </c>
      <c r="N459" s="390"/>
      <c r="O459" s="381">
        <f t="shared" si="80"/>
        <v>1</v>
      </c>
      <c r="P459" s="390"/>
      <c r="Q459" s="381">
        <f t="shared" si="81"/>
        <v>1</v>
      </c>
      <c r="R459" s="441">
        <f t="shared" si="82"/>
        <v>0</v>
      </c>
      <c r="S459" s="380">
        <f t="shared" si="83"/>
        <v>0</v>
      </c>
    </row>
    <row r="460" spans="1:19">
      <c r="A460" s="388"/>
      <c r="B460" s="389"/>
      <c r="C460" s="381">
        <f t="shared" si="74"/>
        <v>1</v>
      </c>
      <c r="D460" s="390"/>
      <c r="E460" s="381">
        <f t="shared" si="75"/>
        <v>1</v>
      </c>
      <c r="F460" s="390"/>
      <c r="G460" s="381">
        <f t="shared" si="76"/>
        <v>1</v>
      </c>
      <c r="H460" s="390"/>
      <c r="I460" s="381">
        <f t="shared" si="77"/>
        <v>1</v>
      </c>
      <c r="J460" s="390"/>
      <c r="K460" s="381">
        <f t="shared" si="78"/>
        <v>1</v>
      </c>
      <c r="L460" s="390"/>
      <c r="M460" s="381">
        <f t="shared" si="79"/>
        <v>1</v>
      </c>
      <c r="N460" s="390"/>
      <c r="O460" s="381">
        <f t="shared" si="80"/>
        <v>1</v>
      </c>
      <c r="P460" s="390"/>
      <c r="Q460" s="381">
        <f t="shared" si="81"/>
        <v>1</v>
      </c>
      <c r="R460" s="441">
        <f t="shared" si="82"/>
        <v>0</v>
      </c>
      <c r="S460" s="380">
        <f t="shared" si="83"/>
        <v>0</v>
      </c>
    </row>
    <row r="461" spans="1:19">
      <c r="A461" s="388"/>
      <c r="B461" s="389"/>
      <c r="C461" s="381">
        <f t="shared" si="74"/>
        <v>1</v>
      </c>
      <c r="D461" s="390"/>
      <c r="E461" s="381">
        <f t="shared" si="75"/>
        <v>1</v>
      </c>
      <c r="F461" s="390"/>
      <c r="G461" s="381">
        <f t="shared" si="76"/>
        <v>1</v>
      </c>
      <c r="H461" s="390"/>
      <c r="I461" s="381">
        <f t="shared" si="77"/>
        <v>1</v>
      </c>
      <c r="J461" s="390"/>
      <c r="K461" s="381">
        <f t="shared" si="78"/>
        <v>1</v>
      </c>
      <c r="L461" s="390"/>
      <c r="M461" s="381">
        <f t="shared" si="79"/>
        <v>1</v>
      </c>
      <c r="N461" s="390"/>
      <c r="O461" s="381">
        <f t="shared" si="80"/>
        <v>1</v>
      </c>
      <c r="P461" s="390"/>
      <c r="Q461" s="381">
        <f t="shared" si="81"/>
        <v>1</v>
      </c>
      <c r="R461" s="441">
        <f t="shared" si="82"/>
        <v>0</v>
      </c>
      <c r="S461" s="380">
        <f t="shared" si="83"/>
        <v>0</v>
      </c>
    </row>
    <row r="462" spans="1:19">
      <c r="A462" s="388"/>
      <c r="B462" s="389"/>
      <c r="C462" s="381">
        <f t="shared" si="74"/>
        <v>1</v>
      </c>
      <c r="D462" s="390"/>
      <c r="E462" s="381">
        <f t="shared" si="75"/>
        <v>1</v>
      </c>
      <c r="F462" s="390"/>
      <c r="G462" s="381">
        <f t="shared" si="76"/>
        <v>1</v>
      </c>
      <c r="H462" s="390"/>
      <c r="I462" s="381">
        <f t="shared" si="77"/>
        <v>1</v>
      </c>
      <c r="J462" s="390"/>
      <c r="K462" s="381">
        <f t="shared" si="78"/>
        <v>1</v>
      </c>
      <c r="L462" s="390"/>
      <c r="M462" s="381">
        <f t="shared" si="79"/>
        <v>1</v>
      </c>
      <c r="N462" s="390"/>
      <c r="O462" s="381">
        <f t="shared" si="80"/>
        <v>1</v>
      </c>
      <c r="P462" s="390"/>
      <c r="Q462" s="381">
        <f t="shared" si="81"/>
        <v>1</v>
      </c>
      <c r="R462" s="441">
        <f t="shared" si="82"/>
        <v>0</v>
      </c>
      <c r="S462" s="380">
        <f t="shared" si="83"/>
        <v>0</v>
      </c>
    </row>
    <row r="463" spans="1:19">
      <c r="A463" s="388"/>
      <c r="B463" s="389"/>
      <c r="C463" s="381">
        <f t="shared" si="74"/>
        <v>1</v>
      </c>
      <c r="D463" s="390"/>
      <c r="E463" s="381">
        <f t="shared" si="75"/>
        <v>1</v>
      </c>
      <c r="F463" s="390"/>
      <c r="G463" s="381">
        <f t="shared" si="76"/>
        <v>1</v>
      </c>
      <c r="H463" s="390"/>
      <c r="I463" s="381">
        <f t="shared" si="77"/>
        <v>1</v>
      </c>
      <c r="J463" s="390"/>
      <c r="K463" s="381">
        <f t="shared" si="78"/>
        <v>1</v>
      </c>
      <c r="L463" s="390"/>
      <c r="M463" s="381">
        <f t="shared" si="79"/>
        <v>1</v>
      </c>
      <c r="N463" s="390"/>
      <c r="O463" s="381">
        <f t="shared" si="80"/>
        <v>1</v>
      </c>
      <c r="P463" s="390"/>
      <c r="Q463" s="381">
        <f t="shared" si="81"/>
        <v>1</v>
      </c>
      <c r="R463" s="441">
        <f t="shared" si="82"/>
        <v>0</v>
      </c>
      <c r="S463" s="380">
        <f t="shared" si="83"/>
        <v>0</v>
      </c>
    </row>
    <row r="464" spans="1:19">
      <c r="A464" s="388"/>
      <c r="B464" s="389"/>
      <c r="C464" s="381">
        <f t="shared" si="74"/>
        <v>1</v>
      </c>
      <c r="D464" s="390"/>
      <c r="E464" s="381">
        <f t="shared" si="75"/>
        <v>1</v>
      </c>
      <c r="F464" s="390"/>
      <c r="G464" s="381">
        <f t="shared" si="76"/>
        <v>1</v>
      </c>
      <c r="H464" s="390"/>
      <c r="I464" s="381">
        <f t="shared" si="77"/>
        <v>1</v>
      </c>
      <c r="J464" s="390"/>
      <c r="K464" s="381">
        <f t="shared" si="78"/>
        <v>1</v>
      </c>
      <c r="L464" s="390"/>
      <c r="M464" s="381">
        <f t="shared" si="79"/>
        <v>1</v>
      </c>
      <c r="N464" s="390"/>
      <c r="O464" s="381">
        <f t="shared" si="80"/>
        <v>1</v>
      </c>
      <c r="P464" s="390"/>
      <c r="Q464" s="381">
        <f t="shared" si="81"/>
        <v>1</v>
      </c>
      <c r="R464" s="441">
        <f t="shared" si="82"/>
        <v>0</v>
      </c>
      <c r="S464" s="380">
        <f t="shared" si="83"/>
        <v>0</v>
      </c>
    </row>
    <row r="465" spans="1:19">
      <c r="A465" s="388"/>
      <c r="B465" s="389"/>
      <c r="C465" s="381">
        <f t="shared" si="74"/>
        <v>1</v>
      </c>
      <c r="D465" s="390"/>
      <c r="E465" s="381">
        <f t="shared" si="75"/>
        <v>1</v>
      </c>
      <c r="F465" s="390"/>
      <c r="G465" s="381">
        <f t="shared" si="76"/>
        <v>1</v>
      </c>
      <c r="H465" s="390"/>
      <c r="I465" s="381">
        <f t="shared" si="77"/>
        <v>1</v>
      </c>
      <c r="J465" s="390"/>
      <c r="K465" s="381">
        <f t="shared" si="78"/>
        <v>1</v>
      </c>
      <c r="L465" s="390"/>
      <c r="M465" s="381">
        <f t="shared" si="79"/>
        <v>1</v>
      </c>
      <c r="N465" s="390"/>
      <c r="O465" s="381">
        <f t="shared" si="80"/>
        <v>1</v>
      </c>
      <c r="P465" s="390"/>
      <c r="Q465" s="381">
        <f t="shared" si="81"/>
        <v>1</v>
      </c>
      <c r="R465" s="441">
        <f t="shared" si="82"/>
        <v>0</v>
      </c>
      <c r="S465" s="380">
        <f t="shared" si="83"/>
        <v>0</v>
      </c>
    </row>
    <row r="466" spans="1:19">
      <c r="A466" s="388"/>
      <c r="B466" s="389"/>
      <c r="C466" s="381">
        <f t="shared" si="74"/>
        <v>1</v>
      </c>
      <c r="D466" s="390"/>
      <c r="E466" s="381">
        <f t="shared" si="75"/>
        <v>1</v>
      </c>
      <c r="F466" s="390"/>
      <c r="G466" s="381">
        <f t="shared" si="76"/>
        <v>1</v>
      </c>
      <c r="H466" s="390"/>
      <c r="I466" s="381">
        <f t="shared" si="77"/>
        <v>1</v>
      </c>
      <c r="J466" s="390"/>
      <c r="K466" s="381">
        <f t="shared" si="78"/>
        <v>1</v>
      </c>
      <c r="L466" s="390"/>
      <c r="M466" s="381">
        <f t="shared" si="79"/>
        <v>1</v>
      </c>
      <c r="N466" s="390"/>
      <c r="O466" s="381">
        <f t="shared" si="80"/>
        <v>1</v>
      </c>
      <c r="P466" s="390"/>
      <c r="Q466" s="381">
        <f t="shared" si="81"/>
        <v>1</v>
      </c>
      <c r="R466" s="441">
        <f t="shared" si="82"/>
        <v>0</v>
      </c>
      <c r="S466" s="380">
        <f t="shared" si="83"/>
        <v>0</v>
      </c>
    </row>
    <row r="467" spans="1:19">
      <c r="A467" s="388"/>
      <c r="B467" s="389"/>
      <c r="C467" s="381">
        <f t="shared" si="74"/>
        <v>1</v>
      </c>
      <c r="D467" s="390"/>
      <c r="E467" s="381">
        <f t="shared" si="75"/>
        <v>1</v>
      </c>
      <c r="F467" s="390"/>
      <c r="G467" s="381">
        <f t="shared" si="76"/>
        <v>1</v>
      </c>
      <c r="H467" s="390"/>
      <c r="I467" s="381">
        <f t="shared" si="77"/>
        <v>1</v>
      </c>
      <c r="J467" s="390"/>
      <c r="K467" s="381">
        <f t="shared" si="78"/>
        <v>1</v>
      </c>
      <c r="L467" s="390"/>
      <c r="M467" s="381">
        <f t="shared" si="79"/>
        <v>1</v>
      </c>
      <c r="N467" s="390"/>
      <c r="O467" s="381">
        <f t="shared" si="80"/>
        <v>1</v>
      </c>
      <c r="P467" s="390"/>
      <c r="Q467" s="381">
        <f t="shared" si="81"/>
        <v>1</v>
      </c>
      <c r="R467" s="441">
        <f t="shared" si="82"/>
        <v>0</v>
      </c>
      <c r="S467" s="380">
        <f t="shared" si="83"/>
        <v>0</v>
      </c>
    </row>
    <row r="468" spans="1:19">
      <c r="A468" s="388"/>
      <c r="B468" s="389"/>
      <c r="C468" s="381">
        <f t="shared" si="74"/>
        <v>1</v>
      </c>
      <c r="D468" s="390"/>
      <c r="E468" s="381">
        <f t="shared" si="75"/>
        <v>1</v>
      </c>
      <c r="F468" s="390"/>
      <c r="G468" s="381">
        <f t="shared" si="76"/>
        <v>1</v>
      </c>
      <c r="H468" s="390"/>
      <c r="I468" s="381">
        <f t="shared" si="77"/>
        <v>1</v>
      </c>
      <c r="J468" s="390"/>
      <c r="K468" s="381">
        <f t="shared" si="78"/>
        <v>1</v>
      </c>
      <c r="L468" s="390"/>
      <c r="M468" s="381">
        <f t="shared" si="79"/>
        <v>1</v>
      </c>
      <c r="N468" s="390"/>
      <c r="O468" s="381">
        <f t="shared" si="80"/>
        <v>1</v>
      </c>
      <c r="P468" s="390"/>
      <c r="Q468" s="381">
        <f t="shared" si="81"/>
        <v>1</v>
      </c>
      <c r="R468" s="441">
        <f t="shared" si="82"/>
        <v>0</v>
      </c>
      <c r="S468" s="380">
        <f t="shared" ref="S468:S497" si="84">ROUND(R468*B468/10000,0)</f>
        <v>0</v>
      </c>
    </row>
    <row r="469" spans="1:19">
      <c r="A469" s="388"/>
      <c r="B469" s="389"/>
      <c r="C469" s="381">
        <f t="shared" si="74"/>
        <v>1</v>
      </c>
      <c r="D469" s="390"/>
      <c r="E469" s="381">
        <f t="shared" si="75"/>
        <v>1</v>
      </c>
      <c r="F469" s="390"/>
      <c r="G469" s="381">
        <f t="shared" si="76"/>
        <v>1</v>
      </c>
      <c r="H469" s="390"/>
      <c r="I469" s="381">
        <f t="shared" si="77"/>
        <v>1</v>
      </c>
      <c r="J469" s="390"/>
      <c r="K469" s="381">
        <f t="shared" si="78"/>
        <v>1</v>
      </c>
      <c r="L469" s="390"/>
      <c r="M469" s="381">
        <f t="shared" si="79"/>
        <v>1</v>
      </c>
      <c r="N469" s="390"/>
      <c r="O469" s="381">
        <f t="shared" si="80"/>
        <v>1</v>
      </c>
      <c r="P469" s="390"/>
      <c r="Q469" s="381">
        <f t="shared" si="81"/>
        <v>1</v>
      </c>
      <c r="R469" s="441">
        <f t="shared" si="82"/>
        <v>0</v>
      </c>
      <c r="S469" s="380">
        <f t="shared" si="84"/>
        <v>0</v>
      </c>
    </row>
    <row r="470" spans="1:19">
      <c r="A470" s="388"/>
      <c r="B470" s="389"/>
      <c r="C470" s="381">
        <f t="shared" si="74"/>
        <v>1</v>
      </c>
      <c r="D470" s="390"/>
      <c r="E470" s="381">
        <f t="shared" si="75"/>
        <v>1</v>
      </c>
      <c r="F470" s="390"/>
      <c r="G470" s="381">
        <f t="shared" si="76"/>
        <v>1</v>
      </c>
      <c r="H470" s="390"/>
      <c r="I470" s="381">
        <f t="shared" si="77"/>
        <v>1</v>
      </c>
      <c r="J470" s="390"/>
      <c r="K470" s="381">
        <f t="shared" si="78"/>
        <v>1</v>
      </c>
      <c r="L470" s="390"/>
      <c r="M470" s="381">
        <f t="shared" si="79"/>
        <v>1</v>
      </c>
      <c r="N470" s="390"/>
      <c r="O470" s="381">
        <f t="shared" si="80"/>
        <v>1</v>
      </c>
      <c r="P470" s="390"/>
      <c r="Q470" s="381">
        <f t="shared" si="81"/>
        <v>1</v>
      </c>
      <c r="R470" s="441">
        <f t="shared" si="82"/>
        <v>0</v>
      </c>
      <c r="S470" s="380">
        <f t="shared" si="84"/>
        <v>0</v>
      </c>
    </row>
    <row r="471" spans="1:19">
      <c r="A471" s="388"/>
      <c r="B471" s="389"/>
      <c r="C471" s="381">
        <f t="shared" si="74"/>
        <v>1</v>
      </c>
      <c r="D471" s="390"/>
      <c r="E471" s="381">
        <f t="shared" si="75"/>
        <v>1</v>
      </c>
      <c r="F471" s="390"/>
      <c r="G471" s="381">
        <f t="shared" si="76"/>
        <v>1</v>
      </c>
      <c r="H471" s="390"/>
      <c r="I471" s="381">
        <f t="shared" si="77"/>
        <v>1</v>
      </c>
      <c r="J471" s="390"/>
      <c r="K471" s="381">
        <f t="shared" si="78"/>
        <v>1</v>
      </c>
      <c r="L471" s="390"/>
      <c r="M471" s="381">
        <f t="shared" si="79"/>
        <v>1</v>
      </c>
      <c r="N471" s="390"/>
      <c r="O471" s="381">
        <f t="shared" si="80"/>
        <v>1</v>
      </c>
      <c r="P471" s="390"/>
      <c r="Q471" s="381">
        <f t="shared" si="81"/>
        <v>1</v>
      </c>
      <c r="R471" s="441">
        <f t="shared" si="82"/>
        <v>0</v>
      </c>
      <c r="S471" s="380">
        <f t="shared" si="84"/>
        <v>0</v>
      </c>
    </row>
    <row r="472" spans="1:19">
      <c r="A472" s="388"/>
      <c r="B472" s="389"/>
      <c r="C472" s="381">
        <f t="shared" si="74"/>
        <v>1</v>
      </c>
      <c r="D472" s="390"/>
      <c r="E472" s="381">
        <f t="shared" si="75"/>
        <v>1</v>
      </c>
      <c r="F472" s="390"/>
      <c r="G472" s="381">
        <f t="shared" si="76"/>
        <v>1</v>
      </c>
      <c r="H472" s="390"/>
      <c r="I472" s="381">
        <f t="shared" si="77"/>
        <v>1</v>
      </c>
      <c r="J472" s="390"/>
      <c r="K472" s="381">
        <f t="shared" si="78"/>
        <v>1</v>
      </c>
      <c r="L472" s="390"/>
      <c r="M472" s="381">
        <f t="shared" si="79"/>
        <v>1</v>
      </c>
      <c r="N472" s="390"/>
      <c r="O472" s="381">
        <f t="shared" si="80"/>
        <v>1</v>
      </c>
      <c r="P472" s="390"/>
      <c r="Q472" s="381">
        <f t="shared" si="81"/>
        <v>1</v>
      </c>
      <c r="R472" s="441">
        <f t="shared" si="82"/>
        <v>0</v>
      </c>
      <c r="S472" s="380">
        <f t="shared" si="84"/>
        <v>0</v>
      </c>
    </row>
    <row r="473" spans="1:19">
      <c r="A473" s="388"/>
      <c r="B473" s="389"/>
      <c r="C473" s="381">
        <f t="shared" si="74"/>
        <v>1</v>
      </c>
      <c r="D473" s="390"/>
      <c r="E473" s="381">
        <f t="shared" si="75"/>
        <v>1</v>
      </c>
      <c r="F473" s="390"/>
      <c r="G473" s="381">
        <f t="shared" si="76"/>
        <v>1</v>
      </c>
      <c r="H473" s="390"/>
      <c r="I473" s="381">
        <f t="shared" si="77"/>
        <v>1</v>
      </c>
      <c r="J473" s="390"/>
      <c r="K473" s="381">
        <f t="shared" si="78"/>
        <v>1</v>
      </c>
      <c r="L473" s="390"/>
      <c r="M473" s="381">
        <f t="shared" si="79"/>
        <v>1</v>
      </c>
      <c r="N473" s="390"/>
      <c r="O473" s="381">
        <f t="shared" si="80"/>
        <v>1</v>
      </c>
      <c r="P473" s="390"/>
      <c r="Q473" s="381">
        <f t="shared" si="81"/>
        <v>1</v>
      </c>
      <c r="R473" s="441">
        <f t="shared" si="82"/>
        <v>0</v>
      </c>
      <c r="S473" s="380">
        <f t="shared" si="84"/>
        <v>0</v>
      </c>
    </row>
    <row r="474" spans="1:19">
      <c r="A474" s="388"/>
      <c r="B474" s="389"/>
      <c r="C474" s="381">
        <f t="shared" ref="C474:C524" si="85">IF(B474="",1,(LOOKUP(B474,$3:$3,$4:$4)-LOOKUP($B$24,$3:$3,$4:$4)+100)/100)</f>
        <v>1</v>
      </c>
      <c r="D474" s="390"/>
      <c r="E474" s="381">
        <f t="shared" ref="E474:E524" si="86">(SUMIF($5:$5,D474,$6:$6)-SUMIF($5:$5,$D$24,$6:$6)+100)/100</f>
        <v>1</v>
      </c>
      <c r="F474" s="390"/>
      <c r="G474" s="381">
        <f t="shared" ref="G474:G524" si="87">(SUMIF($7:$7,F474,$8:$8)-SUMIF($7:$7,$F$24,$8:$8)+100)/100</f>
        <v>1</v>
      </c>
      <c r="H474" s="390"/>
      <c r="I474" s="381">
        <f t="shared" ref="I474:I524" si="88">(SUMIF($9:$9,H474,$10:$10)-SUMIF($9:$9,$H$24,$10:$10)+100)/100</f>
        <v>1</v>
      </c>
      <c r="J474" s="390"/>
      <c r="K474" s="381">
        <f t="shared" ref="K474:K524" si="89">(SUMIF($11:$11,J474,$12:$12)-SUMIF($11:$11,$J$24,$12:$12)+100)/100</f>
        <v>1</v>
      </c>
      <c r="L474" s="390"/>
      <c r="M474" s="381">
        <f t="shared" ref="M474:M524" si="90">(SUMIF($13:$13,L474,$14:$14)-SUMIF($13:$13,$L$24,$14:$14)+100)/100</f>
        <v>1</v>
      </c>
      <c r="N474" s="390"/>
      <c r="O474" s="381">
        <f t="shared" ref="O474:O524" si="91">(SUMIF($15:$15,N474,$16:$16)-SUMIF($15:$15,$N$24,$16:$16)+100)/100</f>
        <v>1</v>
      </c>
      <c r="P474" s="390"/>
      <c r="Q474" s="381">
        <f t="shared" ref="Q474:Q524" si="92">(SUMIF($17:$17,P474,$18:$18)-SUMIF($17:$17,$P$24,$18:$18)+100)/100</f>
        <v>1</v>
      </c>
      <c r="R474" s="441">
        <f t="shared" ref="R474:R524" si="93">IF(B474="",0,ROUND($R$24*C474*E474*G474*I474*K474*M474*O474*Q474,0))</f>
        <v>0</v>
      </c>
      <c r="S474" s="380">
        <f t="shared" si="84"/>
        <v>0</v>
      </c>
    </row>
    <row r="475" spans="1:19">
      <c r="A475" s="388"/>
      <c r="B475" s="389"/>
      <c r="C475" s="381">
        <f t="shared" si="85"/>
        <v>1</v>
      </c>
      <c r="D475" s="390"/>
      <c r="E475" s="381">
        <f t="shared" si="86"/>
        <v>1</v>
      </c>
      <c r="F475" s="390"/>
      <c r="G475" s="381">
        <f t="shared" si="87"/>
        <v>1</v>
      </c>
      <c r="H475" s="390"/>
      <c r="I475" s="381">
        <f t="shared" si="88"/>
        <v>1</v>
      </c>
      <c r="J475" s="390"/>
      <c r="K475" s="381">
        <f t="shared" si="89"/>
        <v>1</v>
      </c>
      <c r="L475" s="390"/>
      <c r="M475" s="381">
        <f t="shared" si="90"/>
        <v>1</v>
      </c>
      <c r="N475" s="390"/>
      <c r="O475" s="381">
        <f t="shared" si="91"/>
        <v>1</v>
      </c>
      <c r="P475" s="390"/>
      <c r="Q475" s="381">
        <f t="shared" si="92"/>
        <v>1</v>
      </c>
      <c r="R475" s="441">
        <f t="shared" si="93"/>
        <v>0</v>
      </c>
      <c r="S475" s="380">
        <f t="shared" si="84"/>
        <v>0</v>
      </c>
    </row>
    <row r="476" spans="1:19">
      <c r="A476" s="388"/>
      <c r="B476" s="389"/>
      <c r="C476" s="381">
        <f t="shared" si="85"/>
        <v>1</v>
      </c>
      <c r="D476" s="390"/>
      <c r="E476" s="381">
        <f t="shared" si="86"/>
        <v>1</v>
      </c>
      <c r="F476" s="390"/>
      <c r="G476" s="381">
        <f t="shared" si="87"/>
        <v>1</v>
      </c>
      <c r="H476" s="390"/>
      <c r="I476" s="381">
        <f t="shared" si="88"/>
        <v>1</v>
      </c>
      <c r="J476" s="390"/>
      <c r="K476" s="381">
        <f t="shared" si="89"/>
        <v>1</v>
      </c>
      <c r="L476" s="390"/>
      <c r="M476" s="381">
        <f t="shared" si="90"/>
        <v>1</v>
      </c>
      <c r="N476" s="390"/>
      <c r="O476" s="381">
        <f t="shared" si="91"/>
        <v>1</v>
      </c>
      <c r="P476" s="390"/>
      <c r="Q476" s="381">
        <f t="shared" si="92"/>
        <v>1</v>
      </c>
      <c r="R476" s="441">
        <f t="shared" si="93"/>
        <v>0</v>
      </c>
      <c r="S476" s="380">
        <f t="shared" si="84"/>
        <v>0</v>
      </c>
    </row>
    <row r="477" spans="1:19">
      <c r="A477" s="388"/>
      <c r="B477" s="389"/>
      <c r="C477" s="381">
        <f t="shared" si="85"/>
        <v>1</v>
      </c>
      <c r="D477" s="390"/>
      <c r="E477" s="381">
        <f t="shared" si="86"/>
        <v>1</v>
      </c>
      <c r="F477" s="390"/>
      <c r="G477" s="381">
        <f t="shared" si="87"/>
        <v>1</v>
      </c>
      <c r="H477" s="390"/>
      <c r="I477" s="381">
        <f t="shared" si="88"/>
        <v>1</v>
      </c>
      <c r="J477" s="390"/>
      <c r="K477" s="381">
        <f t="shared" si="89"/>
        <v>1</v>
      </c>
      <c r="L477" s="390"/>
      <c r="M477" s="381">
        <f t="shared" si="90"/>
        <v>1</v>
      </c>
      <c r="N477" s="390"/>
      <c r="O477" s="381">
        <f t="shared" si="91"/>
        <v>1</v>
      </c>
      <c r="P477" s="390"/>
      <c r="Q477" s="381">
        <f t="shared" si="92"/>
        <v>1</v>
      </c>
      <c r="R477" s="441">
        <f t="shared" si="93"/>
        <v>0</v>
      </c>
      <c r="S477" s="380">
        <f t="shared" si="84"/>
        <v>0</v>
      </c>
    </row>
    <row r="478" spans="1:19">
      <c r="A478" s="388"/>
      <c r="B478" s="389"/>
      <c r="C478" s="381">
        <f t="shared" si="85"/>
        <v>1</v>
      </c>
      <c r="D478" s="390"/>
      <c r="E478" s="381">
        <f t="shared" si="86"/>
        <v>1</v>
      </c>
      <c r="F478" s="390"/>
      <c r="G478" s="381">
        <f t="shared" si="87"/>
        <v>1</v>
      </c>
      <c r="H478" s="390"/>
      <c r="I478" s="381">
        <f t="shared" si="88"/>
        <v>1</v>
      </c>
      <c r="J478" s="390"/>
      <c r="K478" s="381">
        <f t="shared" si="89"/>
        <v>1</v>
      </c>
      <c r="L478" s="390"/>
      <c r="M478" s="381">
        <f t="shared" si="90"/>
        <v>1</v>
      </c>
      <c r="N478" s="390"/>
      <c r="O478" s="381">
        <f t="shared" si="91"/>
        <v>1</v>
      </c>
      <c r="P478" s="390"/>
      <c r="Q478" s="381">
        <f t="shared" si="92"/>
        <v>1</v>
      </c>
      <c r="R478" s="441">
        <f t="shared" si="93"/>
        <v>0</v>
      </c>
      <c r="S478" s="380">
        <f t="shared" si="84"/>
        <v>0</v>
      </c>
    </row>
    <row r="479" spans="1:19">
      <c r="A479" s="388"/>
      <c r="B479" s="389"/>
      <c r="C479" s="381">
        <f t="shared" si="85"/>
        <v>1</v>
      </c>
      <c r="D479" s="390"/>
      <c r="E479" s="381">
        <f t="shared" si="86"/>
        <v>1</v>
      </c>
      <c r="F479" s="390"/>
      <c r="G479" s="381">
        <f t="shared" si="87"/>
        <v>1</v>
      </c>
      <c r="H479" s="390"/>
      <c r="I479" s="381">
        <f t="shared" si="88"/>
        <v>1</v>
      </c>
      <c r="J479" s="390"/>
      <c r="K479" s="381">
        <f t="shared" si="89"/>
        <v>1</v>
      </c>
      <c r="L479" s="390"/>
      <c r="M479" s="381">
        <f t="shared" si="90"/>
        <v>1</v>
      </c>
      <c r="N479" s="390"/>
      <c r="O479" s="381">
        <f t="shared" si="91"/>
        <v>1</v>
      </c>
      <c r="P479" s="390"/>
      <c r="Q479" s="381">
        <f t="shared" si="92"/>
        <v>1</v>
      </c>
      <c r="R479" s="441">
        <f t="shared" si="93"/>
        <v>0</v>
      </c>
      <c r="S479" s="380">
        <f t="shared" si="84"/>
        <v>0</v>
      </c>
    </row>
    <row r="480" spans="1:19">
      <c r="A480" s="388"/>
      <c r="B480" s="389"/>
      <c r="C480" s="381">
        <f t="shared" si="85"/>
        <v>1</v>
      </c>
      <c r="D480" s="390"/>
      <c r="E480" s="381">
        <f t="shared" si="86"/>
        <v>1</v>
      </c>
      <c r="F480" s="390"/>
      <c r="G480" s="381">
        <f t="shared" si="87"/>
        <v>1</v>
      </c>
      <c r="H480" s="390"/>
      <c r="I480" s="381">
        <f t="shared" si="88"/>
        <v>1</v>
      </c>
      <c r="J480" s="390"/>
      <c r="K480" s="381">
        <f t="shared" si="89"/>
        <v>1</v>
      </c>
      <c r="L480" s="390"/>
      <c r="M480" s="381">
        <f t="shared" si="90"/>
        <v>1</v>
      </c>
      <c r="N480" s="390"/>
      <c r="O480" s="381">
        <f t="shared" si="91"/>
        <v>1</v>
      </c>
      <c r="P480" s="390"/>
      <c r="Q480" s="381">
        <f t="shared" si="92"/>
        <v>1</v>
      </c>
      <c r="R480" s="441">
        <f t="shared" si="93"/>
        <v>0</v>
      </c>
      <c r="S480" s="380">
        <f t="shared" si="84"/>
        <v>0</v>
      </c>
    </row>
    <row r="481" spans="1:19">
      <c r="A481" s="388"/>
      <c r="B481" s="389"/>
      <c r="C481" s="381">
        <f t="shared" si="85"/>
        <v>1</v>
      </c>
      <c r="D481" s="390"/>
      <c r="E481" s="381">
        <f t="shared" si="86"/>
        <v>1</v>
      </c>
      <c r="F481" s="390"/>
      <c r="G481" s="381">
        <f t="shared" si="87"/>
        <v>1</v>
      </c>
      <c r="H481" s="390"/>
      <c r="I481" s="381">
        <f t="shared" si="88"/>
        <v>1</v>
      </c>
      <c r="J481" s="390"/>
      <c r="K481" s="381">
        <f t="shared" si="89"/>
        <v>1</v>
      </c>
      <c r="L481" s="390"/>
      <c r="M481" s="381">
        <f t="shared" si="90"/>
        <v>1</v>
      </c>
      <c r="N481" s="390"/>
      <c r="O481" s="381">
        <f t="shared" si="91"/>
        <v>1</v>
      </c>
      <c r="P481" s="390"/>
      <c r="Q481" s="381">
        <f t="shared" si="92"/>
        <v>1</v>
      </c>
      <c r="R481" s="441">
        <f t="shared" si="93"/>
        <v>0</v>
      </c>
      <c r="S481" s="380">
        <f t="shared" si="84"/>
        <v>0</v>
      </c>
    </row>
    <row r="482" spans="1:19">
      <c r="A482" s="388"/>
      <c r="B482" s="389"/>
      <c r="C482" s="381">
        <f t="shared" si="85"/>
        <v>1</v>
      </c>
      <c r="D482" s="390"/>
      <c r="E482" s="381">
        <f t="shared" si="86"/>
        <v>1</v>
      </c>
      <c r="F482" s="390"/>
      <c r="G482" s="381">
        <f t="shared" si="87"/>
        <v>1</v>
      </c>
      <c r="H482" s="390"/>
      <c r="I482" s="381">
        <f t="shared" si="88"/>
        <v>1</v>
      </c>
      <c r="J482" s="390"/>
      <c r="K482" s="381">
        <f t="shared" si="89"/>
        <v>1</v>
      </c>
      <c r="L482" s="390"/>
      <c r="M482" s="381">
        <f t="shared" si="90"/>
        <v>1</v>
      </c>
      <c r="N482" s="390"/>
      <c r="O482" s="381">
        <f t="shared" si="91"/>
        <v>1</v>
      </c>
      <c r="P482" s="390"/>
      <c r="Q482" s="381">
        <f t="shared" si="92"/>
        <v>1</v>
      </c>
      <c r="R482" s="441">
        <f t="shared" si="93"/>
        <v>0</v>
      </c>
      <c r="S482" s="380">
        <f t="shared" si="84"/>
        <v>0</v>
      </c>
    </row>
    <row r="483" spans="1:19">
      <c r="A483" s="388"/>
      <c r="B483" s="389"/>
      <c r="C483" s="381">
        <f t="shared" si="85"/>
        <v>1</v>
      </c>
      <c r="D483" s="390"/>
      <c r="E483" s="381">
        <f t="shared" si="86"/>
        <v>1</v>
      </c>
      <c r="F483" s="390"/>
      <c r="G483" s="381">
        <f t="shared" si="87"/>
        <v>1</v>
      </c>
      <c r="H483" s="390"/>
      <c r="I483" s="381">
        <f t="shared" si="88"/>
        <v>1</v>
      </c>
      <c r="J483" s="390"/>
      <c r="K483" s="381">
        <f t="shared" si="89"/>
        <v>1</v>
      </c>
      <c r="L483" s="390"/>
      <c r="M483" s="381">
        <f t="shared" si="90"/>
        <v>1</v>
      </c>
      <c r="N483" s="390"/>
      <c r="O483" s="381">
        <f t="shared" si="91"/>
        <v>1</v>
      </c>
      <c r="P483" s="390"/>
      <c r="Q483" s="381">
        <f t="shared" si="92"/>
        <v>1</v>
      </c>
      <c r="R483" s="441">
        <f t="shared" si="93"/>
        <v>0</v>
      </c>
      <c r="S483" s="380">
        <f t="shared" si="84"/>
        <v>0</v>
      </c>
    </row>
    <row r="484" spans="1:19">
      <c r="A484" s="388"/>
      <c r="B484" s="389"/>
      <c r="C484" s="381">
        <f t="shared" si="85"/>
        <v>1</v>
      </c>
      <c r="D484" s="390"/>
      <c r="E484" s="381">
        <f t="shared" si="86"/>
        <v>1</v>
      </c>
      <c r="F484" s="390"/>
      <c r="G484" s="381">
        <f t="shared" si="87"/>
        <v>1</v>
      </c>
      <c r="H484" s="390"/>
      <c r="I484" s="381">
        <f t="shared" si="88"/>
        <v>1</v>
      </c>
      <c r="J484" s="390"/>
      <c r="K484" s="381">
        <f t="shared" si="89"/>
        <v>1</v>
      </c>
      <c r="L484" s="390"/>
      <c r="M484" s="381">
        <f t="shared" si="90"/>
        <v>1</v>
      </c>
      <c r="N484" s="390"/>
      <c r="O484" s="381">
        <f t="shared" si="91"/>
        <v>1</v>
      </c>
      <c r="P484" s="390"/>
      <c r="Q484" s="381">
        <f t="shared" si="92"/>
        <v>1</v>
      </c>
      <c r="R484" s="441">
        <f t="shared" si="93"/>
        <v>0</v>
      </c>
      <c r="S484" s="380">
        <f t="shared" si="84"/>
        <v>0</v>
      </c>
    </row>
    <row r="485" spans="1:19">
      <c r="A485" s="388"/>
      <c r="B485" s="389"/>
      <c r="C485" s="381">
        <f t="shared" si="85"/>
        <v>1</v>
      </c>
      <c r="D485" s="390"/>
      <c r="E485" s="381">
        <f t="shared" si="86"/>
        <v>1</v>
      </c>
      <c r="F485" s="390"/>
      <c r="G485" s="381">
        <f t="shared" si="87"/>
        <v>1</v>
      </c>
      <c r="H485" s="390"/>
      <c r="I485" s="381">
        <f t="shared" si="88"/>
        <v>1</v>
      </c>
      <c r="J485" s="390"/>
      <c r="K485" s="381">
        <f t="shared" si="89"/>
        <v>1</v>
      </c>
      <c r="L485" s="390"/>
      <c r="M485" s="381">
        <f t="shared" si="90"/>
        <v>1</v>
      </c>
      <c r="N485" s="390"/>
      <c r="O485" s="381">
        <f t="shared" si="91"/>
        <v>1</v>
      </c>
      <c r="P485" s="390"/>
      <c r="Q485" s="381">
        <f t="shared" si="92"/>
        <v>1</v>
      </c>
      <c r="R485" s="441">
        <f t="shared" si="93"/>
        <v>0</v>
      </c>
      <c r="S485" s="380">
        <f t="shared" si="84"/>
        <v>0</v>
      </c>
    </row>
    <row r="486" spans="1:19">
      <c r="A486" s="388"/>
      <c r="B486" s="389"/>
      <c r="C486" s="381">
        <f t="shared" si="85"/>
        <v>1</v>
      </c>
      <c r="D486" s="390"/>
      <c r="E486" s="381">
        <f t="shared" si="86"/>
        <v>1</v>
      </c>
      <c r="F486" s="390"/>
      <c r="G486" s="381">
        <f t="shared" si="87"/>
        <v>1</v>
      </c>
      <c r="H486" s="390"/>
      <c r="I486" s="381">
        <f t="shared" si="88"/>
        <v>1</v>
      </c>
      <c r="J486" s="390"/>
      <c r="K486" s="381">
        <f t="shared" si="89"/>
        <v>1</v>
      </c>
      <c r="L486" s="390"/>
      <c r="M486" s="381">
        <f t="shared" si="90"/>
        <v>1</v>
      </c>
      <c r="N486" s="390"/>
      <c r="O486" s="381">
        <f t="shared" si="91"/>
        <v>1</v>
      </c>
      <c r="P486" s="390"/>
      <c r="Q486" s="381">
        <f t="shared" si="92"/>
        <v>1</v>
      </c>
      <c r="R486" s="441">
        <f t="shared" si="93"/>
        <v>0</v>
      </c>
      <c r="S486" s="380">
        <f t="shared" si="84"/>
        <v>0</v>
      </c>
    </row>
    <row r="487" spans="1:19">
      <c r="A487" s="388"/>
      <c r="B487" s="389"/>
      <c r="C487" s="381">
        <f t="shared" si="85"/>
        <v>1</v>
      </c>
      <c r="D487" s="390"/>
      <c r="E487" s="381">
        <f t="shared" si="86"/>
        <v>1</v>
      </c>
      <c r="F487" s="390"/>
      <c r="G487" s="381">
        <f t="shared" si="87"/>
        <v>1</v>
      </c>
      <c r="H487" s="390"/>
      <c r="I487" s="381">
        <f t="shared" si="88"/>
        <v>1</v>
      </c>
      <c r="J487" s="390"/>
      <c r="K487" s="381">
        <f t="shared" si="89"/>
        <v>1</v>
      </c>
      <c r="L487" s="390"/>
      <c r="M487" s="381">
        <f t="shared" si="90"/>
        <v>1</v>
      </c>
      <c r="N487" s="390"/>
      <c r="O487" s="381">
        <f t="shared" si="91"/>
        <v>1</v>
      </c>
      <c r="P487" s="390"/>
      <c r="Q487" s="381">
        <f t="shared" si="92"/>
        <v>1</v>
      </c>
      <c r="R487" s="441">
        <f t="shared" si="93"/>
        <v>0</v>
      </c>
      <c r="S487" s="380">
        <f t="shared" si="84"/>
        <v>0</v>
      </c>
    </row>
    <row r="488" spans="1:19">
      <c r="A488" s="388"/>
      <c r="B488" s="389"/>
      <c r="C488" s="381">
        <f t="shared" si="85"/>
        <v>1</v>
      </c>
      <c r="D488" s="390"/>
      <c r="E488" s="381">
        <f t="shared" si="86"/>
        <v>1</v>
      </c>
      <c r="F488" s="390"/>
      <c r="G488" s="381">
        <f t="shared" si="87"/>
        <v>1</v>
      </c>
      <c r="H488" s="390"/>
      <c r="I488" s="381">
        <f t="shared" si="88"/>
        <v>1</v>
      </c>
      <c r="J488" s="390"/>
      <c r="K488" s="381">
        <f t="shared" si="89"/>
        <v>1</v>
      </c>
      <c r="L488" s="390"/>
      <c r="M488" s="381">
        <f t="shared" si="90"/>
        <v>1</v>
      </c>
      <c r="N488" s="390"/>
      <c r="O488" s="381">
        <f t="shared" si="91"/>
        <v>1</v>
      </c>
      <c r="P488" s="390"/>
      <c r="Q488" s="381">
        <f t="shared" si="92"/>
        <v>1</v>
      </c>
      <c r="R488" s="441">
        <f t="shared" si="93"/>
        <v>0</v>
      </c>
      <c r="S488" s="380">
        <f t="shared" si="84"/>
        <v>0</v>
      </c>
    </row>
    <row r="489" spans="1:19">
      <c r="A489" s="388"/>
      <c r="B489" s="389"/>
      <c r="C489" s="381">
        <f t="shared" si="85"/>
        <v>1</v>
      </c>
      <c r="D489" s="390"/>
      <c r="E489" s="381">
        <f t="shared" si="86"/>
        <v>1</v>
      </c>
      <c r="F489" s="390"/>
      <c r="G489" s="381">
        <f t="shared" si="87"/>
        <v>1</v>
      </c>
      <c r="H489" s="390"/>
      <c r="I489" s="381">
        <f t="shared" si="88"/>
        <v>1</v>
      </c>
      <c r="J489" s="390"/>
      <c r="K489" s="381">
        <f t="shared" si="89"/>
        <v>1</v>
      </c>
      <c r="L489" s="390"/>
      <c r="M489" s="381">
        <f t="shared" si="90"/>
        <v>1</v>
      </c>
      <c r="N489" s="390"/>
      <c r="O489" s="381">
        <f t="shared" si="91"/>
        <v>1</v>
      </c>
      <c r="P489" s="390"/>
      <c r="Q489" s="381">
        <f t="shared" si="92"/>
        <v>1</v>
      </c>
      <c r="R489" s="441">
        <f t="shared" si="93"/>
        <v>0</v>
      </c>
      <c r="S489" s="380">
        <f t="shared" si="84"/>
        <v>0</v>
      </c>
    </row>
    <row r="490" spans="1:19">
      <c r="A490" s="388"/>
      <c r="B490" s="389"/>
      <c r="C490" s="381">
        <f t="shared" si="85"/>
        <v>1</v>
      </c>
      <c r="D490" s="390"/>
      <c r="E490" s="381">
        <f t="shared" si="86"/>
        <v>1</v>
      </c>
      <c r="F490" s="390"/>
      <c r="G490" s="381">
        <f t="shared" si="87"/>
        <v>1</v>
      </c>
      <c r="H490" s="390"/>
      <c r="I490" s="381">
        <f t="shared" si="88"/>
        <v>1</v>
      </c>
      <c r="J490" s="390"/>
      <c r="K490" s="381">
        <f t="shared" si="89"/>
        <v>1</v>
      </c>
      <c r="L490" s="390"/>
      <c r="M490" s="381">
        <f t="shared" si="90"/>
        <v>1</v>
      </c>
      <c r="N490" s="390"/>
      <c r="O490" s="381">
        <f t="shared" si="91"/>
        <v>1</v>
      </c>
      <c r="P490" s="390"/>
      <c r="Q490" s="381">
        <f t="shared" si="92"/>
        <v>1</v>
      </c>
      <c r="R490" s="441">
        <f t="shared" si="93"/>
        <v>0</v>
      </c>
      <c r="S490" s="380">
        <f t="shared" si="84"/>
        <v>0</v>
      </c>
    </row>
    <row r="491" spans="1:19">
      <c r="A491" s="388"/>
      <c r="B491" s="389"/>
      <c r="C491" s="381">
        <f t="shared" si="85"/>
        <v>1</v>
      </c>
      <c r="D491" s="390"/>
      <c r="E491" s="381">
        <f t="shared" si="86"/>
        <v>1</v>
      </c>
      <c r="F491" s="390"/>
      <c r="G491" s="381">
        <f t="shared" si="87"/>
        <v>1</v>
      </c>
      <c r="H491" s="390"/>
      <c r="I491" s="381">
        <f t="shared" si="88"/>
        <v>1</v>
      </c>
      <c r="J491" s="390"/>
      <c r="K491" s="381">
        <f t="shared" si="89"/>
        <v>1</v>
      </c>
      <c r="L491" s="390"/>
      <c r="M491" s="381">
        <f t="shared" si="90"/>
        <v>1</v>
      </c>
      <c r="N491" s="390"/>
      <c r="O491" s="381">
        <f t="shared" si="91"/>
        <v>1</v>
      </c>
      <c r="P491" s="390"/>
      <c r="Q491" s="381">
        <f t="shared" si="92"/>
        <v>1</v>
      </c>
      <c r="R491" s="441">
        <f t="shared" si="93"/>
        <v>0</v>
      </c>
      <c r="S491" s="380">
        <f t="shared" si="84"/>
        <v>0</v>
      </c>
    </row>
    <row r="492" spans="1:19">
      <c r="A492" s="388"/>
      <c r="B492" s="389"/>
      <c r="C492" s="381">
        <f t="shared" si="85"/>
        <v>1</v>
      </c>
      <c r="D492" s="390"/>
      <c r="E492" s="381">
        <f t="shared" si="86"/>
        <v>1</v>
      </c>
      <c r="F492" s="390"/>
      <c r="G492" s="381">
        <f t="shared" si="87"/>
        <v>1</v>
      </c>
      <c r="H492" s="390"/>
      <c r="I492" s="381">
        <f t="shared" si="88"/>
        <v>1</v>
      </c>
      <c r="J492" s="390"/>
      <c r="K492" s="381">
        <f t="shared" si="89"/>
        <v>1</v>
      </c>
      <c r="L492" s="390"/>
      <c r="M492" s="381">
        <f t="shared" si="90"/>
        <v>1</v>
      </c>
      <c r="N492" s="390"/>
      <c r="O492" s="381">
        <f t="shared" si="91"/>
        <v>1</v>
      </c>
      <c r="P492" s="390"/>
      <c r="Q492" s="381">
        <f t="shared" si="92"/>
        <v>1</v>
      </c>
      <c r="R492" s="441">
        <f t="shared" si="93"/>
        <v>0</v>
      </c>
      <c r="S492" s="380">
        <f t="shared" si="84"/>
        <v>0</v>
      </c>
    </row>
    <row r="493" spans="1:19">
      <c r="A493" s="388"/>
      <c r="B493" s="389"/>
      <c r="C493" s="381">
        <f t="shared" si="85"/>
        <v>1</v>
      </c>
      <c r="D493" s="390"/>
      <c r="E493" s="381">
        <f t="shared" si="86"/>
        <v>1</v>
      </c>
      <c r="F493" s="390"/>
      <c r="G493" s="381">
        <f t="shared" si="87"/>
        <v>1</v>
      </c>
      <c r="H493" s="390"/>
      <c r="I493" s="381">
        <f t="shared" si="88"/>
        <v>1</v>
      </c>
      <c r="J493" s="390"/>
      <c r="K493" s="381">
        <f t="shared" si="89"/>
        <v>1</v>
      </c>
      <c r="L493" s="390"/>
      <c r="M493" s="381">
        <f t="shared" si="90"/>
        <v>1</v>
      </c>
      <c r="N493" s="390"/>
      <c r="O493" s="381">
        <f t="shared" si="91"/>
        <v>1</v>
      </c>
      <c r="P493" s="390"/>
      <c r="Q493" s="381">
        <f t="shared" si="92"/>
        <v>1</v>
      </c>
      <c r="R493" s="441">
        <f t="shared" si="93"/>
        <v>0</v>
      </c>
      <c r="S493" s="380">
        <f t="shared" si="84"/>
        <v>0</v>
      </c>
    </row>
    <row r="494" spans="1:19">
      <c r="A494" s="388"/>
      <c r="B494" s="389"/>
      <c r="C494" s="381">
        <f t="shared" si="85"/>
        <v>1</v>
      </c>
      <c r="D494" s="390"/>
      <c r="E494" s="381">
        <f t="shared" si="86"/>
        <v>1</v>
      </c>
      <c r="F494" s="390"/>
      <c r="G494" s="381">
        <f t="shared" si="87"/>
        <v>1</v>
      </c>
      <c r="H494" s="390"/>
      <c r="I494" s="381">
        <f t="shared" si="88"/>
        <v>1</v>
      </c>
      <c r="J494" s="390"/>
      <c r="K494" s="381">
        <f t="shared" si="89"/>
        <v>1</v>
      </c>
      <c r="L494" s="390"/>
      <c r="M494" s="381">
        <f t="shared" si="90"/>
        <v>1</v>
      </c>
      <c r="N494" s="390"/>
      <c r="O494" s="381">
        <f t="shared" si="91"/>
        <v>1</v>
      </c>
      <c r="P494" s="390"/>
      <c r="Q494" s="381">
        <f t="shared" si="92"/>
        <v>1</v>
      </c>
      <c r="R494" s="441">
        <f t="shared" si="93"/>
        <v>0</v>
      </c>
      <c r="S494" s="380">
        <f t="shared" si="84"/>
        <v>0</v>
      </c>
    </row>
    <row r="495" spans="1:19">
      <c r="A495" s="388"/>
      <c r="B495" s="389"/>
      <c r="C495" s="381">
        <f t="shared" si="85"/>
        <v>1</v>
      </c>
      <c r="D495" s="390"/>
      <c r="E495" s="381">
        <f t="shared" si="86"/>
        <v>1</v>
      </c>
      <c r="F495" s="390"/>
      <c r="G495" s="381">
        <f t="shared" si="87"/>
        <v>1</v>
      </c>
      <c r="H495" s="390"/>
      <c r="I495" s="381">
        <f t="shared" si="88"/>
        <v>1</v>
      </c>
      <c r="J495" s="390"/>
      <c r="K495" s="381">
        <f t="shared" si="89"/>
        <v>1</v>
      </c>
      <c r="L495" s="390"/>
      <c r="M495" s="381">
        <f t="shared" si="90"/>
        <v>1</v>
      </c>
      <c r="N495" s="390"/>
      <c r="O495" s="381">
        <f t="shared" si="91"/>
        <v>1</v>
      </c>
      <c r="P495" s="390"/>
      <c r="Q495" s="381">
        <f t="shared" si="92"/>
        <v>1</v>
      </c>
      <c r="R495" s="441">
        <f t="shared" si="93"/>
        <v>0</v>
      </c>
      <c r="S495" s="380">
        <f t="shared" si="84"/>
        <v>0</v>
      </c>
    </row>
    <row r="496" spans="1:19">
      <c r="A496" s="388"/>
      <c r="B496" s="389"/>
      <c r="C496" s="381">
        <f t="shared" si="85"/>
        <v>1</v>
      </c>
      <c r="D496" s="390"/>
      <c r="E496" s="381">
        <f t="shared" si="86"/>
        <v>1</v>
      </c>
      <c r="F496" s="390"/>
      <c r="G496" s="381">
        <f t="shared" si="87"/>
        <v>1</v>
      </c>
      <c r="H496" s="390"/>
      <c r="I496" s="381">
        <f t="shared" si="88"/>
        <v>1</v>
      </c>
      <c r="J496" s="390"/>
      <c r="K496" s="381">
        <f t="shared" si="89"/>
        <v>1</v>
      </c>
      <c r="L496" s="390"/>
      <c r="M496" s="381">
        <f t="shared" si="90"/>
        <v>1</v>
      </c>
      <c r="N496" s="390"/>
      <c r="O496" s="381">
        <f t="shared" si="91"/>
        <v>1</v>
      </c>
      <c r="P496" s="390"/>
      <c r="Q496" s="381">
        <f t="shared" si="92"/>
        <v>1</v>
      </c>
      <c r="R496" s="441">
        <f t="shared" si="93"/>
        <v>0</v>
      </c>
      <c r="S496" s="380">
        <f t="shared" si="84"/>
        <v>0</v>
      </c>
    </row>
    <row r="497" spans="1:19">
      <c r="A497" s="388"/>
      <c r="B497" s="389"/>
      <c r="C497" s="381">
        <f t="shared" si="85"/>
        <v>1</v>
      </c>
      <c r="D497" s="390"/>
      <c r="E497" s="381">
        <f t="shared" si="86"/>
        <v>1</v>
      </c>
      <c r="F497" s="390"/>
      <c r="G497" s="381">
        <f t="shared" si="87"/>
        <v>1</v>
      </c>
      <c r="H497" s="390"/>
      <c r="I497" s="381">
        <f t="shared" si="88"/>
        <v>1</v>
      </c>
      <c r="J497" s="390"/>
      <c r="K497" s="381">
        <f t="shared" si="89"/>
        <v>1</v>
      </c>
      <c r="L497" s="390"/>
      <c r="M497" s="381">
        <f t="shared" si="90"/>
        <v>1</v>
      </c>
      <c r="N497" s="390"/>
      <c r="O497" s="381">
        <f t="shared" si="91"/>
        <v>1</v>
      </c>
      <c r="P497" s="390"/>
      <c r="Q497" s="381">
        <f t="shared" si="92"/>
        <v>1</v>
      </c>
      <c r="R497" s="441">
        <f t="shared" si="93"/>
        <v>0</v>
      </c>
      <c r="S497" s="380">
        <f t="shared" si="84"/>
        <v>0</v>
      </c>
    </row>
    <row r="498" spans="1:19">
      <c r="A498" s="388"/>
      <c r="B498" s="389"/>
      <c r="C498" s="381">
        <f t="shared" si="85"/>
        <v>1</v>
      </c>
      <c r="D498" s="390"/>
      <c r="E498" s="381">
        <f t="shared" si="86"/>
        <v>1</v>
      </c>
      <c r="F498" s="390"/>
      <c r="G498" s="381">
        <f t="shared" si="87"/>
        <v>1</v>
      </c>
      <c r="H498" s="390"/>
      <c r="I498" s="381">
        <f t="shared" si="88"/>
        <v>1</v>
      </c>
      <c r="J498" s="390"/>
      <c r="K498" s="381">
        <f t="shared" si="89"/>
        <v>1</v>
      </c>
      <c r="L498" s="390"/>
      <c r="M498" s="381">
        <f t="shared" si="90"/>
        <v>1</v>
      </c>
      <c r="N498" s="390"/>
      <c r="O498" s="381">
        <f t="shared" si="91"/>
        <v>1</v>
      </c>
      <c r="P498" s="390"/>
      <c r="Q498" s="381">
        <f t="shared" si="92"/>
        <v>1</v>
      </c>
      <c r="R498" s="441">
        <f t="shared" si="93"/>
        <v>0</v>
      </c>
      <c r="S498" s="380">
        <f t="shared" ref="S498:S524" si="94">ROUND(R498*B498/10000,0)</f>
        <v>0</v>
      </c>
    </row>
    <row r="499" spans="1:19">
      <c r="A499" s="388"/>
      <c r="B499" s="389"/>
      <c r="C499" s="381">
        <f t="shared" si="85"/>
        <v>1</v>
      </c>
      <c r="D499" s="390"/>
      <c r="E499" s="381">
        <f t="shared" si="86"/>
        <v>1</v>
      </c>
      <c r="F499" s="390"/>
      <c r="G499" s="381">
        <f t="shared" si="87"/>
        <v>1</v>
      </c>
      <c r="H499" s="390"/>
      <c r="I499" s="381">
        <f t="shared" si="88"/>
        <v>1</v>
      </c>
      <c r="J499" s="390"/>
      <c r="K499" s="381">
        <f t="shared" si="89"/>
        <v>1</v>
      </c>
      <c r="L499" s="390"/>
      <c r="M499" s="381">
        <f t="shared" si="90"/>
        <v>1</v>
      </c>
      <c r="N499" s="390"/>
      <c r="O499" s="381">
        <f t="shared" si="91"/>
        <v>1</v>
      </c>
      <c r="P499" s="390"/>
      <c r="Q499" s="381">
        <f t="shared" si="92"/>
        <v>1</v>
      </c>
      <c r="R499" s="441">
        <f t="shared" si="93"/>
        <v>0</v>
      </c>
      <c r="S499" s="380">
        <f t="shared" si="94"/>
        <v>0</v>
      </c>
    </row>
    <row r="500" spans="1:19">
      <c r="A500" s="388"/>
      <c r="B500" s="389"/>
      <c r="C500" s="381">
        <f t="shared" si="85"/>
        <v>1</v>
      </c>
      <c r="D500" s="390"/>
      <c r="E500" s="381">
        <f t="shared" si="86"/>
        <v>1</v>
      </c>
      <c r="F500" s="390"/>
      <c r="G500" s="381">
        <f t="shared" si="87"/>
        <v>1</v>
      </c>
      <c r="H500" s="390"/>
      <c r="I500" s="381">
        <f t="shared" si="88"/>
        <v>1</v>
      </c>
      <c r="J500" s="390"/>
      <c r="K500" s="381">
        <f t="shared" si="89"/>
        <v>1</v>
      </c>
      <c r="L500" s="390"/>
      <c r="M500" s="381">
        <f t="shared" si="90"/>
        <v>1</v>
      </c>
      <c r="N500" s="390"/>
      <c r="O500" s="381">
        <f t="shared" si="91"/>
        <v>1</v>
      </c>
      <c r="P500" s="390"/>
      <c r="Q500" s="381">
        <f t="shared" si="92"/>
        <v>1</v>
      </c>
      <c r="R500" s="441">
        <f t="shared" si="93"/>
        <v>0</v>
      </c>
      <c r="S500" s="380">
        <f t="shared" si="94"/>
        <v>0</v>
      </c>
    </row>
    <row r="501" spans="1:19">
      <c r="A501" s="388"/>
      <c r="B501" s="389"/>
      <c r="C501" s="381">
        <f t="shared" si="85"/>
        <v>1</v>
      </c>
      <c r="D501" s="390"/>
      <c r="E501" s="381">
        <f t="shared" si="86"/>
        <v>1</v>
      </c>
      <c r="F501" s="390"/>
      <c r="G501" s="381">
        <f t="shared" si="87"/>
        <v>1</v>
      </c>
      <c r="H501" s="390"/>
      <c r="I501" s="381">
        <f t="shared" si="88"/>
        <v>1</v>
      </c>
      <c r="J501" s="390"/>
      <c r="K501" s="381">
        <f t="shared" si="89"/>
        <v>1</v>
      </c>
      <c r="L501" s="390"/>
      <c r="M501" s="381">
        <f t="shared" si="90"/>
        <v>1</v>
      </c>
      <c r="N501" s="390"/>
      <c r="O501" s="381">
        <f t="shared" si="91"/>
        <v>1</v>
      </c>
      <c r="P501" s="390"/>
      <c r="Q501" s="381">
        <f t="shared" si="92"/>
        <v>1</v>
      </c>
      <c r="R501" s="441">
        <f t="shared" si="93"/>
        <v>0</v>
      </c>
      <c r="S501" s="380">
        <f t="shared" si="94"/>
        <v>0</v>
      </c>
    </row>
    <row r="502" spans="1:19">
      <c r="A502" s="388"/>
      <c r="B502" s="389"/>
      <c r="C502" s="381">
        <f t="shared" si="85"/>
        <v>1</v>
      </c>
      <c r="D502" s="390"/>
      <c r="E502" s="381">
        <f t="shared" si="86"/>
        <v>1</v>
      </c>
      <c r="F502" s="390"/>
      <c r="G502" s="381">
        <f t="shared" si="87"/>
        <v>1</v>
      </c>
      <c r="H502" s="390"/>
      <c r="I502" s="381">
        <f t="shared" si="88"/>
        <v>1</v>
      </c>
      <c r="J502" s="390"/>
      <c r="K502" s="381">
        <f t="shared" si="89"/>
        <v>1</v>
      </c>
      <c r="L502" s="390"/>
      <c r="M502" s="381">
        <f t="shared" si="90"/>
        <v>1</v>
      </c>
      <c r="N502" s="390"/>
      <c r="O502" s="381">
        <f t="shared" si="91"/>
        <v>1</v>
      </c>
      <c r="P502" s="390"/>
      <c r="Q502" s="381">
        <f t="shared" si="92"/>
        <v>1</v>
      </c>
      <c r="R502" s="441">
        <f t="shared" si="93"/>
        <v>0</v>
      </c>
      <c r="S502" s="380">
        <f t="shared" si="94"/>
        <v>0</v>
      </c>
    </row>
    <row r="503" spans="1:19">
      <c r="A503" s="388"/>
      <c r="B503" s="389"/>
      <c r="C503" s="381">
        <f t="shared" si="85"/>
        <v>1</v>
      </c>
      <c r="D503" s="390"/>
      <c r="E503" s="381">
        <f t="shared" si="86"/>
        <v>1</v>
      </c>
      <c r="F503" s="390"/>
      <c r="G503" s="381">
        <f t="shared" si="87"/>
        <v>1</v>
      </c>
      <c r="H503" s="390"/>
      <c r="I503" s="381">
        <f t="shared" si="88"/>
        <v>1</v>
      </c>
      <c r="J503" s="390"/>
      <c r="K503" s="381">
        <f t="shared" si="89"/>
        <v>1</v>
      </c>
      <c r="L503" s="390"/>
      <c r="M503" s="381">
        <f t="shared" si="90"/>
        <v>1</v>
      </c>
      <c r="N503" s="390"/>
      <c r="O503" s="381">
        <f t="shared" si="91"/>
        <v>1</v>
      </c>
      <c r="P503" s="390"/>
      <c r="Q503" s="381">
        <f t="shared" si="92"/>
        <v>1</v>
      </c>
      <c r="R503" s="441">
        <f t="shared" si="93"/>
        <v>0</v>
      </c>
      <c r="S503" s="380">
        <f t="shared" si="94"/>
        <v>0</v>
      </c>
    </row>
    <row r="504" spans="1:19">
      <c r="A504" s="388"/>
      <c r="B504" s="389"/>
      <c r="C504" s="381">
        <f t="shared" si="85"/>
        <v>1</v>
      </c>
      <c r="D504" s="390"/>
      <c r="E504" s="381">
        <f t="shared" si="86"/>
        <v>1</v>
      </c>
      <c r="F504" s="390"/>
      <c r="G504" s="381">
        <f t="shared" si="87"/>
        <v>1</v>
      </c>
      <c r="H504" s="390"/>
      <c r="I504" s="381">
        <f t="shared" si="88"/>
        <v>1</v>
      </c>
      <c r="J504" s="390"/>
      <c r="K504" s="381">
        <f t="shared" si="89"/>
        <v>1</v>
      </c>
      <c r="L504" s="390"/>
      <c r="M504" s="381">
        <f t="shared" si="90"/>
        <v>1</v>
      </c>
      <c r="N504" s="390"/>
      <c r="O504" s="381">
        <f t="shared" si="91"/>
        <v>1</v>
      </c>
      <c r="P504" s="390"/>
      <c r="Q504" s="381">
        <f t="shared" si="92"/>
        <v>1</v>
      </c>
      <c r="R504" s="441">
        <f t="shared" si="93"/>
        <v>0</v>
      </c>
      <c r="S504" s="380">
        <f t="shared" si="94"/>
        <v>0</v>
      </c>
    </row>
    <row r="505" spans="1:19">
      <c r="A505" s="388"/>
      <c r="B505" s="389"/>
      <c r="C505" s="381">
        <f t="shared" si="85"/>
        <v>1</v>
      </c>
      <c r="D505" s="390"/>
      <c r="E505" s="381">
        <f t="shared" si="86"/>
        <v>1</v>
      </c>
      <c r="F505" s="390"/>
      <c r="G505" s="381">
        <f t="shared" si="87"/>
        <v>1</v>
      </c>
      <c r="H505" s="390"/>
      <c r="I505" s="381">
        <f t="shared" si="88"/>
        <v>1</v>
      </c>
      <c r="J505" s="390"/>
      <c r="K505" s="381">
        <f t="shared" si="89"/>
        <v>1</v>
      </c>
      <c r="L505" s="390"/>
      <c r="M505" s="381">
        <f t="shared" si="90"/>
        <v>1</v>
      </c>
      <c r="N505" s="390"/>
      <c r="O505" s="381">
        <f t="shared" si="91"/>
        <v>1</v>
      </c>
      <c r="P505" s="390"/>
      <c r="Q505" s="381">
        <f t="shared" si="92"/>
        <v>1</v>
      </c>
      <c r="R505" s="441">
        <f t="shared" si="93"/>
        <v>0</v>
      </c>
      <c r="S505" s="380">
        <f t="shared" si="94"/>
        <v>0</v>
      </c>
    </row>
    <row r="506" spans="1:19">
      <c r="A506" s="388"/>
      <c r="B506" s="389"/>
      <c r="C506" s="381">
        <f t="shared" si="85"/>
        <v>1</v>
      </c>
      <c r="D506" s="390"/>
      <c r="E506" s="381">
        <f t="shared" si="86"/>
        <v>1</v>
      </c>
      <c r="F506" s="390"/>
      <c r="G506" s="381">
        <f t="shared" si="87"/>
        <v>1</v>
      </c>
      <c r="H506" s="390"/>
      <c r="I506" s="381">
        <f t="shared" si="88"/>
        <v>1</v>
      </c>
      <c r="J506" s="390"/>
      <c r="K506" s="381">
        <f t="shared" si="89"/>
        <v>1</v>
      </c>
      <c r="L506" s="390"/>
      <c r="M506" s="381">
        <f t="shared" si="90"/>
        <v>1</v>
      </c>
      <c r="N506" s="390"/>
      <c r="O506" s="381">
        <f t="shared" si="91"/>
        <v>1</v>
      </c>
      <c r="P506" s="390"/>
      <c r="Q506" s="381">
        <f t="shared" si="92"/>
        <v>1</v>
      </c>
      <c r="R506" s="441">
        <f t="shared" si="93"/>
        <v>0</v>
      </c>
      <c r="S506" s="380">
        <f t="shared" si="94"/>
        <v>0</v>
      </c>
    </row>
    <row r="507" spans="1:19">
      <c r="A507" s="388"/>
      <c r="B507" s="389"/>
      <c r="C507" s="381">
        <f t="shared" si="85"/>
        <v>1</v>
      </c>
      <c r="D507" s="390"/>
      <c r="E507" s="381">
        <f t="shared" si="86"/>
        <v>1</v>
      </c>
      <c r="F507" s="390"/>
      <c r="G507" s="381">
        <f t="shared" si="87"/>
        <v>1</v>
      </c>
      <c r="H507" s="390"/>
      <c r="I507" s="381">
        <f t="shared" si="88"/>
        <v>1</v>
      </c>
      <c r="J507" s="390"/>
      <c r="K507" s="381">
        <f t="shared" si="89"/>
        <v>1</v>
      </c>
      <c r="L507" s="390"/>
      <c r="M507" s="381">
        <f t="shared" si="90"/>
        <v>1</v>
      </c>
      <c r="N507" s="390"/>
      <c r="O507" s="381">
        <f t="shared" si="91"/>
        <v>1</v>
      </c>
      <c r="P507" s="390"/>
      <c r="Q507" s="381">
        <f t="shared" si="92"/>
        <v>1</v>
      </c>
      <c r="R507" s="441">
        <f t="shared" si="93"/>
        <v>0</v>
      </c>
      <c r="S507" s="380">
        <f t="shared" si="94"/>
        <v>0</v>
      </c>
    </row>
    <row r="508" spans="1:19">
      <c r="A508" s="388"/>
      <c r="B508" s="389"/>
      <c r="C508" s="381">
        <f t="shared" si="85"/>
        <v>1</v>
      </c>
      <c r="D508" s="390"/>
      <c r="E508" s="381">
        <f t="shared" si="86"/>
        <v>1</v>
      </c>
      <c r="F508" s="390"/>
      <c r="G508" s="381">
        <f t="shared" si="87"/>
        <v>1</v>
      </c>
      <c r="H508" s="390"/>
      <c r="I508" s="381">
        <f t="shared" si="88"/>
        <v>1</v>
      </c>
      <c r="J508" s="390"/>
      <c r="K508" s="381">
        <f t="shared" si="89"/>
        <v>1</v>
      </c>
      <c r="L508" s="390"/>
      <c r="M508" s="381">
        <f t="shared" si="90"/>
        <v>1</v>
      </c>
      <c r="N508" s="390"/>
      <c r="O508" s="381">
        <f t="shared" si="91"/>
        <v>1</v>
      </c>
      <c r="P508" s="390"/>
      <c r="Q508" s="381">
        <f t="shared" si="92"/>
        <v>1</v>
      </c>
      <c r="R508" s="441">
        <f t="shared" si="93"/>
        <v>0</v>
      </c>
      <c r="S508" s="380">
        <f t="shared" si="94"/>
        <v>0</v>
      </c>
    </row>
    <row r="509" spans="1:19">
      <c r="A509" s="388"/>
      <c r="B509" s="389"/>
      <c r="C509" s="381">
        <f t="shared" si="85"/>
        <v>1</v>
      </c>
      <c r="D509" s="390"/>
      <c r="E509" s="381">
        <f t="shared" si="86"/>
        <v>1</v>
      </c>
      <c r="F509" s="390"/>
      <c r="G509" s="381">
        <f t="shared" si="87"/>
        <v>1</v>
      </c>
      <c r="H509" s="390"/>
      <c r="I509" s="381">
        <f t="shared" si="88"/>
        <v>1</v>
      </c>
      <c r="J509" s="390"/>
      <c r="K509" s="381">
        <f t="shared" si="89"/>
        <v>1</v>
      </c>
      <c r="L509" s="390"/>
      <c r="M509" s="381">
        <f t="shared" si="90"/>
        <v>1</v>
      </c>
      <c r="N509" s="390"/>
      <c r="O509" s="381">
        <f t="shared" si="91"/>
        <v>1</v>
      </c>
      <c r="P509" s="390"/>
      <c r="Q509" s="381">
        <f t="shared" si="92"/>
        <v>1</v>
      </c>
      <c r="R509" s="441">
        <f t="shared" si="93"/>
        <v>0</v>
      </c>
      <c r="S509" s="380">
        <f t="shared" si="94"/>
        <v>0</v>
      </c>
    </row>
    <row r="510" spans="1:19">
      <c r="A510" s="388"/>
      <c r="B510" s="389"/>
      <c r="C510" s="381">
        <f t="shared" si="85"/>
        <v>1</v>
      </c>
      <c r="D510" s="390"/>
      <c r="E510" s="381">
        <f t="shared" si="86"/>
        <v>1</v>
      </c>
      <c r="F510" s="390"/>
      <c r="G510" s="381">
        <f t="shared" si="87"/>
        <v>1</v>
      </c>
      <c r="H510" s="390"/>
      <c r="I510" s="381">
        <f t="shared" si="88"/>
        <v>1</v>
      </c>
      <c r="J510" s="390"/>
      <c r="K510" s="381">
        <f t="shared" si="89"/>
        <v>1</v>
      </c>
      <c r="L510" s="390"/>
      <c r="M510" s="381">
        <f t="shared" si="90"/>
        <v>1</v>
      </c>
      <c r="N510" s="390"/>
      <c r="O510" s="381">
        <f t="shared" si="91"/>
        <v>1</v>
      </c>
      <c r="P510" s="390"/>
      <c r="Q510" s="381">
        <f t="shared" si="92"/>
        <v>1</v>
      </c>
      <c r="R510" s="441">
        <f t="shared" si="93"/>
        <v>0</v>
      </c>
      <c r="S510" s="380">
        <f t="shared" si="94"/>
        <v>0</v>
      </c>
    </row>
    <row r="511" spans="1:19">
      <c r="A511" s="388"/>
      <c r="B511" s="389"/>
      <c r="C511" s="381">
        <f t="shared" si="85"/>
        <v>1</v>
      </c>
      <c r="D511" s="390"/>
      <c r="E511" s="381">
        <f t="shared" si="86"/>
        <v>1</v>
      </c>
      <c r="F511" s="390"/>
      <c r="G511" s="381">
        <f t="shared" si="87"/>
        <v>1</v>
      </c>
      <c r="H511" s="390"/>
      <c r="I511" s="381">
        <f t="shared" si="88"/>
        <v>1</v>
      </c>
      <c r="J511" s="390"/>
      <c r="K511" s="381">
        <f t="shared" si="89"/>
        <v>1</v>
      </c>
      <c r="L511" s="390"/>
      <c r="M511" s="381">
        <f t="shared" si="90"/>
        <v>1</v>
      </c>
      <c r="N511" s="390"/>
      <c r="O511" s="381">
        <f t="shared" si="91"/>
        <v>1</v>
      </c>
      <c r="P511" s="390"/>
      <c r="Q511" s="381">
        <f t="shared" si="92"/>
        <v>1</v>
      </c>
      <c r="R511" s="441">
        <f t="shared" si="93"/>
        <v>0</v>
      </c>
      <c r="S511" s="380">
        <f t="shared" si="94"/>
        <v>0</v>
      </c>
    </row>
    <row r="512" spans="1:19">
      <c r="A512" s="388"/>
      <c r="B512" s="389"/>
      <c r="C512" s="381">
        <f t="shared" si="85"/>
        <v>1</v>
      </c>
      <c r="D512" s="390"/>
      <c r="E512" s="381">
        <f t="shared" si="86"/>
        <v>1</v>
      </c>
      <c r="F512" s="390"/>
      <c r="G512" s="381">
        <f t="shared" si="87"/>
        <v>1</v>
      </c>
      <c r="H512" s="390"/>
      <c r="I512" s="381">
        <f t="shared" si="88"/>
        <v>1</v>
      </c>
      <c r="J512" s="390"/>
      <c r="K512" s="381">
        <f t="shared" si="89"/>
        <v>1</v>
      </c>
      <c r="L512" s="390"/>
      <c r="M512" s="381">
        <f t="shared" si="90"/>
        <v>1</v>
      </c>
      <c r="N512" s="390"/>
      <c r="O512" s="381">
        <f t="shared" si="91"/>
        <v>1</v>
      </c>
      <c r="P512" s="390"/>
      <c r="Q512" s="381">
        <f t="shared" si="92"/>
        <v>1</v>
      </c>
      <c r="R512" s="441">
        <f t="shared" si="93"/>
        <v>0</v>
      </c>
      <c r="S512" s="380">
        <f t="shared" si="94"/>
        <v>0</v>
      </c>
    </row>
    <row r="513" spans="1:19">
      <c r="A513" s="388"/>
      <c r="B513" s="389"/>
      <c r="C513" s="381">
        <f t="shared" si="85"/>
        <v>1</v>
      </c>
      <c r="D513" s="390"/>
      <c r="E513" s="381">
        <f t="shared" si="86"/>
        <v>1</v>
      </c>
      <c r="F513" s="390"/>
      <c r="G513" s="381">
        <f t="shared" si="87"/>
        <v>1</v>
      </c>
      <c r="H513" s="390"/>
      <c r="I513" s="381">
        <f t="shared" si="88"/>
        <v>1</v>
      </c>
      <c r="J513" s="390"/>
      <c r="K513" s="381">
        <f t="shared" si="89"/>
        <v>1</v>
      </c>
      <c r="L513" s="390"/>
      <c r="M513" s="381">
        <f t="shared" si="90"/>
        <v>1</v>
      </c>
      <c r="N513" s="390"/>
      <c r="O513" s="381">
        <f t="shared" si="91"/>
        <v>1</v>
      </c>
      <c r="P513" s="390"/>
      <c r="Q513" s="381">
        <f t="shared" si="92"/>
        <v>1</v>
      </c>
      <c r="R513" s="441">
        <f t="shared" si="93"/>
        <v>0</v>
      </c>
      <c r="S513" s="380">
        <f t="shared" si="94"/>
        <v>0</v>
      </c>
    </row>
    <row r="514" spans="1:19">
      <c r="A514" s="388"/>
      <c r="B514" s="389"/>
      <c r="C514" s="381">
        <f t="shared" si="85"/>
        <v>1</v>
      </c>
      <c r="D514" s="390"/>
      <c r="E514" s="381">
        <f t="shared" si="86"/>
        <v>1</v>
      </c>
      <c r="F514" s="390"/>
      <c r="G514" s="381">
        <f t="shared" si="87"/>
        <v>1</v>
      </c>
      <c r="H514" s="390"/>
      <c r="I514" s="381">
        <f t="shared" si="88"/>
        <v>1</v>
      </c>
      <c r="J514" s="390"/>
      <c r="K514" s="381">
        <f t="shared" si="89"/>
        <v>1</v>
      </c>
      <c r="L514" s="390"/>
      <c r="M514" s="381">
        <f t="shared" si="90"/>
        <v>1</v>
      </c>
      <c r="N514" s="390"/>
      <c r="O514" s="381">
        <f t="shared" si="91"/>
        <v>1</v>
      </c>
      <c r="P514" s="390"/>
      <c r="Q514" s="381">
        <f t="shared" si="92"/>
        <v>1</v>
      </c>
      <c r="R514" s="441">
        <f t="shared" si="93"/>
        <v>0</v>
      </c>
      <c r="S514" s="380">
        <f t="shared" si="94"/>
        <v>0</v>
      </c>
    </row>
    <row r="515" spans="1:19">
      <c r="A515" s="388"/>
      <c r="B515" s="389"/>
      <c r="C515" s="381">
        <f t="shared" si="85"/>
        <v>1</v>
      </c>
      <c r="D515" s="390"/>
      <c r="E515" s="381">
        <f t="shared" si="86"/>
        <v>1</v>
      </c>
      <c r="F515" s="390"/>
      <c r="G515" s="381">
        <f t="shared" si="87"/>
        <v>1</v>
      </c>
      <c r="H515" s="390"/>
      <c r="I515" s="381">
        <f t="shared" si="88"/>
        <v>1</v>
      </c>
      <c r="J515" s="390"/>
      <c r="K515" s="381">
        <f t="shared" si="89"/>
        <v>1</v>
      </c>
      <c r="L515" s="390"/>
      <c r="M515" s="381">
        <f t="shared" si="90"/>
        <v>1</v>
      </c>
      <c r="N515" s="390"/>
      <c r="O515" s="381">
        <f t="shared" si="91"/>
        <v>1</v>
      </c>
      <c r="P515" s="390"/>
      <c r="Q515" s="381">
        <f t="shared" si="92"/>
        <v>1</v>
      </c>
      <c r="R515" s="441">
        <f t="shared" si="93"/>
        <v>0</v>
      </c>
      <c r="S515" s="380">
        <f t="shared" si="94"/>
        <v>0</v>
      </c>
    </row>
    <row r="516" spans="1:19">
      <c r="A516" s="388"/>
      <c r="B516" s="389"/>
      <c r="C516" s="381">
        <f t="shared" si="85"/>
        <v>1</v>
      </c>
      <c r="D516" s="390"/>
      <c r="E516" s="381">
        <f t="shared" si="86"/>
        <v>1</v>
      </c>
      <c r="F516" s="390"/>
      <c r="G516" s="381">
        <f t="shared" si="87"/>
        <v>1</v>
      </c>
      <c r="H516" s="390"/>
      <c r="I516" s="381">
        <f t="shared" si="88"/>
        <v>1</v>
      </c>
      <c r="J516" s="390"/>
      <c r="K516" s="381">
        <f t="shared" si="89"/>
        <v>1</v>
      </c>
      <c r="L516" s="390"/>
      <c r="M516" s="381">
        <f t="shared" si="90"/>
        <v>1</v>
      </c>
      <c r="N516" s="390"/>
      <c r="O516" s="381">
        <f t="shared" si="91"/>
        <v>1</v>
      </c>
      <c r="P516" s="390"/>
      <c r="Q516" s="381">
        <f t="shared" si="92"/>
        <v>1</v>
      </c>
      <c r="R516" s="441">
        <f t="shared" si="93"/>
        <v>0</v>
      </c>
      <c r="S516" s="380">
        <f t="shared" si="94"/>
        <v>0</v>
      </c>
    </row>
    <row r="517" spans="1:19">
      <c r="A517" s="388"/>
      <c r="B517" s="389"/>
      <c r="C517" s="381">
        <f t="shared" si="85"/>
        <v>1</v>
      </c>
      <c r="D517" s="390"/>
      <c r="E517" s="381">
        <f t="shared" si="86"/>
        <v>1</v>
      </c>
      <c r="F517" s="390"/>
      <c r="G517" s="381">
        <f t="shared" si="87"/>
        <v>1</v>
      </c>
      <c r="H517" s="390"/>
      <c r="I517" s="381">
        <f t="shared" si="88"/>
        <v>1</v>
      </c>
      <c r="J517" s="390"/>
      <c r="K517" s="381">
        <f t="shared" si="89"/>
        <v>1</v>
      </c>
      <c r="L517" s="390"/>
      <c r="M517" s="381">
        <f t="shared" si="90"/>
        <v>1</v>
      </c>
      <c r="N517" s="390"/>
      <c r="O517" s="381">
        <f t="shared" si="91"/>
        <v>1</v>
      </c>
      <c r="P517" s="390"/>
      <c r="Q517" s="381">
        <f t="shared" si="92"/>
        <v>1</v>
      </c>
      <c r="R517" s="441">
        <f t="shared" si="93"/>
        <v>0</v>
      </c>
      <c r="S517" s="380">
        <f t="shared" si="94"/>
        <v>0</v>
      </c>
    </row>
    <row r="518" spans="1:19">
      <c r="A518" s="388"/>
      <c r="B518" s="389"/>
      <c r="C518" s="381">
        <f t="shared" si="85"/>
        <v>1</v>
      </c>
      <c r="D518" s="390"/>
      <c r="E518" s="381">
        <f t="shared" si="86"/>
        <v>1</v>
      </c>
      <c r="F518" s="390"/>
      <c r="G518" s="381">
        <f t="shared" si="87"/>
        <v>1</v>
      </c>
      <c r="H518" s="390"/>
      <c r="I518" s="381">
        <f t="shared" si="88"/>
        <v>1</v>
      </c>
      <c r="J518" s="390"/>
      <c r="K518" s="381">
        <f t="shared" si="89"/>
        <v>1</v>
      </c>
      <c r="L518" s="390"/>
      <c r="M518" s="381">
        <f t="shared" si="90"/>
        <v>1</v>
      </c>
      <c r="N518" s="390"/>
      <c r="O518" s="381">
        <f t="shared" si="91"/>
        <v>1</v>
      </c>
      <c r="P518" s="390"/>
      <c r="Q518" s="381">
        <f t="shared" si="92"/>
        <v>1</v>
      </c>
      <c r="R518" s="441">
        <f t="shared" si="93"/>
        <v>0</v>
      </c>
      <c r="S518" s="380">
        <f t="shared" si="94"/>
        <v>0</v>
      </c>
    </row>
    <row r="519" spans="1:19">
      <c r="A519" s="388"/>
      <c r="B519" s="389"/>
      <c r="C519" s="381">
        <f t="shared" si="85"/>
        <v>1</v>
      </c>
      <c r="D519" s="390"/>
      <c r="E519" s="381">
        <f t="shared" si="86"/>
        <v>1</v>
      </c>
      <c r="F519" s="390"/>
      <c r="G519" s="381">
        <f t="shared" si="87"/>
        <v>1</v>
      </c>
      <c r="H519" s="390"/>
      <c r="I519" s="381">
        <f t="shared" si="88"/>
        <v>1</v>
      </c>
      <c r="J519" s="390"/>
      <c r="K519" s="381">
        <f t="shared" si="89"/>
        <v>1</v>
      </c>
      <c r="L519" s="390"/>
      <c r="M519" s="381">
        <f t="shared" si="90"/>
        <v>1</v>
      </c>
      <c r="N519" s="390"/>
      <c r="O519" s="381">
        <f t="shared" si="91"/>
        <v>1</v>
      </c>
      <c r="P519" s="390"/>
      <c r="Q519" s="381">
        <f t="shared" si="92"/>
        <v>1</v>
      </c>
      <c r="R519" s="441">
        <f t="shared" si="93"/>
        <v>0</v>
      </c>
      <c r="S519" s="380">
        <f t="shared" si="94"/>
        <v>0</v>
      </c>
    </row>
    <row r="520" spans="1:19">
      <c r="A520" s="388"/>
      <c r="B520" s="389"/>
      <c r="C520" s="381">
        <f t="shared" si="85"/>
        <v>1</v>
      </c>
      <c r="D520" s="390"/>
      <c r="E520" s="381">
        <f t="shared" si="86"/>
        <v>1</v>
      </c>
      <c r="F520" s="390"/>
      <c r="G520" s="381">
        <f t="shared" si="87"/>
        <v>1</v>
      </c>
      <c r="H520" s="390"/>
      <c r="I520" s="381">
        <f t="shared" si="88"/>
        <v>1</v>
      </c>
      <c r="J520" s="390"/>
      <c r="K520" s="381">
        <f t="shared" si="89"/>
        <v>1</v>
      </c>
      <c r="L520" s="390"/>
      <c r="M520" s="381">
        <f t="shared" si="90"/>
        <v>1</v>
      </c>
      <c r="N520" s="390"/>
      <c r="O520" s="381">
        <f t="shared" si="91"/>
        <v>1</v>
      </c>
      <c r="P520" s="390"/>
      <c r="Q520" s="381">
        <f t="shared" si="92"/>
        <v>1</v>
      </c>
      <c r="R520" s="441">
        <f t="shared" si="93"/>
        <v>0</v>
      </c>
      <c r="S520" s="380">
        <f t="shared" si="94"/>
        <v>0</v>
      </c>
    </row>
    <row r="521" spans="1:19">
      <c r="A521" s="388"/>
      <c r="B521" s="389"/>
      <c r="C521" s="381">
        <f t="shared" si="85"/>
        <v>1</v>
      </c>
      <c r="D521" s="390"/>
      <c r="E521" s="381">
        <f t="shared" si="86"/>
        <v>1</v>
      </c>
      <c r="F521" s="390"/>
      <c r="G521" s="381">
        <f t="shared" si="87"/>
        <v>1</v>
      </c>
      <c r="H521" s="390"/>
      <c r="I521" s="381">
        <f t="shared" si="88"/>
        <v>1</v>
      </c>
      <c r="J521" s="390"/>
      <c r="K521" s="381">
        <f t="shared" si="89"/>
        <v>1</v>
      </c>
      <c r="L521" s="390"/>
      <c r="M521" s="381">
        <f t="shared" si="90"/>
        <v>1</v>
      </c>
      <c r="N521" s="390"/>
      <c r="O521" s="381">
        <f t="shared" si="91"/>
        <v>1</v>
      </c>
      <c r="P521" s="390"/>
      <c r="Q521" s="381">
        <f t="shared" si="92"/>
        <v>1</v>
      </c>
      <c r="R521" s="441">
        <f t="shared" si="93"/>
        <v>0</v>
      </c>
      <c r="S521" s="380">
        <f t="shared" si="94"/>
        <v>0</v>
      </c>
    </row>
    <row r="522" spans="1:19">
      <c r="A522" s="388"/>
      <c r="B522" s="389"/>
      <c r="C522" s="381">
        <f t="shared" si="85"/>
        <v>1</v>
      </c>
      <c r="D522" s="390"/>
      <c r="E522" s="381">
        <f t="shared" si="86"/>
        <v>1</v>
      </c>
      <c r="F522" s="390"/>
      <c r="G522" s="381">
        <f t="shared" si="87"/>
        <v>1</v>
      </c>
      <c r="H522" s="390"/>
      <c r="I522" s="381">
        <f t="shared" si="88"/>
        <v>1</v>
      </c>
      <c r="J522" s="390"/>
      <c r="K522" s="381">
        <f t="shared" si="89"/>
        <v>1</v>
      </c>
      <c r="L522" s="390"/>
      <c r="M522" s="381">
        <f t="shared" si="90"/>
        <v>1</v>
      </c>
      <c r="N522" s="390"/>
      <c r="O522" s="381">
        <f t="shared" si="91"/>
        <v>1</v>
      </c>
      <c r="P522" s="390"/>
      <c r="Q522" s="381">
        <f t="shared" si="92"/>
        <v>1</v>
      </c>
      <c r="R522" s="441">
        <f t="shared" si="93"/>
        <v>0</v>
      </c>
      <c r="S522" s="380">
        <f t="shared" si="94"/>
        <v>0</v>
      </c>
    </row>
    <row r="523" spans="1:19">
      <c r="A523" s="388"/>
      <c r="B523" s="389"/>
      <c r="C523" s="381">
        <f t="shared" si="85"/>
        <v>1</v>
      </c>
      <c r="D523" s="390"/>
      <c r="E523" s="381">
        <f t="shared" si="86"/>
        <v>1</v>
      </c>
      <c r="F523" s="390"/>
      <c r="G523" s="381">
        <f t="shared" si="87"/>
        <v>1</v>
      </c>
      <c r="H523" s="390"/>
      <c r="I523" s="381">
        <f t="shared" si="88"/>
        <v>1</v>
      </c>
      <c r="J523" s="390"/>
      <c r="K523" s="381">
        <f t="shared" si="89"/>
        <v>1</v>
      </c>
      <c r="L523" s="390"/>
      <c r="M523" s="381">
        <f t="shared" si="90"/>
        <v>1</v>
      </c>
      <c r="N523" s="390"/>
      <c r="O523" s="381">
        <f t="shared" si="91"/>
        <v>1</v>
      </c>
      <c r="P523" s="390"/>
      <c r="Q523" s="381">
        <f t="shared" si="92"/>
        <v>1</v>
      </c>
      <c r="R523" s="441">
        <f t="shared" si="93"/>
        <v>0</v>
      </c>
      <c r="S523" s="380">
        <f t="shared" si="94"/>
        <v>0</v>
      </c>
    </row>
    <row r="524" spans="1:19">
      <c r="A524" s="388"/>
      <c r="B524" s="389"/>
      <c r="C524" s="381">
        <f t="shared" si="85"/>
        <v>1</v>
      </c>
      <c r="D524" s="390"/>
      <c r="E524" s="381">
        <f t="shared" si="86"/>
        <v>1</v>
      </c>
      <c r="F524" s="390"/>
      <c r="G524" s="381">
        <f t="shared" si="87"/>
        <v>1</v>
      </c>
      <c r="H524" s="390"/>
      <c r="I524" s="381">
        <f t="shared" si="88"/>
        <v>1</v>
      </c>
      <c r="J524" s="390"/>
      <c r="K524" s="381">
        <f t="shared" si="89"/>
        <v>1</v>
      </c>
      <c r="L524" s="390"/>
      <c r="M524" s="381">
        <f t="shared" si="90"/>
        <v>1</v>
      </c>
      <c r="N524" s="390"/>
      <c r="O524" s="381">
        <f t="shared" si="91"/>
        <v>1</v>
      </c>
      <c r="P524" s="390"/>
      <c r="Q524" s="381">
        <f t="shared" si="92"/>
        <v>1</v>
      </c>
      <c r="R524" s="441">
        <f t="shared" si="93"/>
        <v>0</v>
      </c>
      <c r="S524" s="380">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231" customWidth="1"/>
    <col min="2" max="2" width="29.25" style="232" customWidth="1"/>
    <col min="3" max="3" width="12.125" style="232" customWidth="1"/>
    <col min="4" max="5" width="11.25" style="233" customWidth="1"/>
    <col min="6" max="6" width="9.5" style="232" customWidth="1"/>
    <col min="7" max="7" width="31.875" style="232" customWidth="1"/>
    <col min="8" max="254" width="9" style="232" customWidth="1"/>
    <col min="255" max="16384" width="8.375" style="232"/>
  </cols>
  <sheetData>
    <row r="1" spans="1:7" s="226" customFormat="1" ht="20.25">
      <c r="A1" s="234" t="s">
        <v>2100</v>
      </c>
      <c r="B1" s="235"/>
      <c r="C1" s="236"/>
      <c r="D1" s="236"/>
      <c r="E1" s="236"/>
      <c r="F1" s="236"/>
      <c r="G1" s="237"/>
    </row>
    <row r="2" spans="1:7" s="226" customFormat="1" ht="18" customHeight="1">
      <c r="A2" s="238" t="s">
        <v>2101</v>
      </c>
      <c r="B2" s="239">
        <f ca="1">C52</f>
        <v>25398</v>
      </c>
      <c r="C2" s="240" t="s">
        <v>2102</v>
      </c>
      <c r="D2" s="237"/>
      <c r="E2" s="237"/>
      <c r="F2" s="237"/>
      <c r="G2" s="237"/>
    </row>
    <row r="3" spans="1:7" s="226" customFormat="1" ht="18" customHeight="1">
      <c r="A3" s="241" t="s">
        <v>2103</v>
      </c>
      <c r="B3" s="242">
        <f ca="1">ROUND(B2*10000/'数据-汇总表'!E3,0)</f>
        <v>253980000</v>
      </c>
      <c r="C3" s="240" t="s">
        <v>2104</v>
      </c>
      <c r="D3" s="237"/>
      <c r="E3" s="237"/>
      <c r="F3" s="237"/>
      <c r="G3" s="237"/>
    </row>
    <row r="4" spans="1:7" s="227" customFormat="1" ht="15.75">
      <c r="A4" s="243" t="s">
        <v>2105</v>
      </c>
      <c r="B4" s="244"/>
      <c r="C4" s="244"/>
      <c r="D4" s="244"/>
      <c r="E4" s="244"/>
      <c r="F4" s="244"/>
      <c r="G4" s="245"/>
    </row>
    <row r="5" spans="1:7" s="228" customFormat="1" ht="13.5" customHeight="1">
      <c r="A5" s="246" t="s">
        <v>928</v>
      </c>
      <c r="B5" s="247" t="s">
        <v>2106</v>
      </c>
      <c r="C5" s="248">
        <f>C6+C7+C8</f>
        <v>20000</v>
      </c>
      <c r="D5" s="248" t="s">
        <v>2107</v>
      </c>
      <c r="E5" s="249" t="s">
        <v>2108</v>
      </c>
      <c r="F5" s="249" t="s">
        <v>2109</v>
      </c>
      <c r="G5" s="250"/>
    </row>
    <row r="6" spans="1:7" s="228" customFormat="1" ht="13.5" customHeight="1">
      <c r="A6" s="251" t="s">
        <v>932</v>
      </c>
      <c r="B6" s="252" t="s">
        <v>2110</v>
      </c>
      <c r="C6" s="253">
        <v>20000</v>
      </c>
      <c r="D6" s="254"/>
      <c r="E6" s="255"/>
      <c r="F6" s="255"/>
      <c r="G6" s="256"/>
    </row>
    <row r="7" spans="1:7" s="228" customFormat="1" ht="13.5" customHeight="1">
      <c r="A7" s="251" t="s">
        <v>934</v>
      </c>
      <c r="B7" s="252" t="s">
        <v>2111</v>
      </c>
      <c r="C7" s="257">
        <f>ROUND(C6*F7,0)</f>
        <v>0</v>
      </c>
      <c r="D7" s="257"/>
      <c r="E7" s="255"/>
      <c r="F7" s="258">
        <f>'数据-取费表'!B48+'数据-取费表'!B49</f>
        <v>0</v>
      </c>
      <c r="G7" s="256"/>
    </row>
    <row r="8" spans="1:7" s="229" customFormat="1">
      <c r="A8" s="251" t="s">
        <v>936</v>
      </c>
      <c r="B8" s="252" t="s">
        <v>2112</v>
      </c>
      <c r="C8" s="257" t="str">
        <f>IF(G8="已包含在土地购买价格中","0",'数据-取费表'!B29)</f>
        <v>0</v>
      </c>
      <c r="D8" s="259"/>
      <c r="E8" s="257"/>
      <c r="F8" s="258"/>
      <c r="G8" s="260" t="s">
        <v>1142</v>
      </c>
    </row>
    <row r="9" spans="1:7" s="228" customFormat="1" ht="13.5" customHeight="1">
      <c r="A9" s="261" t="s">
        <v>938</v>
      </c>
      <c r="B9" s="262" t="s">
        <v>2113</v>
      </c>
      <c r="C9" s="263">
        <f>ROUND(D9*E9/10000,0)</f>
        <v>0</v>
      </c>
      <c r="D9" s="264">
        <f>'数据-汇总表'!E5</f>
        <v>1</v>
      </c>
      <c r="E9" s="263">
        <f>'数据-取费表'!B27</f>
        <v>160</v>
      </c>
      <c r="F9" s="258"/>
      <c r="G9" s="265"/>
    </row>
    <row r="10" spans="1:7" s="228" customFormat="1" ht="13.5" customHeight="1">
      <c r="A10" s="261" t="s">
        <v>941</v>
      </c>
      <c r="B10" s="262" t="s">
        <v>2114</v>
      </c>
      <c r="C10" s="263">
        <f>ROUND(D10*E10/10000,0)</f>
        <v>0</v>
      </c>
      <c r="D10" s="264">
        <f>'数据-汇总表'!E6</f>
        <v>0</v>
      </c>
      <c r="E10" s="263">
        <f>'数据-取费表'!B28</f>
        <v>0</v>
      </c>
      <c r="F10" s="258"/>
      <c r="G10" s="265"/>
    </row>
    <row r="11" spans="1:7" s="228" customFormat="1" ht="13.5" hidden="1" customHeight="1">
      <c r="A11" s="266" t="s">
        <v>943</v>
      </c>
      <c r="B11" s="252" t="s">
        <v>2115</v>
      </c>
      <c r="C11" s="248"/>
      <c r="D11" s="267"/>
      <c r="E11" s="255"/>
      <c r="F11" s="255"/>
      <c r="G11" s="256"/>
    </row>
    <row r="12" spans="1:7" s="228" customFormat="1" ht="13.5" hidden="1" customHeight="1">
      <c r="A12" s="266" t="s">
        <v>945</v>
      </c>
      <c r="B12" s="252" t="s">
        <v>2116</v>
      </c>
      <c r="C12" s="248">
        <v>0</v>
      </c>
      <c r="D12" s="267"/>
      <c r="E12" s="268"/>
      <c r="F12" s="258">
        <v>3.0499999999999999E-2</v>
      </c>
      <c r="G12" s="256"/>
    </row>
    <row r="13" spans="1:7" s="228" customFormat="1" ht="13.5" hidden="1" customHeight="1">
      <c r="A13" s="266" t="s">
        <v>946</v>
      </c>
      <c r="B13" s="252" t="s">
        <v>2117</v>
      </c>
      <c r="C13" s="248"/>
      <c r="D13" s="267"/>
      <c r="E13" s="255"/>
      <c r="F13" s="255"/>
      <c r="G13" s="256"/>
    </row>
    <row r="14" spans="1:7" s="228" customFormat="1" ht="13.5" hidden="1" customHeight="1">
      <c r="A14" s="266" t="s">
        <v>948</v>
      </c>
      <c r="B14" s="252" t="s">
        <v>2112</v>
      </c>
      <c r="C14" s="248"/>
      <c r="D14" s="267"/>
      <c r="E14" s="255"/>
      <c r="F14" s="255"/>
      <c r="G14" s="256" t="s">
        <v>2118</v>
      </c>
    </row>
    <row r="15" spans="1:7" s="228" customFormat="1" ht="13.5" hidden="1" customHeight="1">
      <c r="A15" s="266" t="s">
        <v>950</v>
      </c>
      <c r="B15" s="252" t="s">
        <v>2119</v>
      </c>
      <c r="C15" s="257"/>
      <c r="D15" s="267"/>
      <c r="E15" s="255"/>
      <c r="F15" s="255"/>
      <c r="G15" s="256" t="s">
        <v>2120</v>
      </c>
    </row>
    <row r="16" spans="1:7" s="228" customFormat="1" ht="13.5" hidden="1" customHeight="1">
      <c r="A16" s="266" t="s">
        <v>953</v>
      </c>
      <c r="B16" s="252" t="s">
        <v>2112</v>
      </c>
      <c r="C16" s="257"/>
      <c r="D16" s="267"/>
      <c r="E16" s="255"/>
      <c r="F16" s="255"/>
      <c r="G16" s="256"/>
    </row>
    <row r="17" spans="1:7" s="228" customFormat="1" ht="13.5" hidden="1" customHeight="1">
      <c r="A17" s="266" t="s">
        <v>954</v>
      </c>
      <c r="B17" s="252" t="s">
        <v>2121</v>
      </c>
      <c r="C17" s="269"/>
      <c r="D17" s="270"/>
      <c r="E17" s="269"/>
      <c r="F17" s="269"/>
      <c r="G17" s="256" t="s">
        <v>2120</v>
      </c>
    </row>
    <row r="18" spans="1:7" s="228" customFormat="1" ht="13.5" hidden="1" customHeight="1">
      <c r="A18" s="266" t="s">
        <v>956</v>
      </c>
      <c r="B18" s="252" t="s">
        <v>2122</v>
      </c>
      <c r="C18" s="257">
        <v>0</v>
      </c>
      <c r="D18" s="267"/>
      <c r="E18" s="255"/>
      <c r="F18" s="258">
        <v>3.0499999999999999E-2</v>
      </c>
      <c r="G18" s="256" t="s">
        <v>2123</v>
      </c>
    </row>
    <row r="19" spans="1:7" s="229" customFormat="1" ht="13.5" customHeight="1">
      <c r="A19" s="271" t="s">
        <v>1454</v>
      </c>
      <c r="B19" s="247" t="s">
        <v>2124</v>
      </c>
      <c r="C19" s="248">
        <f>IF(G19="已包含在土地取得成本中","0",ROUND(D19*E19/10000,0))</f>
        <v>0</v>
      </c>
      <c r="D19" s="272">
        <f>'数据-汇总表'!E3</f>
        <v>1</v>
      </c>
      <c r="E19" s="248">
        <f>'数据-取费表'!B31</f>
        <v>0</v>
      </c>
      <c r="F19" s="273"/>
      <c r="G19" s="260" t="s">
        <v>2125</v>
      </c>
    </row>
    <row r="20" spans="1:7" s="228" customFormat="1" ht="13.5" customHeight="1">
      <c r="A20" s="271" t="s">
        <v>2126</v>
      </c>
      <c r="B20" s="247" t="s">
        <v>2127</v>
      </c>
      <c r="C20" s="274">
        <f>ROUND((C5+C19)*F20,0)</f>
        <v>400</v>
      </c>
      <c r="D20" s="274"/>
      <c r="E20" s="274"/>
      <c r="F20" s="275">
        <f>'数据-取费表'!B37</f>
        <v>0.02</v>
      </c>
      <c r="G20" s="276" t="s">
        <v>2128</v>
      </c>
    </row>
    <row r="21" spans="1:7" s="228" customFormat="1" ht="13.5" customHeight="1">
      <c r="A21" s="271" t="s">
        <v>2129</v>
      </c>
      <c r="B21" s="247" t="s">
        <v>2130</v>
      </c>
      <c r="C21" s="277">
        <f>F21</f>
        <v>0.01</v>
      </c>
      <c r="D21" s="278" t="s">
        <v>2131</v>
      </c>
      <c r="E21" s="274"/>
      <c r="F21" s="275">
        <f>'数据-取费表'!B38</f>
        <v>0.01</v>
      </c>
      <c r="G21" s="279" t="s">
        <v>2132</v>
      </c>
    </row>
    <row r="22" spans="1:7" s="228" customFormat="1" ht="13.5" customHeight="1">
      <c r="A22" s="271" t="s">
        <v>2133</v>
      </c>
      <c r="B22" s="247" t="s">
        <v>2134</v>
      </c>
      <c r="C22" s="280">
        <f ca="1">ROUND(SUM(C23:C25),0)</f>
        <v>2751</v>
      </c>
      <c r="D22" s="277">
        <f ca="1">C26</f>
        <v>6.9999999999999999E-4</v>
      </c>
      <c r="E22" s="278" t="s">
        <v>2131</v>
      </c>
      <c r="F22" s="281">
        <f ca="1">'数据-取费表'!B40</f>
        <v>4.3499999999999997E-2</v>
      </c>
      <c r="G22" s="276" t="str">
        <f>IF('数据-取费表'!B22&lt;=1,"单利计息","复利计息")</f>
        <v>复利计息</v>
      </c>
    </row>
    <row r="23" spans="1:7" s="228" customFormat="1" ht="13.5" customHeight="1">
      <c r="A23" s="282" t="s">
        <v>932</v>
      </c>
      <c r="B23" s="252" t="s">
        <v>2135</v>
      </c>
      <c r="C23" s="283">
        <f ca="1">ROUND(IF('数据-取费表'!B22&lt;=1,C5*F22*'数据-取费表'!B23,C5*(POWER((1+F22),'数据-取费表'!B23)-1)),0)</f>
        <v>2725</v>
      </c>
      <c r="D23" s="284"/>
      <c r="E23" s="284"/>
      <c r="F23" s="285"/>
      <c r="G23" s="286" t="s">
        <v>2136</v>
      </c>
    </row>
    <row r="24" spans="1:7" s="228" customFormat="1" ht="13.5" customHeight="1">
      <c r="A24" s="282" t="s">
        <v>934</v>
      </c>
      <c r="B24" s="252" t="s">
        <v>2137</v>
      </c>
      <c r="C24" s="283">
        <f ca="1">ROUND(IF('数据-取费表'!B22&lt;=1,C19*F22*('数据-取费表'!B19/2+'数据-取费表'!B21),C19*(POWER((1+F22),('数据-取费表'!B19/2+'数据-取费表'!B21))-1)),0)</f>
        <v>0</v>
      </c>
      <c r="D24" s="284"/>
      <c r="E24" s="284"/>
      <c r="F24" s="285"/>
      <c r="G24" s="286" t="s">
        <v>2138</v>
      </c>
    </row>
    <row r="25" spans="1:7" s="228" customFormat="1" ht="24">
      <c r="A25" s="282" t="s">
        <v>936</v>
      </c>
      <c r="B25" s="252" t="s">
        <v>2139</v>
      </c>
      <c r="C25" s="283">
        <f ca="1">ROUND(IF('数据-取费表'!B22&lt;=1,C20*F22*'数据-取费表'!B23/2,C20*(POWER((1+F22),'数据-取费表'!B23/2)-1)),0)</f>
        <v>26</v>
      </c>
      <c r="D25" s="284"/>
      <c r="E25" s="287"/>
      <c r="F25" s="285"/>
      <c r="G25" s="288" t="s">
        <v>2140</v>
      </c>
    </row>
    <row r="26" spans="1:7" s="228" customFormat="1">
      <c r="A26" s="282" t="s">
        <v>976</v>
      </c>
      <c r="B26" s="252" t="s">
        <v>2141</v>
      </c>
      <c r="C26" s="284">
        <f ca="1">ROUND(IF('数据-取费表'!B22&lt;=1,F21*F22*'数据-取费表'!B23/2,F21*(POWER((1+F22),'数据-取费表'!B23/2)-1)),4)</f>
        <v>6.9999999999999999E-4</v>
      </c>
      <c r="D26" s="284"/>
      <c r="E26" s="287"/>
      <c r="F26" s="285"/>
      <c r="G26" s="289"/>
    </row>
    <row r="27" spans="1:7" s="228" customFormat="1" ht="24.75">
      <c r="A27" s="271" t="s">
        <v>2142</v>
      </c>
      <c r="B27" s="290" t="s">
        <v>2143</v>
      </c>
      <c r="C27" s="291">
        <f>C28</f>
        <v>612</v>
      </c>
      <c r="D27" s="277">
        <f>C29</f>
        <v>2.9999999999999997E-4</v>
      </c>
      <c r="E27" s="278" t="s">
        <v>2131</v>
      </c>
      <c r="F27" s="292">
        <f>'数据-取费表'!Q16</f>
        <v>0.03</v>
      </c>
      <c r="G27" s="293" t="s">
        <v>2144</v>
      </c>
    </row>
    <row r="28" spans="1:7" s="228" customFormat="1" ht="13.5" customHeight="1">
      <c r="A28" s="282" t="s">
        <v>932</v>
      </c>
      <c r="B28" s="294" t="s">
        <v>2145</v>
      </c>
      <c r="C28" s="295">
        <f>ROUND((C5+C19+C20)*F27*'数据-取费表'!B21/'数据-取费表'!B20,0)</f>
        <v>612</v>
      </c>
      <c r="D28" s="277"/>
      <c r="E28" s="278"/>
      <c r="F28" s="292"/>
      <c r="G28" s="293"/>
    </row>
    <row r="29" spans="1:7" s="228" customFormat="1" ht="13.5" customHeight="1">
      <c r="A29" s="282" t="s">
        <v>934</v>
      </c>
      <c r="B29" s="294" t="s">
        <v>2146</v>
      </c>
      <c r="C29" s="284">
        <f>ROUND(C21*F27*'数据-取费表'!B21/'数据-取费表'!B20,4)</f>
        <v>2.9999999999999997E-4</v>
      </c>
      <c r="D29" s="277"/>
      <c r="E29" s="278"/>
      <c r="F29" s="292"/>
      <c r="G29" s="293"/>
    </row>
    <row r="30" spans="1:7" s="228" customFormat="1" ht="13.5" customHeight="1">
      <c r="A30" s="271" t="s">
        <v>2147</v>
      </c>
      <c r="B30" s="247" t="s">
        <v>2148</v>
      </c>
      <c r="C30" s="277">
        <f>F30</f>
        <v>5.6000000000000001E-2</v>
      </c>
      <c r="D30" s="278" t="s">
        <v>2149</v>
      </c>
      <c r="E30" s="287"/>
      <c r="F30" s="281">
        <f>'数据-取费表'!B41</f>
        <v>5.6000000000000001E-2</v>
      </c>
      <c r="G30" s="279" t="s">
        <v>2150</v>
      </c>
    </row>
    <row r="31" spans="1:7" ht="16.5" customHeight="1">
      <c r="A31" s="296">
        <v>1</v>
      </c>
      <c r="B31" s="247" t="s">
        <v>2151</v>
      </c>
      <c r="C31" s="248">
        <f ca="1">ROUND((C5+C19+C20+C22+C27)/(1-C21-D22-D27-C30/(1+'数据-取费表'!B42)),0)</f>
        <v>25397</v>
      </c>
      <c r="D31" s="297"/>
      <c r="E31" s="248"/>
      <c r="F31" s="298"/>
      <c r="G31" s="279" t="s">
        <v>2152</v>
      </c>
    </row>
    <row r="32" spans="1:7" s="227" customFormat="1" ht="15.75">
      <c r="A32" s="299" t="s">
        <v>2153</v>
      </c>
      <c r="B32" s="300"/>
      <c r="C32" s="300"/>
      <c r="D32" s="300"/>
      <c r="E32" s="300"/>
      <c r="F32" s="300"/>
      <c r="G32" s="301"/>
    </row>
    <row r="33" spans="1:7" s="228" customFormat="1" ht="13.5" customHeight="1">
      <c r="A33" s="246" t="s">
        <v>928</v>
      </c>
      <c r="B33" s="247" t="s">
        <v>2154</v>
      </c>
      <c r="C33" s="302">
        <f>SUM(C34:C38)</f>
        <v>1</v>
      </c>
      <c r="D33" s="274"/>
      <c r="E33" s="249"/>
      <c r="F33" s="287"/>
      <c r="G33" s="279"/>
    </row>
    <row r="34" spans="1:7" s="230" customFormat="1" ht="13.5" customHeight="1">
      <c r="A34" s="282" t="s">
        <v>932</v>
      </c>
      <c r="B34" s="252" t="s">
        <v>2155</v>
      </c>
      <c r="C34" s="257">
        <f>IF(F34=100%,'数据-取费表'!M16-SUMIF('数据-取费表'!C:C,"公共配套",'数据-取费表'!M:M),'数据-取费表'!O16-SUMIF('数据-取费表'!C:C,"公共配套",'数据-取费表'!O:O))</f>
        <v>1</v>
      </c>
      <c r="D34" s="254"/>
      <c r="E34" s="257"/>
      <c r="F34" s="303">
        <f>IF('数据-取费表'!B24=0,1,'数据-取费表'!N16)</f>
        <v>1</v>
      </c>
      <c r="G34" s="256" t="s">
        <v>2156</v>
      </c>
    </row>
    <row r="35" spans="1:7" ht="13.5" customHeight="1">
      <c r="A35" s="282" t="s">
        <v>934</v>
      </c>
      <c r="B35" s="252" t="s">
        <v>2157</v>
      </c>
      <c r="C35" s="257">
        <f>ROUND(C34*F35,0)</f>
        <v>0</v>
      </c>
      <c r="D35" s="257"/>
      <c r="E35" s="257"/>
      <c r="F35" s="304">
        <f>'数据-取费表'!B33</f>
        <v>0.03</v>
      </c>
      <c r="G35" s="256" t="s">
        <v>2158</v>
      </c>
    </row>
    <row r="36" spans="1:7" ht="24">
      <c r="A36" s="282" t="s">
        <v>936</v>
      </c>
      <c r="B36" s="252" t="s">
        <v>2159</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304">
        <f>'数据-取费表'!B34</f>
        <v>0.05</v>
      </c>
      <c r="G36" s="305" t="s">
        <v>2160</v>
      </c>
    </row>
    <row r="37" spans="1:7" s="230" customFormat="1" ht="13.5" customHeight="1">
      <c r="A37" s="282" t="s">
        <v>976</v>
      </c>
      <c r="B37" s="252" t="s">
        <v>2161</v>
      </c>
      <c r="C37" s="295">
        <f>ROUND(E37*D37*F34/10000,0)</f>
        <v>0</v>
      </c>
      <c r="D37" s="254">
        <f>'数据-汇总表'!E3</f>
        <v>1</v>
      </c>
      <c r="E37" s="295">
        <f>'数据-取费表'!B35</f>
        <v>200</v>
      </c>
      <c r="F37" s="304"/>
      <c r="G37" s="306" t="s">
        <v>2162</v>
      </c>
    </row>
    <row r="38" spans="1:7" ht="13.5" customHeight="1">
      <c r="A38" s="282" t="s">
        <v>998</v>
      </c>
      <c r="B38" s="252" t="s">
        <v>2116</v>
      </c>
      <c r="C38" s="257">
        <f>ROUND(C34*F38,0)</f>
        <v>0</v>
      </c>
      <c r="D38" s="257"/>
      <c r="E38" s="257"/>
      <c r="F38" s="304">
        <f>'数据-取费表'!B36</f>
        <v>1.4999999999999999E-2</v>
      </c>
      <c r="G38" s="256" t="s">
        <v>2158</v>
      </c>
    </row>
    <row r="39" spans="1:7" s="228" customFormat="1" ht="13.5" customHeight="1">
      <c r="A39" s="271" t="s">
        <v>1454</v>
      </c>
      <c r="B39" s="247" t="s">
        <v>2127</v>
      </c>
      <c r="C39" s="274">
        <f>ROUND(C33*F20,0)</f>
        <v>0</v>
      </c>
      <c r="D39" s="274"/>
      <c r="E39" s="274"/>
      <c r="F39" s="275"/>
      <c r="G39" s="276" t="s">
        <v>2163</v>
      </c>
    </row>
    <row r="40" spans="1:7" s="228" customFormat="1" ht="13.5" customHeight="1">
      <c r="A40" s="271" t="s">
        <v>2126</v>
      </c>
      <c r="B40" s="247" t="s">
        <v>2130</v>
      </c>
      <c r="C40" s="307">
        <f>F21</f>
        <v>0.01</v>
      </c>
      <c r="D40" s="278" t="s">
        <v>2164</v>
      </c>
      <c r="E40" s="274"/>
      <c r="F40" s="275"/>
      <c r="G40" s="279" t="s">
        <v>2165</v>
      </c>
    </row>
    <row r="41" spans="1:7" s="228" customFormat="1" ht="13.5" customHeight="1">
      <c r="A41" s="271" t="s">
        <v>2129</v>
      </c>
      <c r="B41" s="247" t="s">
        <v>2134</v>
      </c>
      <c r="C41" s="274">
        <f ca="1">ROUND(SUM(C42:C43),0)</f>
        <v>0</v>
      </c>
      <c r="D41" s="277">
        <f ca="1">C44</f>
        <v>6.9999999999999999E-4</v>
      </c>
      <c r="E41" s="278" t="s">
        <v>2164</v>
      </c>
      <c r="F41" s="281"/>
      <c r="G41" s="276" t="str">
        <f>IF('数据-取费表'!B22&lt;=1,"单利计息","复利计息")</f>
        <v>复利计息</v>
      </c>
    </row>
    <row r="42" spans="1:7" ht="13.5" customHeight="1">
      <c r="A42" s="282" t="s">
        <v>932</v>
      </c>
      <c r="B42" s="252" t="s">
        <v>2135</v>
      </c>
      <c r="C42" s="284">
        <f ca="1">ROUND(IF('数据-取费表'!B22&lt;=1,C33*F22*'数据-取费表'!B21/2,C33*(POWER((1+F22),'数据-取费表'!B21/2)-1)),0)</f>
        <v>0</v>
      </c>
      <c r="D42" s="284"/>
      <c r="E42" s="284"/>
      <c r="F42" s="285"/>
      <c r="G42" s="3412" t="s">
        <v>2166</v>
      </c>
    </row>
    <row r="43" spans="1:7" ht="13.5" customHeight="1">
      <c r="A43" s="282" t="s">
        <v>934</v>
      </c>
      <c r="B43" s="252" t="s">
        <v>2137</v>
      </c>
      <c r="C43" s="284">
        <f ca="1">ROUND(IF('数据-取费表'!B22&lt;=1,C39*F22*'数据-取费表'!B21/2,C39*(POWER((1+F22),'数据-取费表'!B21/2)-1)),0)</f>
        <v>0</v>
      </c>
      <c r="D43" s="284"/>
      <c r="E43" s="284"/>
      <c r="F43" s="285"/>
      <c r="G43" s="3413"/>
    </row>
    <row r="44" spans="1:7" ht="13.5" customHeight="1">
      <c r="A44" s="282" t="s">
        <v>936</v>
      </c>
      <c r="B44" s="252" t="s">
        <v>2139</v>
      </c>
      <c r="C44" s="284">
        <f ca="1">ROUND(IF('数据-取费表'!B22&lt;=1,C40*F22*'数据-取费表'!B21/2,C40*(POWER((1+F22),'数据-取费表'!B21/2)-1)),4)</f>
        <v>6.9999999999999999E-4</v>
      </c>
      <c r="D44" s="284"/>
      <c r="E44" s="284"/>
      <c r="F44" s="285"/>
      <c r="G44" s="3414"/>
    </row>
    <row r="45" spans="1:7" s="228" customFormat="1" ht="13.5" customHeight="1">
      <c r="A45" s="271" t="s">
        <v>2133</v>
      </c>
      <c r="B45" s="290" t="s">
        <v>2143</v>
      </c>
      <c r="C45" s="291">
        <f>C46</f>
        <v>0</v>
      </c>
      <c r="D45" s="277">
        <f>C47</f>
        <v>2.9999999999999997E-4</v>
      </c>
      <c r="E45" s="278" t="s">
        <v>2164</v>
      </c>
      <c r="F45" s="292"/>
      <c r="G45" s="293" t="s">
        <v>2167</v>
      </c>
    </row>
    <row r="46" spans="1:7" s="228" customFormat="1" ht="13.5" customHeight="1">
      <c r="A46" s="282" t="s">
        <v>932</v>
      </c>
      <c r="B46" s="294" t="s">
        <v>2168</v>
      </c>
      <c r="C46" s="295">
        <f>ROUND((C33+C39)*F27,0)</f>
        <v>0</v>
      </c>
      <c r="D46" s="308"/>
      <c r="E46" s="278"/>
      <c r="F46" s="292"/>
      <c r="G46" s="293"/>
    </row>
    <row r="47" spans="1:7" s="228" customFormat="1" ht="13.5" customHeight="1">
      <c r="A47" s="282" t="s">
        <v>934</v>
      </c>
      <c r="B47" s="294" t="s">
        <v>2169</v>
      </c>
      <c r="C47" s="284">
        <f>ROUND(C40*F27,4)</f>
        <v>2.9999999999999997E-4</v>
      </c>
      <c r="D47" s="308"/>
      <c r="E47" s="278"/>
      <c r="F47" s="292"/>
      <c r="G47" s="293"/>
    </row>
    <row r="48" spans="1:7" s="228" customFormat="1" ht="13.5" customHeight="1">
      <c r="A48" s="271" t="s">
        <v>2142</v>
      </c>
      <c r="B48" s="247" t="s">
        <v>2148</v>
      </c>
      <c r="C48" s="307">
        <f>F30</f>
        <v>5.6000000000000001E-2</v>
      </c>
      <c r="D48" s="278" t="s">
        <v>2170</v>
      </c>
      <c r="E48" s="274"/>
      <c r="F48" s="281"/>
      <c r="G48" s="279" t="s">
        <v>2171</v>
      </c>
    </row>
    <row r="49" spans="1:7" ht="16.5" customHeight="1">
      <c r="A49" s="271" t="s">
        <v>2147</v>
      </c>
      <c r="B49" s="247" t="s">
        <v>2172</v>
      </c>
      <c r="C49" s="274">
        <f ca="1">ROUND((C33+C39+C41+C45)/(1-C40-D41-D45-C48/(1+'数据-取费表'!B42)),0)</f>
        <v>1</v>
      </c>
      <c r="D49" s="274"/>
      <c r="E49" s="274"/>
      <c r="F49" s="309"/>
      <c r="G49" s="279" t="s">
        <v>2173</v>
      </c>
    </row>
    <row r="50" spans="1:7" s="230" customFormat="1" ht="24">
      <c r="A50" s="271" t="s">
        <v>2174</v>
      </c>
      <c r="B50" s="247" t="s">
        <v>2175</v>
      </c>
      <c r="C50" s="274"/>
      <c r="D50" s="274"/>
      <c r="E50" s="274"/>
      <c r="F50" s="309">
        <f>IF('数据-取费表'!B24=0,'数据-取费表'!N16,1)</f>
        <v>1</v>
      </c>
      <c r="G50" s="293" t="s">
        <v>2176</v>
      </c>
    </row>
    <row r="51" spans="1:7" ht="16.5" customHeight="1">
      <c r="A51" s="271" t="s">
        <v>2177</v>
      </c>
      <c r="B51" s="247" t="s">
        <v>2178</v>
      </c>
      <c r="C51" s="274">
        <f ca="1">ROUND(C49*F50,0)</f>
        <v>1</v>
      </c>
      <c r="D51" s="274"/>
      <c r="E51" s="274"/>
      <c r="F51" s="309"/>
      <c r="G51" s="279" t="s">
        <v>2179</v>
      </c>
    </row>
    <row r="52" spans="1:7" s="227" customFormat="1" ht="15.75">
      <c r="A52" s="310" t="s">
        <v>2180</v>
      </c>
      <c r="B52" s="311"/>
      <c r="C52" s="312">
        <f ca="1">C31+C51</f>
        <v>25398</v>
      </c>
      <c r="D52" s="311"/>
      <c r="E52" s="311"/>
      <c r="F52" s="311"/>
      <c r="G52" s="313"/>
    </row>
    <row r="55" spans="1:7" ht="15">
      <c r="B55" s="314" t="s">
        <v>2181</v>
      </c>
      <c r="C55" s="315"/>
    </row>
    <row r="56" spans="1:7">
      <c r="B56" s="316" t="s">
        <v>2182</v>
      </c>
      <c r="C56" s="317">
        <f ca="1">ROUND(C51/C52,3)</f>
        <v>0</v>
      </c>
    </row>
    <row r="57" spans="1:7">
      <c r="B57" s="316" t="s">
        <v>2183</v>
      </c>
      <c r="C57" s="318">
        <f ca="1">1-C56</f>
        <v>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13" customWidth="1"/>
    <col min="2" max="2" width="37.25" style="3113" customWidth="1"/>
    <col min="3" max="3" width="11.375" style="3113" customWidth="1"/>
    <col min="4" max="4" width="31.75" style="3113" customWidth="1"/>
    <col min="5" max="5" width="0.5" style="3113" customWidth="1"/>
    <col min="6" max="7" width="13" style="3113" customWidth="1"/>
    <col min="8" max="16384" width="9" style="3113"/>
  </cols>
  <sheetData>
    <row r="1" spans="1:5" ht="18.75">
      <c r="A1" s="3114" t="s">
        <v>94</v>
      </c>
      <c r="B1" s="3115"/>
      <c r="C1" s="3115"/>
      <c r="D1" s="3115"/>
      <c r="E1" s="3115"/>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估价结果一览表（市场价值不需“结果表-1”）</v>
      </c>
      <c r="B3" s="3232"/>
      <c r="C3" s="3232"/>
      <c r="D3" s="3232"/>
      <c r="E3" s="3232"/>
    </row>
    <row r="4" spans="1:5" ht="18.75">
      <c r="A4" s="3116"/>
      <c r="B4" s="3233" t="s">
        <v>95</v>
      </c>
      <c r="C4" s="3233"/>
      <c r="D4" s="3233"/>
      <c r="E4" s="3116"/>
    </row>
    <row r="5" spans="1:5" ht="15.75">
      <c r="A5" s="3115"/>
      <c r="B5" s="3225" t="s">
        <v>96</v>
      </c>
      <c r="C5" s="3117" t="s">
        <v>97</v>
      </c>
      <c r="D5" s="3118">
        <f ca="1">结果表!H101</f>
        <v>3</v>
      </c>
      <c r="E5" s="3115"/>
    </row>
    <row r="6" spans="1:5" ht="15.75">
      <c r="A6" s="3115"/>
      <c r="B6" s="3225"/>
      <c r="C6" s="3117" t="s">
        <v>98</v>
      </c>
      <c r="D6" s="3118" t="str">
        <f ca="1">NUMBERSTRING(INT(D5*10000),2)&amp;"元整"</f>
        <v>叁万元整</v>
      </c>
      <c r="E6" s="3115"/>
    </row>
    <row r="7" spans="1:5" ht="15.75">
      <c r="A7" s="3115"/>
      <c r="B7" s="3226"/>
      <c r="C7" s="3119" t="s">
        <v>99</v>
      </c>
      <c r="D7" s="3120">
        <f ca="1">结果表!H102</f>
        <v>27066</v>
      </c>
      <c r="E7" s="3115"/>
    </row>
    <row r="8" spans="1:5" ht="15.75">
      <c r="A8" s="3115"/>
      <c r="B8" s="3227" t="str">
        <f>结果表!E103</f>
        <v>2.估价师知悉的法定优先受偿款</v>
      </c>
      <c r="C8" s="3121" t="s">
        <v>100</v>
      </c>
      <c r="D8" s="3120">
        <f>结果表!H103</f>
        <v>0</v>
      </c>
      <c r="E8" s="3115"/>
    </row>
    <row r="9" spans="1:5" ht="15.75">
      <c r="A9" s="3115"/>
      <c r="B9" s="3229"/>
      <c r="C9" s="3117" t="s">
        <v>98</v>
      </c>
      <c r="D9" s="3118" t="str">
        <f>NUMBERSTRING(INT(D8*10000),2)&amp;"元整"</f>
        <v>零元整</v>
      </c>
      <c r="E9" s="3115"/>
    </row>
    <row r="10" spans="1:5" ht="15">
      <c r="A10" s="3115"/>
      <c r="B10" s="3122" t="s">
        <v>101</v>
      </c>
      <c r="C10" s="3123" t="s">
        <v>102</v>
      </c>
      <c r="D10" s="3124">
        <f>结果表!H104</f>
        <v>0</v>
      </c>
      <c r="E10" s="3115"/>
    </row>
    <row r="11" spans="1:5" ht="15">
      <c r="A11" s="3115"/>
      <c r="B11" s="3122" t="s">
        <v>103</v>
      </c>
      <c r="C11" s="3123" t="s">
        <v>102</v>
      </c>
      <c r="D11" s="3124">
        <f>结果表!H105</f>
        <v>0</v>
      </c>
      <c r="E11" s="3115"/>
    </row>
    <row r="12" spans="1:5" ht="15">
      <c r="A12" s="3115"/>
      <c r="B12" s="3122" t="s">
        <v>104</v>
      </c>
      <c r="C12" s="3123" t="s">
        <v>102</v>
      </c>
      <c r="D12" s="3124">
        <f>结果表!H106</f>
        <v>0</v>
      </c>
      <c r="E12" s="3115"/>
    </row>
    <row r="13" spans="1:5" ht="15.75">
      <c r="A13" s="3115"/>
      <c r="B13" s="3224" t="str">
        <f>结果表!E107</f>
        <v>——</v>
      </c>
      <c r="C13" s="3125" t="s">
        <v>97</v>
      </c>
      <c r="D13" s="3126" t="str">
        <f>结果表!H107</f>
        <v>——</v>
      </c>
      <c r="E13" s="3115"/>
    </row>
    <row r="14" spans="1:5" ht="15.75">
      <c r="A14" s="3115"/>
      <c r="B14" s="3225"/>
      <c r="C14" s="3117" t="s">
        <v>98</v>
      </c>
      <c r="D14" s="3118" t="e">
        <f>NUMBERSTRING(INT(D13*10000),2)&amp;"元整"</f>
        <v>#VALUE!</v>
      </c>
      <c r="E14" s="3115"/>
    </row>
    <row r="15" spans="1:5" ht="15">
      <c r="A15" s="3115"/>
      <c r="B15" s="3226"/>
      <c r="C15" s="3119" t="s">
        <v>99</v>
      </c>
      <c r="D15" s="3127" t="e">
        <f>结果表!H108</f>
        <v>#VALUE!</v>
      </c>
      <c r="E15" s="3115"/>
    </row>
    <row r="16" spans="1:5" ht="15">
      <c r="A16" s="3115"/>
      <c r="B16" s="3227" t="str">
        <f>结果表!E109</f>
        <v>3.抵押担保权已注销时的房地产抵押价值</v>
      </c>
      <c r="C16" s="3125" t="s">
        <v>97</v>
      </c>
      <c r="D16" s="3128">
        <f ca="1">结果表!H109</f>
        <v>3</v>
      </c>
      <c r="E16" s="3115"/>
    </row>
    <row r="17" spans="1:5" ht="15.75">
      <c r="A17" s="3115"/>
      <c r="B17" s="3228"/>
      <c r="C17" s="3117" t="s">
        <v>98</v>
      </c>
      <c r="D17" s="3118" t="str">
        <f ca="1">NUMBERSTRING(INT(D16*10000),2)&amp;"元整"</f>
        <v>叁万元整</v>
      </c>
      <c r="E17" s="3115"/>
    </row>
    <row r="18" spans="1:5" ht="15">
      <c r="A18" s="3115"/>
      <c r="B18" s="3229"/>
      <c r="C18" s="3119" t="s">
        <v>99</v>
      </c>
      <c r="D18" s="3127">
        <f ca="1">结果表!H110</f>
        <v>30000</v>
      </c>
      <c r="E18" s="3115"/>
    </row>
    <row r="19" spans="1:5" ht="15.75">
      <c r="A19" s="3115"/>
      <c r="B19" s="3224" t="str">
        <f>结果表!E111</f>
        <v>——</v>
      </c>
      <c r="C19" s="3125" t="s">
        <v>97</v>
      </c>
      <c r="D19" s="3120" t="str">
        <f>结果表!H111</f>
        <v>——</v>
      </c>
      <c r="E19" s="3115"/>
    </row>
    <row r="20" spans="1:5" ht="15.75">
      <c r="A20" s="3115"/>
      <c r="B20" s="3225"/>
      <c r="C20" s="3117" t="s">
        <v>98</v>
      </c>
      <c r="D20" s="3118" t="e">
        <f>NUMBERSTRING(INT(D19*10000),2)&amp;"元整"</f>
        <v>#VALUE!</v>
      </c>
      <c r="E20" s="3115"/>
    </row>
    <row r="21" spans="1:5" ht="15">
      <c r="A21" s="3115"/>
      <c r="B21" s="3230"/>
      <c r="C21" s="3129" t="s">
        <v>99</v>
      </c>
      <c r="D21" s="3130" t="str">
        <f>结果表!H112</f>
        <v>——</v>
      </c>
      <c r="E21" s="3115"/>
    </row>
    <row r="22" spans="1:5">
      <c r="A22" s="3115"/>
      <c r="B22" s="3131" t="s">
        <v>105</v>
      </c>
      <c r="C22" s="3115"/>
      <c r="D22" s="3115"/>
      <c r="E22" s="3115"/>
    </row>
    <row r="23" spans="1:5">
      <c r="A23" s="3115"/>
      <c r="B23" s="3115"/>
      <c r="C23" s="3115"/>
      <c r="D23" s="3115"/>
      <c r="E23" s="3115"/>
    </row>
    <row r="24" spans="1:5" ht="18.75">
      <c r="A24" s="3132"/>
      <c r="B24" s="3133" t="s">
        <v>106</v>
      </c>
      <c r="C24" s="3132"/>
      <c r="D24" s="3132"/>
      <c r="E24" s="3132"/>
    </row>
    <row r="25" spans="1:5">
      <c r="A25" s="3132"/>
      <c r="B25" s="3132"/>
      <c r="C25" s="3132"/>
      <c r="D25" s="3132"/>
      <c r="E25" s="3132"/>
    </row>
    <row r="26" spans="1:5">
      <c r="A26" s="3132"/>
      <c r="B26" s="3132"/>
      <c r="C26" s="3132"/>
      <c r="D26" s="3132"/>
      <c r="E26" s="3132"/>
    </row>
    <row r="27" spans="1:5">
      <c r="A27" s="3132"/>
      <c r="B27" s="3132"/>
      <c r="C27" s="3132"/>
      <c r="D27" s="3132"/>
      <c r="E27" s="3132"/>
    </row>
    <row r="28" spans="1:5">
      <c r="A28" s="3132"/>
      <c r="B28" s="3132"/>
      <c r="C28" s="3132"/>
      <c r="D28" s="3132"/>
      <c r="E28" s="3132"/>
    </row>
    <row r="29" spans="1:5">
      <c r="A29" s="3132"/>
      <c r="B29" s="3132"/>
      <c r="C29" s="3132"/>
      <c r="D29" s="3132"/>
      <c r="E29" s="3132"/>
    </row>
    <row r="30" spans="1:5">
      <c r="A30" s="3132"/>
      <c r="B30" s="3132"/>
      <c r="C30" s="3132"/>
      <c r="D30" s="3132"/>
      <c r="E30" s="3132"/>
    </row>
    <row r="31" spans="1:5">
      <c r="A31" s="3132"/>
      <c r="B31" s="3132"/>
      <c r="C31" s="3132"/>
      <c r="D31" s="3132"/>
      <c r="E31" s="3132"/>
    </row>
    <row r="32" spans="1:5">
      <c r="A32" s="3132"/>
      <c r="B32" s="3132"/>
      <c r="C32" s="3132"/>
      <c r="D32" s="3132"/>
      <c r="E32" s="3132"/>
    </row>
    <row r="33" spans="1:5">
      <c r="A33" s="3132"/>
      <c r="B33" s="3132"/>
      <c r="C33" s="3132"/>
      <c r="D33" s="3132"/>
      <c r="E33" s="3132"/>
    </row>
    <row r="34" spans="1:5">
      <c r="A34" s="3132"/>
      <c r="B34" s="3132"/>
      <c r="C34" s="3132"/>
      <c r="D34" s="3132"/>
      <c r="E34" s="3132"/>
    </row>
    <row r="35" spans="1:5">
      <c r="A35" s="3132"/>
      <c r="B35" s="3132"/>
      <c r="C35" s="3132"/>
      <c r="D35" s="3132"/>
      <c r="E35" s="3132"/>
    </row>
    <row r="36" spans="1:5">
      <c r="A36" s="3132"/>
      <c r="B36" s="3132"/>
      <c r="C36" s="3132"/>
      <c r="D36" s="3132"/>
      <c r="E36" s="3132"/>
    </row>
    <row r="37" spans="1:5">
      <c r="A37" s="3132"/>
      <c r="B37" s="3132"/>
      <c r="C37" s="3132"/>
      <c r="D37" s="3132"/>
      <c r="E37" s="3132"/>
    </row>
    <row r="38" spans="1:5">
      <c r="A38" s="3132"/>
      <c r="B38" s="3132"/>
      <c r="C38" s="3132"/>
      <c r="D38" s="3132"/>
      <c r="E38" s="3132"/>
    </row>
    <row r="39" spans="1:5">
      <c r="A39" s="3132"/>
      <c r="B39" s="3132"/>
      <c r="C39" s="3132"/>
      <c r="D39" s="3132"/>
      <c r="E39" s="3132"/>
    </row>
    <row r="40" spans="1:5">
      <c r="A40" s="3132"/>
      <c r="B40" s="3132"/>
      <c r="C40" s="3132"/>
      <c r="D40" s="3132"/>
      <c r="E40" s="3132"/>
    </row>
    <row r="41" spans="1:5">
      <c r="A41" s="3132"/>
      <c r="B41" s="3132"/>
      <c r="C41" s="3132"/>
      <c r="D41" s="3132"/>
      <c r="E41" s="3132"/>
    </row>
    <row r="42" spans="1:5">
      <c r="A42" s="3132"/>
      <c r="B42" s="3132"/>
      <c r="C42" s="3132"/>
      <c r="D42" s="3132"/>
      <c r="E42" s="31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75" customWidth="1"/>
    <col min="2" max="5" width="10.25" style="176" customWidth="1"/>
    <col min="6" max="6" width="9" style="176"/>
    <col min="7" max="8" width="9" style="207"/>
    <col min="9" max="16384" width="9" style="176"/>
  </cols>
  <sheetData>
    <row r="1" spans="1:19">
      <c r="A1" s="3558" t="s">
        <v>2184</v>
      </c>
      <c r="B1" s="3558"/>
      <c r="C1" s="3558"/>
      <c r="D1" s="3558"/>
      <c r="E1" s="3558"/>
      <c r="F1" s="3558"/>
      <c r="H1" s="208" t="s">
        <v>232</v>
      </c>
      <c r="I1" s="222" t="s">
        <v>243</v>
      </c>
      <c r="J1" s="222" t="s">
        <v>253</v>
      </c>
      <c r="K1" s="222" t="s">
        <v>261</v>
      </c>
      <c r="L1" s="222" t="s">
        <v>269</v>
      </c>
      <c r="M1" s="222" t="s">
        <v>275</v>
      </c>
      <c r="N1" s="222" t="s">
        <v>280</v>
      </c>
      <c r="O1" s="222" t="s">
        <v>285</v>
      </c>
      <c r="P1" s="222" t="s">
        <v>288</v>
      </c>
      <c r="Q1" s="222" t="s">
        <v>291</v>
      </c>
      <c r="R1" s="222" t="s">
        <v>294</v>
      </c>
      <c r="S1" s="223" t="s">
        <v>297</v>
      </c>
    </row>
    <row r="2" spans="1:19">
      <c r="A2" s="3559" t="s">
        <v>2185</v>
      </c>
      <c r="B2" s="3559"/>
      <c r="C2" s="3559"/>
      <c r="D2" s="3559"/>
      <c r="E2" s="3559"/>
      <c r="F2" s="3559"/>
      <c r="H2" s="209" t="s">
        <v>2186</v>
      </c>
      <c r="I2" s="185" t="s">
        <v>2187</v>
      </c>
      <c r="J2" s="185" t="s">
        <v>2188</v>
      </c>
      <c r="K2" s="185" t="s">
        <v>2189</v>
      </c>
      <c r="L2" s="185" t="s">
        <v>2190</v>
      </c>
      <c r="M2" s="185" t="s">
        <v>2191</v>
      </c>
      <c r="N2" s="185" t="s">
        <v>2192</v>
      </c>
      <c r="O2" s="185" t="s">
        <v>2193</v>
      </c>
      <c r="P2" s="185" t="s">
        <v>2194</v>
      </c>
      <c r="Q2" s="185" t="s">
        <v>2195</v>
      </c>
      <c r="R2" s="185" t="s">
        <v>2196</v>
      </c>
      <c r="S2" s="185" t="s">
        <v>2197</v>
      </c>
    </row>
    <row r="3" spans="1:19" s="206" customFormat="1" ht="19.5" customHeight="1">
      <c r="A3" s="3560" t="s">
        <v>2198</v>
      </c>
      <c r="B3" s="210"/>
      <c r="C3" s="211" t="s">
        <v>1765</v>
      </c>
      <c r="D3" s="211" t="s">
        <v>1766</v>
      </c>
      <c r="E3" s="211" t="s">
        <v>457</v>
      </c>
      <c r="F3" s="211" t="s">
        <v>1767</v>
      </c>
      <c r="G3" s="212"/>
      <c r="H3" s="209" t="s">
        <v>2199</v>
      </c>
      <c r="I3" s="185" t="s">
        <v>2200</v>
      </c>
      <c r="J3" s="185" t="s">
        <v>2201</v>
      </c>
      <c r="K3" s="185" t="s">
        <v>2202</v>
      </c>
      <c r="L3" s="185" t="s">
        <v>2203</v>
      </c>
      <c r="M3" s="185" t="s">
        <v>2204</v>
      </c>
      <c r="N3" s="185" t="s">
        <v>408</v>
      </c>
      <c r="O3" s="185" t="s">
        <v>2205</v>
      </c>
      <c r="P3" s="185" t="s">
        <v>2206</v>
      </c>
      <c r="Q3" s="185" t="s">
        <v>2207</v>
      </c>
      <c r="R3" s="185" t="s">
        <v>2208</v>
      </c>
      <c r="S3" s="185" t="s">
        <v>2209</v>
      </c>
    </row>
    <row r="4" spans="1:19" s="206" customFormat="1" ht="19.5" customHeight="1">
      <c r="A4" s="3561"/>
      <c r="B4" s="213" t="s">
        <v>2210</v>
      </c>
      <c r="C4" s="213" t="s">
        <v>2211</v>
      </c>
      <c r="D4" s="213" t="s">
        <v>2211</v>
      </c>
      <c r="E4" s="213" t="s">
        <v>2211</v>
      </c>
      <c r="F4" s="214" t="s">
        <v>2211</v>
      </c>
      <c r="G4" s="212"/>
      <c r="H4" s="209" t="s">
        <v>2212</v>
      </c>
      <c r="I4" s="185" t="s">
        <v>2213</v>
      </c>
      <c r="J4" s="185" t="s">
        <v>2214</v>
      </c>
      <c r="K4" s="185" t="s">
        <v>2215</v>
      </c>
      <c r="L4" s="185" t="s">
        <v>2216</v>
      </c>
      <c r="M4" s="185" t="s">
        <v>2217</v>
      </c>
      <c r="N4" s="185" t="s">
        <v>2218</v>
      </c>
      <c r="O4" s="185" t="s">
        <v>2219</v>
      </c>
      <c r="P4" s="185" t="s">
        <v>2220</v>
      </c>
      <c r="Q4" s="185" t="s">
        <v>2221</v>
      </c>
      <c r="R4" s="185" t="s">
        <v>2222</v>
      </c>
      <c r="S4" s="185" t="s">
        <v>2223</v>
      </c>
    </row>
    <row r="5" spans="1:19" ht="14.25" customHeight="1">
      <c r="A5" s="181" t="s">
        <v>232</v>
      </c>
      <c r="B5" s="182" t="s">
        <v>2186</v>
      </c>
      <c r="C5" s="182">
        <v>29530</v>
      </c>
      <c r="D5" s="182">
        <v>28130</v>
      </c>
      <c r="E5" s="182">
        <v>27930</v>
      </c>
      <c r="F5" s="215">
        <v>11300</v>
      </c>
      <c r="G5" s="212"/>
      <c r="H5" s="209" t="s">
        <v>2224</v>
      </c>
      <c r="I5" s="185" t="s">
        <v>2225</v>
      </c>
      <c r="J5" s="185" t="s">
        <v>2226</v>
      </c>
      <c r="K5" s="185" t="s">
        <v>2227</v>
      </c>
      <c r="L5" s="185" t="s">
        <v>2228</v>
      </c>
      <c r="M5" s="185" t="s">
        <v>2229</v>
      </c>
      <c r="N5" s="185" t="s">
        <v>2230</v>
      </c>
      <c r="O5" s="185" t="s">
        <v>2231</v>
      </c>
      <c r="P5" s="185" t="s">
        <v>2232</v>
      </c>
      <c r="Q5" s="185" t="s">
        <v>2233</v>
      </c>
      <c r="R5" s="185" t="s">
        <v>2234</v>
      </c>
      <c r="S5" s="185" t="s">
        <v>2235</v>
      </c>
    </row>
    <row r="6" spans="1:19" ht="14.25" customHeight="1">
      <c r="A6" s="181" t="s">
        <v>232</v>
      </c>
      <c r="B6" s="185" t="s">
        <v>2199</v>
      </c>
      <c r="C6" s="185">
        <v>30290</v>
      </c>
      <c r="D6" s="185">
        <v>29210</v>
      </c>
      <c r="E6" s="185">
        <v>28860</v>
      </c>
      <c r="F6" s="216">
        <v>12600</v>
      </c>
      <c r="G6" s="212"/>
      <c r="H6" s="209" t="s">
        <v>2236</v>
      </c>
      <c r="I6" s="185" t="s">
        <v>2237</v>
      </c>
      <c r="J6" s="185" t="s">
        <v>2238</v>
      </c>
      <c r="K6" s="185" t="s">
        <v>2239</v>
      </c>
      <c r="L6" s="185" t="s">
        <v>2240</v>
      </c>
      <c r="M6" s="185" t="s">
        <v>2241</v>
      </c>
      <c r="N6" s="185" t="s">
        <v>2242</v>
      </c>
      <c r="O6" s="185" t="s">
        <v>2243</v>
      </c>
      <c r="P6" s="185" t="s">
        <v>2244</v>
      </c>
      <c r="Q6" s="185" t="s">
        <v>2245</v>
      </c>
      <c r="R6" s="185" t="s">
        <v>2246</v>
      </c>
      <c r="S6" s="185" t="s">
        <v>2247</v>
      </c>
    </row>
    <row r="7" spans="1:19" ht="14.25" customHeight="1">
      <c r="A7" s="181" t="s">
        <v>232</v>
      </c>
      <c r="B7" s="188" t="s">
        <v>2212</v>
      </c>
      <c r="C7" s="185">
        <v>29350</v>
      </c>
      <c r="D7" s="185">
        <v>28410</v>
      </c>
      <c r="E7" s="185">
        <v>27990</v>
      </c>
      <c r="F7" s="216">
        <v>12300</v>
      </c>
      <c r="G7" s="212"/>
      <c r="I7" s="185" t="s">
        <v>2248</v>
      </c>
      <c r="J7" s="185" t="s">
        <v>2249</v>
      </c>
      <c r="K7" s="185" t="s">
        <v>2250</v>
      </c>
      <c r="L7" s="185" t="s">
        <v>2251</v>
      </c>
      <c r="M7" s="185" t="s">
        <v>2252</v>
      </c>
      <c r="N7" s="185" t="s">
        <v>2253</v>
      </c>
      <c r="O7" s="185" t="s">
        <v>2254</v>
      </c>
      <c r="P7" s="185" t="s">
        <v>2255</v>
      </c>
      <c r="Q7" s="185" t="s">
        <v>2256</v>
      </c>
      <c r="R7" s="185" t="s">
        <v>2257</v>
      </c>
      <c r="S7" s="188" t="s">
        <v>2258</v>
      </c>
    </row>
    <row r="8" spans="1:19" ht="14.25" customHeight="1">
      <c r="A8" s="181" t="s">
        <v>232</v>
      </c>
      <c r="B8" s="185" t="s">
        <v>2224</v>
      </c>
      <c r="C8" s="185">
        <v>30890</v>
      </c>
      <c r="D8" s="185">
        <v>29780</v>
      </c>
      <c r="E8" s="185">
        <v>29270</v>
      </c>
      <c r="F8" s="216">
        <v>11600</v>
      </c>
      <c r="G8" s="212"/>
      <c r="I8" s="185" t="s">
        <v>2259</v>
      </c>
      <c r="J8" s="185" t="s">
        <v>2260</v>
      </c>
      <c r="K8" s="185" t="s">
        <v>2261</v>
      </c>
      <c r="L8" s="185" t="s">
        <v>2262</v>
      </c>
      <c r="M8" s="185" t="s">
        <v>2263</v>
      </c>
      <c r="N8" s="185" t="s">
        <v>2264</v>
      </c>
      <c r="O8" s="185" t="s">
        <v>2265</v>
      </c>
      <c r="P8" s="185" t="s">
        <v>2266</v>
      </c>
      <c r="Q8" s="185" t="s">
        <v>2267</v>
      </c>
      <c r="R8" s="185" t="s">
        <v>2268</v>
      </c>
      <c r="S8" s="185" t="s">
        <v>2269</v>
      </c>
    </row>
    <row r="9" spans="1:19" ht="14.25" customHeight="1">
      <c r="A9" s="181" t="s">
        <v>232</v>
      </c>
      <c r="B9" s="190" t="s">
        <v>2236</v>
      </c>
      <c r="C9" s="196">
        <v>28140</v>
      </c>
      <c r="D9" s="196"/>
      <c r="E9" s="196"/>
      <c r="F9" s="217"/>
      <c r="G9" s="212"/>
      <c r="I9" s="185" t="s">
        <v>2270</v>
      </c>
      <c r="J9" s="185" t="s">
        <v>2271</v>
      </c>
      <c r="K9" s="185" t="s">
        <v>2272</v>
      </c>
      <c r="L9" s="185" t="s">
        <v>2273</v>
      </c>
      <c r="M9" s="185" t="s">
        <v>2274</v>
      </c>
      <c r="N9" s="185" t="s">
        <v>2275</v>
      </c>
      <c r="O9" s="185" t="s">
        <v>2276</v>
      </c>
      <c r="P9" s="185" t="s">
        <v>2277</v>
      </c>
      <c r="Q9" s="185" t="s">
        <v>2278</v>
      </c>
      <c r="R9" s="185" t="s">
        <v>2279</v>
      </c>
    </row>
    <row r="10" spans="1:19" ht="14.25" customHeight="1">
      <c r="A10" s="181" t="s">
        <v>243</v>
      </c>
      <c r="B10" s="182" t="s">
        <v>2187</v>
      </c>
      <c r="C10" s="182">
        <v>27450</v>
      </c>
      <c r="D10" s="182">
        <v>26180</v>
      </c>
      <c r="E10" s="182">
        <v>25980</v>
      </c>
      <c r="F10" s="215">
        <v>8910</v>
      </c>
      <c r="G10" s="212"/>
      <c r="I10" s="185" t="s">
        <v>2280</v>
      </c>
      <c r="J10" s="185" t="s">
        <v>2281</v>
      </c>
      <c r="K10" s="185" t="s">
        <v>2282</v>
      </c>
      <c r="L10" s="185" t="s">
        <v>2283</v>
      </c>
      <c r="M10" s="185" t="s">
        <v>2284</v>
      </c>
      <c r="N10" s="185" t="s">
        <v>2285</v>
      </c>
      <c r="O10" s="185" t="s">
        <v>2286</v>
      </c>
      <c r="P10" s="185" t="s">
        <v>2287</v>
      </c>
      <c r="Q10" s="185" t="s">
        <v>2288</v>
      </c>
      <c r="R10" s="185" t="s">
        <v>2289</v>
      </c>
    </row>
    <row r="11" spans="1:19" ht="14.25" customHeight="1">
      <c r="A11" s="181" t="s">
        <v>243</v>
      </c>
      <c r="B11" s="188" t="s">
        <v>2200</v>
      </c>
      <c r="C11" s="185">
        <v>22950</v>
      </c>
      <c r="D11" s="185">
        <v>22630</v>
      </c>
      <c r="E11" s="185">
        <v>22030</v>
      </c>
      <c r="F11" s="218">
        <v>8330</v>
      </c>
      <c r="G11" s="212"/>
      <c r="I11" s="185" t="s">
        <v>2290</v>
      </c>
      <c r="J11" s="185" t="s">
        <v>2291</v>
      </c>
      <c r="K11" s="185" t="s">
        <v>2292</v>
      </c>
      <c r="L11" s="185" t="s">
        <v>2293</v>
      </c>
      <c r="M11" s="185" t="s">
        <v>2294</v>
      </c>
      <c r="N11" s="185" t="s">
        <v>2295</v>
      </c>
      <c r="O11" s="185" t="s">
        <v>2296</v>
      </c>
      <c r="P11" s="185" t="s">
        <v>2297</v>
      </c>
      <c r="Q11" s="185" t="s">
        <v>2298</v>
      </c>
      <c r="R11" s="185" t="s">
        <v>2299</v>
      </c>
    </row>
    <row r="12" spans="1:19" ht="14.25" customHeight="1">
      <c r="A12" s="181" t="s">
        <v>243</v>
      </c>
      <c r="B12" s="188" t="s">
        <v>2213</v>
      </c>
      <c r="C12" s="185">
        <v>24940</v>
      </c>
      <c r="D12" s="185">
        <v>23180</v>
      </c>
      <c r="E12" s="185">
        <v>22910</v>
      </c>
      <c r="F12" s="218">
        <v>7180</v>
      </c>
      <c r="G12" s="212"/>
      <c r="I12" s="185" t="s">
        <v>2300</v>
      </c>
      <c r="J12" s="185" t="s">
        <v>2301</v>
      </c>
      <c r="K12" s="185" t="s">
        <v>2302</v>
      </c>
      <c r="L12" s="185" t="s">
        <v>2303</v>
      </c>
      <c r="M12" s="185" t="s">
        <v>2304</v>
      </c>
      <c r="N12" s="185" t="s">
        <v>2305</v>
      </c>
      <c r="O12" s="185" t="s">
        <v>2306</v>
      </c>
      <c r="P12" s="185" t="s">
        <v>2307</v>
      </c>
      <c r="Q12" s="185" t="s">
        <v>2308</v>
      </c>
      <c r="R12" s="185" t="s">
        <v>2309</v>
      </c>
    </row>
    <row r="13" spans="1:19" ht="14.25" customHeight="1">
      <c r="A13" s="181" t="s">
        <v>243</v>
      </c>
      <c r="B13" s="188" t="s">
        <v>2225</v>
      </c>
      <c r="C13" s="185">
        <v>24140</v>
      </c>
      <c r="D13" s="185">
        <v>22270</v>
      </c>
      <c r="E13" s="185">
        <v>21950</v>
      </c>
      <c r="F13" s="218">
        <v>7600</v>
      </c>
      <c r="G13" s="212"/>
      <c r="I13" s="185" t="s">
        <v>2310</v>
      </c>
      <c r="J13" s="185" t="s">
        <v>2311</v>
      </c>
      <c r="K13" s="185" t="s">
        <v>2312</v>
      </c>
      <c r="L13" s="185" t="s">
        <v>2313</v>
      </c>
      <c r="M13" s="185" t="s">
        <v>2314</v>
      </c>
      <c r="N13" s="185" t="s">
        <v>2315</v>
      </c>
      <c r="O13" s="185" t="s">
        <v>2316</v>
      </c>
      <c r="P13" s="185" t="s">
        <v>2317</v>
      </c>
      <c r="Q13" s="185" t="s">
        <v>2318</v>
      </c>
      <c r="R13" s="185" t="s">
        <v>2319</v>
      </c>
    </row>
    <row r="14" spans="1:19" ht="14.25" customHeight="1">
      <c r="A14" s="181" t="s">
        <v>243</v>
      </c>
      <c r="B14" s="188" t="s">
        <v>2237</v>
      </c>
      <c r="C14" s="185">
        <v>25600</v>
      </c>
      <c r="D14" s="185">
        <v>22260</v>
      </c>
      <c r="E14" s="185">
        <v>22110</v>
      </c>
      <c r="F14" s="218">
        <v>7630</v>
      </c>
      <c r="G14" s="212"/>
      <c r="I14" s="185" t="s">
        <v>2320</v>
      </c>
      <c r="J14" s="185" t="s">
        <v>2321</v>
      </c>
      <c r="K14" s="185" t="s">
        <v>2322</v>
      </c>
      <c r="L14" s="185" t="s">
        <v>2323</v>
      </c>
      <c r="M14" s="185" t="s">
        <v>2324</v>
      </c>
      <c r="N14" s="185" t="s">
        <v>2325</v>
      </c>
      <c r="O14" s="185" t="s">
        <v>2326</v>
      </c>
      <c r="P14" s="185" t="s">
        <v>2327</v>
      </c>
      <c r="Q14" s="185" t="s">
        <v>2328</v>
      </c>
      <c r="R14" s="185" t="s">
        <v>2329</v>
      </c>
    </row>
    <row r="15" spans="1:19" ht="14.25" customHeight="1">
      <c r="A15" s="181" t="s">
        <v>243</v>
      </c>
      <c r="B15" s="188" t="s">
        <v>2248</v>
      </c>
      <c r="C15" s="185">
        <v>24760</v>
      </c>
      <c r="D15" s="185">
        <v>24440</v>
      </c>
      <c r="E15" s="185">
        <v>24130</v>
      </c>
      <c r="F15" s="218">
        <v>9480</v>
      </c>
      <c r="G15" s="212"/>
      <c r="I15" s="185" t="s">
        <v>2330</v>
      </c>
      <c r="J15" s="185" t="s">
        <v>2331</v>
      </c>
      <c r="K15" s="185" t="s">
        <v>2332</v>
      </c>
      <c r="L15" s="185" t="s">
        <v>2333</v>
      </c>
      <c r="M15" s="185" t="s">
        <v>2334</v>
      </c>
      <c r="N15" s="185" t="s">
        <v>2335</v>
      </c>
      <c r="O15" s="185" t="s">
        <v>2336</v>
      </c>
      <c r="P15" s="185" t="s">
        <v>2337</v>
      </c>
      <c r="Q15" s="185" t="s">
        <v>2338</v>
      </c>
      <c r="R15" s="185" t="s">
        <v>2339</v>
      </c>
    </row>
    <row r="16" spans="1:19" ht="14.25" customHeight="1">
      <c r="A16" s="181" t="s">
        <v>243</v>
      </c>
      <c r="B16" s="188" t="s">
        <v>2259</v>
      </c>
      <c r="C16" s="185">
        <v>22220</v>
      </c>
      <c r="D16" s="185">
        <v>22310</v>
      </c>
      <c r="E16" s="185">
        <v>22000</v>
      </c>
      <c r="F16" s="218">
        <v>8900</v>
      </c>
      <c r="G16" s="212"/>
      <c r="I16" s="185" t="s">
        <v>2340</v>
      </c>
      <c r="J16" s="185" t="s">
        <v>2341</v>
      </c>
      <c r="K16" s="185" t="s">
        <v>2342</v>
      </c>
      <c r="L16" s="185" t="s">
        <v>2343</v>
      </c>
      <c r="M16" s="185" t="s">
        <v>2344</v>
      </c>
      <c r="N16" s="185" t="s">
        <v>2345</v>
      </c>
      <c r="O16" s="185" t="s">
        <v>2346</v>
      </c>
      <c r="P16" s="185" t="s">
        <v>2347</v>
      </c>
      <c r="Q16" s="185" t="s">
        <v>2348</v>
      </c>
      <c r="R16" s="185" t="s">
        <v>2349</v>
      </c>
    </row>
    <row r="17" spans="1:18" ht="14.25" customHeight="1">
      <c r="A17" s="181" t="s">
        <v>243</v>
      </c>
      <c r="B17" s="188" t="s">
        <v>2270</v>
      </c>
      <c r="C17" s="185">
        <v>24700</v>
      </c>
      <c r="D17" s="185">
        <v>25150</v>
      </c>
      <c r="E17" s="185">
        <v>24700</v>
      </c>
      <c r="F17" s="219"/>
      <c r="G17" s="212"/>
      <c r="I17" s="185" t="s">
        <v>2350</v>
      </c>
      <c r="J17" s="185" t="s">
        <v>2351</v>
      </c>
      <c r="K17" s="185" t="s">
        <v>2352</v>
      </c>
      <c r="L17" s="185" t="s">
        <v>2353</v>
      </c>
      <c r="M17" s="185" t="s">
        <v>2354</v>
      </c>
      <c r="N17" s="185" t="s">
        <v>2355</v>
      </c>
      <c r="O17" s="185" t="s">
        <v>2356</v>
      </c>
      <c r="P17" s="185" t="s">
        <v>2357</v>
      </c>
      <c r="Q17" s="185" t="s">
        <v>2358</v>
      </c>
      <c r="R17" s="185" t="s">
        <v>2359</v>
      </c>
    </row>
    <row r="18" spans="1:18" ht="14.25" customHeight="1">
      <c r="A18" s="181" t="s">
        <v>243</v>
      </c>
      <c r="B18" s="188" t="s">
        <v>2280</v>
      </c>
      <c r="C18" s="185">
        <v>22350</v>
      </c>
      <c r="D18" s="185">
        <v>24340</v>
      </c>
      <c r="E18" s="185">
        <v>24100</v>
      </c>
      <c r="F18" s="219"/>
      <c r="G18" s="212"/>
      <c r="I18" s="185" t="s">
        <v>2360</v>
      </c>
      <c r="J18" s="185" t="s">
        <v>2361</v>
      </c>
      <c r="K18" s="185" t="s">
        <v>2362</v>
      </c>
      <c r="L18" s="185" t="s">
        <v>2363</v>
      </c>
      <c r="M18" s="185" t="s">
        <v>2364</v>
      </c>
      <c r="N18" s="185" t="s">
        <v>2365</v>
      </c>
      <c r="O18" s="185" t="s">
        <v>2366</v>
      </c>
      <c r="P18" s="185" t="s">
        <v>2367</v>
      </c>
      <c r="Q18" s="185" t="s">
        <v>2368</v>
      </c>
      <c r="R18" s="185" t="s">
        <v>2369</v>
      </c>
    </row>
    <row r="19" spans="1:18" ht="14.25" customHeight="1">
      <c r="A19" s="181" t="s">
        <v>243</v>
      </c>
      <c r="B19" s="188" t="s">
        <v>2290</v>
      </c>
      <c r="C19" s="185">
        <v>23430</v>
      </c>
      <c r="D19" s="185">
        <v>21580</v>
      </c>
      <c r="E19" s="185">
        <v>21350</v>
      </c>
      <c r="F19" s="219"/>
      <c r="G19" s="212"/>
      <c r="I19" s="185" t="s">
        <v>2370</v>
      </c>
      <c r="J19" s="185" t="s">
        <v>2371</v>
      </c>
      <c r="K19" s="185" t="s">
        <v>2372</v>
      </c>
      <c r="L19" s="185" t="s">
        <v>2373</v>
      </c>
      <c r="M19" s="185" t="s">
        <v>2374</v>
      </c>
      <c r="N19" s="185" t="s">
        <v>2375</v>
      </c>
      <c r="O19" s="185" t="s">
        <v>2376</v>
      </c>
      <c r="P19" s="185" t="s">
        <v>2377</v>
      </c>
      <c r="Q19" s="185" t="s">
        <v>2378</v>
      </c>
      <c r="R19" s="185" t="s">
        <v>2379</v>
      </c>
    </row>
    <row r="20" spans="1:18" ht="14.25" customHeight="1">
      <c r="A20" s="181" t="s">
        <v>243</v>
      </c>
      <c r="B20" s="188" t="s">
        <v>2300</v>
      </c>
      <c r="C20" s="185">
        <v>27660</v>
      </c>
      <c r="D20" s="185">
        <v>24240</v>
      </c>
      <c r="E20" s="185">
        <v>24020</v>
      </c>
      <c r="F20" s="219"/>
      <c r="I20" s="185" t="s">
        <v>2380</v>
      </c>
      <c r="J20" s="185" t="s">
        <v>2381</v>
      </c>
      <c r="K20" s="185" t="s">
        <v>2382</v>
      </c>
      <c r="L20" s="185" t="s">
        <v>2383</v>
      </c>
      <c r="M20" s="185" t="s">
        <v>2384</v>
      </c>
      <c r="N20" s="185" t="s">
        <v>2385</v>
      </c>
      <c r="O20" s="185" t="s">
        <v>2386</v>
      </c>
      <c r="P20" s="185" t="s">
        <v>2387</v>
      </c>
      <c r="Q20" s="185" t="s">
        <v>2388</v>
      </c>
      <c r="R20" s="185" t="s">
        <v>2389</v>
      </c>
    </row>
    <row r="21" spans="1:18" ht="14.25" customHeight="1">
      <c r="A21" s="181" t="s">
        <v>243</v>
      </c>
      <c r="B21" s="188" t="s">
        <v>2310</v>
      </c>
      <c r="C21" s="185">
        <v>24720</v>
      </c>
      <c r="D21" s="185">
        <v>21670</v>
      </c>
      <c r="E21" s="185">
        <v>21510</v>
      </c>
      <c r="F21" s="219"/>
      <c r="J21" s="185" t="s">
        <v>2390</v>
      </c>
      <c r="K21" s="185" t="s">
        <v>2391</v>
      </c>
      <c r="L21" s="185" t="s">
        <v>2392</v>
      </c>
      <c r="M21" s="185" t="s">
        <v>2393</v>
      </c>
      <c r="N21" s="185" t="s">
        <v>2394</v>
      </c>
      <c r="O21" s="185" t="s">
        <v>2395</v>
      </c>
      <c r="P21" s="185" t="s">
        <v>2396</v>
      </c>
      <c r="Q21" s="185" t="s">
        <v>2397</v>
      </c>
      <c r="R21" s="185" t="s">
        <v>2398</v>
      </c>
    </row>
    <row r="22" spans="1:18" ht="14.25" customHeight="1">
      <c r="A22" s="181" t="s">
        <v>243</v>
      </c>
      <c r="B22" s="188" t="s">
        <v>2320</v>
      </c>
      <c r="C22" s="185">
        <v>26530</v>
      </c>
      <c r="D22" s="185">
        <v>22980</v>
      </c>
      <c r="E22" s="185">
        <v>22650</v>
      </c>
      <c r="F22" s="219"/>
      <c r="K22" s="185" t="s">
        <v>2399</v>
      </c>
      <c r="L22" s="185" t="s">
        <v>2400</v>
      </c>
      <c r="M22" s="185" t="s">
        <v>2401</v>
      </c>
      <c r="N22" s="185" t="s">
        <v>2402</v>
      </c>
      <c r="O22" s="185" t="s">
        <v>2403</v>
      </c>
      <c r="P22" s="185" t="s">
        <v>2404</v>
      </c>
      <c r="Q22" s="185" t="s">
        <v>2405</v>
      </c>
      <c r="R22" s="188" t="s">
        <v>2406</v>
      </c>
    </row>
    <row r="23" spans="1:18" ht="14.25" customHeight="1">
      <c r="A23" s="181" t="s">
        <v>243</v>
      </c>
      <c r="B23" s="188" t="s">
        <v>2330</v>
      </c>
      <c r="C23" s="185">
        <v>24700</v>
      </c>
      <c r="D23" s="185">
        <v>27290</v>
      </c>
      <c r="E23" s="185">
        <v>26710</v>
      </c>
      <c r="F23" s="219"/>
      <c r="K23" s="185" t="s">
        <v>2407</v>
      </c>
      <c r="L23" s="185" t="s">
        <v>2408</v>
      </c>
      <c r="M23" s="185" t="s">
        <v>2409</v>
      </c>
      <c r="N23" s="185" t="s">
        <v>2410</v>
      </c>
      <c r="O23" s="185" t="s">
        <v>2411</v>
      </c>
      <c r="P23" s="185" t="s">
        <v>2412</v>
      </c>
      <c r="Q23" s="185" t="s">
        <v>2413</v>
      </c>
    </row>
    <row r="24" spans="1:18" ht="14.25" customHeight="1">
      <c r="A24" s="181" t="s">
        <v>243</v>
      </c>
      <c r="B24" s="188" t="s">
        <v>2340</v>
      </c>
      <c r="C24" s="185">
        <v>23070</v>
      </c>
      <c r="D24" s="185">
        <v>24130</v>
      </c>
      <c r="E24" s="185">
        <v>23860</v>
      </c>
      <c r="F24" s="219"/>
      <c r="K24" s="185" t="s">
        <v>2414</v>
      </c>
      <c r="L24" s="185" t="s">
        <v>2415</v>
      </c>
      <c r="M24" s="185" t="s">
        <v>2416</v>
      </c>
      <c r="N24" s="185" t="s">
        <v>2417</v>
      </c>
      <c r="O24" s="185" t="s">
        <v>2418</v>
      </c>
      <c r="P24" s="185" t="s">
        <v>2419</v>
      </c>
      <c r="Q24" s="185" t="s">
        <v>2420</v>
      </c>
    </row>
    <row r="25" spans="1:18" ht="14.25" customHeight="1">
      <c r="A25" s="181" t="s">
        <v>243</v>
      </c>
      <c r="B25" s="188" t="s">
        <v>2350</v>
      </c>
      <c r="C25" s="185">
        <v>27550</v>
      </c>
      <c r="D25" s="185">
        <v>25850</v>
      </c>
      <c r="E25" s="185">
        <v>25340</v>
      </c>
      <c r="F25" s="219"/>
      <c r="K25" s="185" t="s">
        <v>2421</v>
      </c>
      <c r="L25" s="185" t="s">
        <v>2422</v>
      </c>
      <c r="M25" s="185" t="s">
        <v>2423</v>
      </c>
      <c r="N25" s="185" t="s">
        <v>2424</v>
      </c>
      <c r="O25" s="185" t="s">
        <v>2425</v>
      </c>
      <c r="P25" s="185" t="s">
        <v>2426</v>
      </c>
      <c r="Q25" s="185" t="s">
        <v>2427</v>
      </c>
    </row>
    <row r="26" spans="1:18" ht="14.25" customHeight="1">
      <c r="A26" s="181" t="s">
        <v>243</v>
      </c>
      <c r="B26" s="188" t="s">
        <v>2360</v>
      </c>
      <c r="C26" s="185"/>
      <c r="D26" s="185">
        <v>23900</v>
      </c>
      <c r="E26" s="185">
        <v>23590</v>
      </c>
      <c r="F26" s="219"/>
      <c r="K26" s="185" t="s">
        <v>2428</v>
      </c>
      <c r="L26" s="185" t="s">
        <v>2429</v>
      </c>
      <c r="M26" s="185" t="s">
        <v>2430</v>
      </c>
      <c r="N26" s="185" t="s">
        <v>2431</v>
      </c>
      <c r="O26" s="185" t="s">
        <v>2432</v>
      </c>
      <c r="P26" s="185" t="s">
        <v>2433</v>
      </c>
      <c r="Q26" s="185" t="s">
        <v>2434</v>
      </c>
    </row>
    <row r="27" spans="1:18" ht="14.25" customHeight="1">
      <c r="A27" s="181" t="s">
        <v>243</v>
      </c>
      <c r="B27" s="188" t="s">
        <v>2370</v>
      </c>
      <c r="C27" s="185"/>
      <c r="D27" s="185">
        <v>22850</v>
      </c>
      <c r="E27" s="185">
        <v>21920</v>
      </c>
      <c r="F27" s="219"/>
      <c r="K27" s="185" t="s">
        <v>2435</v>
      </c>
      <c r="L27" s="185" t="s">
        <v>2436</v>
      </c>
      <c r="M27" s="185" t="s">
        <v>2437</v>
      </c>
      <c r="N27" s="185" t="s">
        <v>2438</v>
      </c>
      <c r="O27" s="185" t="s">
        <v>2439</v>
      </c>
      <c r="P27" s="185" t="s">
        <v>2440</v>
      </c>
      <c r="Q27" s="185" t="s">
        <v>2441</v>
      </c>
    </row>
    <row r="28" spans="1:18" ht="14.25" customHeight="1">
      <c r="A28" s="189" t="s">
        <v>243</v>
      </c>
      <c r="B28" s="190" t="s">
        <v>2380</v>
      </c>
      <c r="C28" s="196"/>
      <c r="D28" s="196">
        <v>26610</v>
      </c>
      <c r="E28" s="196">
        <v>26370</v>
      </c>
      <c r="F28" s="217"/>
      <c r="K28" s="185" t="s">
        <v>2442</v>
      </c>
      <c r="L28" s="185" t="s">
        <v>2443</v>
      </c>
      <c r="M28" s="185" t="s">
        <v>2444</v>
      </c>
      <c r="N28" s="185" t="s">
        <v>2445</v>
      </c>
      <c r="O28" s="185" t="s">
        <v>2446</v>
      </c>
      <c r="P28" s="185" t="s">
        <v>2447</v>
      </c>
    </row>
    <row r="29" spans="1:18" ht="14.25" customHeight="1">
      <c r="A29" s="181" t="s">
        <v>253</v>
      </c>
      <c r="B29" s="182" t="s">
        <v>2188</v>
      </c>
      <c r="C29" s="182">
        <v>22090</v>
      </c>
      <c r="D29" s="182">
        <v>21860</v>
      </c>
      <c r="E29" s="182">
        <v>19380</v>
      </c>
      <c r="F29" s="215">
        <v>6610</v>
      </c>
      <c r="L29" s="185" t="s">
        <v>2448</v>
      </c>
      <c r="M29" s="185" t="s">
        <v>2449</v>
      </c>
      <c r="N29" s="185" t="s">
        <v>2450</v>
      </c>
      <c r="O29" s="185" t="s">
        <v>2451</v>
      </c>
      <c r="P29" s="185" t="s">
        <v>2452</v>
      </c>
    </row>
    <row r="30" spans="1:18" ht="14.25" customHeight="1">
      <c r="A30" s="181" t="s">
        <v>253</v>
      </c>
      <c r="B30" s="188" t="s">
        <v>2201</v>
      </c>
      <c r="C30" s="185">
        <v>21380</v>
      </c>
      <c r="D30" s="185">
        <v>19930</v>
      </c>
      <c r="E30" s="185">
        <v>19860</v>
      </c>
      <c r="F30" s="218">
        <v>6010</v>
      </c>
      <c r="L30" s="185" t="s">
        <v>2453</v>
      </c>
      <c r="M30" s="185" t="s">
        <v>2454</v>
      </c>
      <c r="N30" s="185" t="s">
        <v>2455</v>
      </c>
      <c r="O30" s="185" t="s">
        <v>2456</v>
      </c>
      <c r="P30" s="185" t="s">
        <v>2457</v>
      </c>
    </row>
    <row r="31" spans="1:18" ht="14.25" customHeight="1">
      <c r="A31" s="181" t="s">
        <v>253</v>
      </c>
      <c r="B31" s="188" t="s">
        <v>2214</v>
      </c>
      <c r="C31" s="185">
        <v>21670</v>
      </c>
      <c r="D31" s="185">
        <v>20660</v>
      </c>
      <c r="E31" s="185">
        <v>20290</v>
      </c>
      <c r="F31" s="218">
        <v>5840</v>
      </c>
      <c r="L31" s="185" t="s">
        <v>2458</v>
      </c>
      <c r="M31" s="185" t="s">
        <v>2459</v>
      </c>
      <c r="N31" s="185" t="s">
        <v>2460</v>
      </c>
      <c r="O31" s="185" t="s">
        <v>2461</v>
      </c>
      <c r="P31" s="185" t="s">
        <v>2462</v>
      </c>
    </row>
    <row r="32" spans="1:18" ht="14.25" customHeight="1">
      <c r="A32" s="181" t="s">
        <v>253</v>
      </c>
      <c r="B32" s="188" t="s">
        <v>2226</v>
      </c>
      <c r="C32" s="185">
        <v>22280</v>
      </c>
      <c r="D32" s="185">
        <v>21800</v>
      </c>
      <c r="E32" s="185">
        <v>17650</v>
      </c>
      <c r="F32" s="218">
        <v>4690</v>
      </c>
      <c r="L32" s="185" t="s">
        <v>2463</v>
      </c>
      <c r="M32" s="185" t="s">
        <v>2464</v>
      </c>
      <c r="N32" s="185" t="s">
        <v>2465</v>
      </c>
      <c r="O32" s="185" t="s">
        <v>2466</v>
      </c>
      <c r="P32" s="185" t="s">
        <v>2467</v>
      </c>
    </row>
    <row r="33" spans="1:16" ht="14.25" customHeight="1">
      <c r="A33" s="181" t="s">
        <v>253</v>
      </c>
      <c r="B33" s="188" t="s">
        <v>2238</v>
      </c>
      <c r="C33" s="185">
        <v>22130</v>
      </c>
      <c r="D33" s="185">
        <v>20460</v>
      </c>
      <c r="E33" s="185">
        <v>18500</v>
      </c>
      <c r="F33" s="218">
        <v>5340</v>
      </c>
      <c r="L33" s="185" t="s">
        <v>2468</v>
      </c>
      <c r="M33" s="185" t="s">
        <v>2469</v>
      </c>
      <c r="N33" s="185" t="s">
        <v>2470</v>
      </c>
      <c r="O33" s="185" t="s">
        <v>2471</v>
      </c>
      <c r="P33" s="185" t="s">
        <v>2472</v>
      </c>
    </row>
    <row r="34" spans="1:16" ht="14.25" customHeight="1">
      <c r="A34" s="181" t="s">
        <v>253</v>
      </c>
      <c r="B34" s="188" t="s">
        <v>2249</v>
      </c>
      <c r="C34" s="185">
        <v>22070</v>
      </c>
      <c r="D34" s="185">
        <v>20110</v>
      </c>
      <c r="E34" s="185">
        <v>18830</v>
      </c>
      <c r="F34" s="218">
        <v>5190</v>
      </c>
      <c r="L34" s="185" t="s">
        <v>2473</v>
      </c>
      <c r="M34" s="185" t="s">
        <v>2474</v>
      </c>
      <c r="N34" s="185" t="s">
        <v>2475</v>
      </c>
      <c r="O34" s="185" t="s">
        <v>2476</v>
      </c>
      <c r="P34" s="185" t="s">
        <v>2477</v>
      </c>
    </row>
    <row r="35" spans="1:16" ht="14.25" customHeight="1">
      <c r="A35" s="181" t="s">
        <v>253</v>
      </c>
      <c r="B35" s="188" t="s">
        <v>2260</v>
      </c>
      <c r="C35" s="185">
        <v>22240</v>
      </c>
      <c r="D35" s="185">
        <v>19550</v>
      </c>
      <c r="E35" s="185">
        <v>19220</v>
      </c>
      <c r="F35" s="218">
        <v>5800</v>
      </c>
      <c r="L35" s="185" t="s">
        <v>2478</v>
      </c>
      <c r="M35" s="185" t="s">
        <v>2479</v>
      </c>
      <c r="N35" s="185" t="s">
        <v>2480</v>
      </c>
      <c r="O35" s="185" t="s">
        <v>2481</v>
      </c>
      <c r="P35" s="185" t="s">
        <v>2482</v>
      </c>
    </row>
    <row r="36" spans="1:16" ht="14.25" customHeight="1">
      <c r="A36" s="181" t="s">
        <v>253</v>
      </c>
      <c r="B36" s="188" t="s">
        <v>2271</v>
      </c>
      <c r="C36" s="185">
        <v>19750</v>
      </c>
      <c r="D36" s="185">
        <v>19790</v>
      </c>
      <c r="E36" s="185">
        <v>18510</v>
      </c>
      <c r="F36" s="218">
        <v>6520</v>
      </c>
      <c r="M36" s="185" t="s">
        <v>2483</v>
      </c>
      <c r="N36" s="185" t="s">
        <v>2484</v>
      </c>
      <c r="O36" s="185" t="s">
        <v>2485</v>
      </c>
      <c r="P36" s="185" t="s">
        <v>2486</v>
      </c>
    </row>
    <row r="37" spans="1:16" ht="14.25" customHeight="1">
      <c r="A37" s="181" t="s">
        <v>253</v>
      </c>
      <c r="B37" s="188" t="s">
        <v>2281</v>
      </c>
      <c r="C37" s="185">
        <v>22380</v>
      </c>
      <c r="D37" s="185">
        <v>18530</v>
      </c>
      <c r="E37" s="185">
        <v>17930</v>
      </c>
      <c r="F37" s="218">
        <v>6270</v>
      </c>
      <c r="M37" s="185" t="s">
        <v>2487</v>
      </c>
      <c r="N37" s="185" t="s">
        <v>2488</v>
      </c>
      <c r="O37" s="185" t="s">
        <v>2489</v>
      </c>
      <c r="P37" s="185" t="s">
        <v>2490</v>
      </c>
    </row>
    <row r="38" spans="1:16" ht="14.25" customHeight="1">
      <c r="A38" s="181" t="s">
        <v>253</v>
      </c>
      <c r="B38" s="188" t="s">
        <v>2291</v>
      </c>
      <c r="C38" s="185">
        <v>20200</v>
      </c>
      <c r="D38" s="185">
        <v>20070</v>
      </c>
      <c r="E38" s="185">
        <v>19950</v>
      </c>
      <c r="F38" s="218"/>
      <c r="M38" s="185" t="s">
        <v>2491</v>
      </c>
      <c r="N38" s="185" t="s">
        <v>2492</v>
      </c>
      <c r="O38" s="185" t="s">
        <v>2493</v>
      </c>
      <c r="P38" s="185" t="s">
        <v>2494</v>
      </c>
    </row>
    <row r="39" spans="1:16" ht="14.25" customHeight="1">
      <c r="A39" s="181" t="s">
        <v>253</v>
      </c>
      <c r="B39" s="188" t="s">
        <v>2301</v>
      </c>
      <c r="C39" s="185">
        <v>19300</v>
      </c>
      <c r="D39" s="185">
        <v>20360</v>
      </c>
      <c r="E39" s="185">
        <v>20230</v>
      </c>
      <c r="F39" s="218"/>
      <c r="M39" s="185" t="s">
        <v>2495</v>
      </c>
      <c r="N39" s="185" t="s">
        <v>2496</v>
      </c>
      <c r="O39" s="185" t="s">
        <v>2497</v>
      </c>
      <c r="P39" s="185" t="s">
        <v>2498</v>
      </c>
    </row>
    <row r="40" spans="1:16" ht="14.25" customHeight="1">
      <c r="A40" s="181" t="s">
        <v>253</v>
      </c>
      <c r="B40" s="188" t="s">
        <v>2311</v>
      </c>
      <c r="C40" s="185">
        <v>20210</v>
      </c>
      <c r="D40" s="185">
        <v>19060</v>
      </c>
      <c r="E40" s="185">
        <v>18890</v>
      </c>
      <c r="F40" s="218"/>
      <c r="M40" s="185" t="s">
        <v>2499</v>
      </c>
      <c r="N40" s="185" t="s">
        <v>2500</v>
      </c>
      <c r="O40" s="185" t="s">
        <v>2501</v>
      </c>
      <c r="P40" s="185" t="s">
        <v>2502</v>
      </c>
    </row>
    <row r="41" spans="1:16" ht="14.25" customHeight="1">
      <c r="A41" s="181" t="s">
        <v>253</v>
      </c>
      <c r="B41" s="188" t="s">
        <v>2321</v>
      </c>
      <c r="C41" s="185">
        <v>20560</v>
      </c>
      <c r="D41" s="185">
        <v>21040</v>
      </c>
      <c r="E41" s="185">
        <v>20740</v>
      </c>
      <c r="F41" s="218"/>
      <c r="M41" s="188" t="s">
        <v>2503</v>
      </c>
      <c r="N41" s="188" t="s">
        <v>2504</v>
      </c>
      <c r="P41" s="188" t="s">
        <v>2505</v>
      </c>
    </row>
    <row r="42" spans="1:16" ht="14.25" customHeight="1">
      <c r="A42" s="181" t="s">
        <v>253</v>
      </c>
      <c r="B42" s="188" t="s">
        <v>2331</v>
      </c>
      <c r="C42" s="185">
        <v>19280</v>
      </c>
      <c r="D42" s="185">
        <v>22940</v>
      </c>
      <c r="E42" s="185">
        <v>22500</v>
      </c>
      <c r="F42" s="218"/>
      <c r="M42" s="185" t="s">
        <v>2506</v>
      </c>
      <c r="N42" s="185" t="s">
        <v>2507</v>
      </c>
      <c r="P42" s="185" t="s">
        <v>2508</v>
      </c>
    </row>
    <row r="43" spans="1:16" ht="14.25" customHeight="1">
      <c r="A43" s="181" t="s">
        <v>253</v>
      </c>
      <c r="B43" s="188" t="s">
        <v>2341</v>
      </c>
      <c r="C43" s="185">
        <v>21520</v>
      </c>
      <c r="D43" s="185">
        <v>19230</v>
      </c>
      <c r="E43" s="185">
        <v>18540</v>
      </c>
      <c r="F43" s="218"/>
      <c r="M43" s="185" t="s">
        <v>2509</v>
      </c>
      <c r="N43" s="185" t="s">
        <v>2510</v>
      </c>
      <c r="P43" s="185" t="s">
        <v>2511</v>
      </c>
    </row>
    <row r="44" spans="1:16" ht="14.25" customHeight="1">
      <c r="A44" s="181" t="s">
        <v>253</v>
      </c>
      <c r="B44" s="188" t="s">
        <v>2351</v>
      </c>
      <c r="C44" s="185">
        <v>23260</v>
      </c>
      <c r="D44" s="185">
        <v>21180</v>
      </c>
      <c r="E44" s="185">
        <v>20730</v>
      </c>
      <c r="F44" s="218"/>
      <c r="M44" s="185" t="s">
        <v>2512</v>
      </c>
      <c r="N44" s="185" t="s">
        <v>2513</v>
      </c>
      <c r="P44" s="185" t="s">
        <v>2514</v>
      </c>
    </row>
    <row r="45" spans="1:16" ht="14.25" customHeight="1">
      <c r="A45" s="181" t="s">
        <v>253</v>
      </c>
      <c r="B45" s="188" t="s">
        <v>2361</v>
      </c>
      <c r="C45" s="185">
        <v>19610</v>
      </c>
      <c r="D45" s="185">
        <v>18090</v>
      </c>
      <c r="E45" s="185">
        <v>17970</v>
      </c>
      <c r="F45" s="218"/>
      <c r="M45" s="185" t="s">
        <v>2515</v>
      </c>
      <c r="N45" s="185" t="s">
        <v>2516</v>
      </c>
      <c r="P45" s="185" t="s">
        <v>2517</v>
      </c>
    </row>
    <row r="46" spans="1:16" ht="14.25" customHeight="1">
      <c r="A46" s="181" t="s">
        <v>253</v>
      </c>
      <c r="B46" s="188" t="s">
        <v>2371</v>
      </c>
      <c r="C46" s="185">
        <v>21660</v>
      </c>
      <c r="D46" s="185">
        <v>19190</v>
      </c>
      <c r="E46" s="185">
        <v>19790</v>
      </c>
      <c r="F46" s="218"/>
      <c r="M46" s="185" t="s">
        <v>2518</v>
      </c>
      <c r="N46" s="185" t="s">
        <v>2519</v>
      </c>
      <c r="P46" s="185" t="s">
        <v>2520</v>
      </c>
    </row>
    <row r="47" spans="1:16" ht="14.25" customHeight="1">
      <c r="A47" s="181" t="s">
        <v>253</v>
      </c>
      <c r="B47" s="188" t="s">
        <v>2381</v>
      </c>
      <c r="C47" s="185">
        <v>18220</v>
      </c>
      <c r="D47" s="185"/>
      <c r="E47" s="185">
        <v>17220</v>
      </c>
      <c r="F47" s="218"/>
      <c r="M47" s="185" t="s">
        <v>2521</v>
      </c>
      <c r="N47" s="185" t="s">
        <v>2522</v>
      </c>
    </row>
    <row r="48" spans="1:16" ht="14.25" customHeight="1">
      <c r="A48" s="181" t="s">
        <v>253</v>
      </c>
      <c r="B48" s="190" t="s">
        <v>2390</v>
      </c>
      <c r="C48" s="196">
        <v>19430</v>
      </c>
      <c r="D48" s="196"/>
      <c r="E48" s="196">
        <v>17830</v>
      </c>
      <c r="F48" s="220"/>
      <c r="M48" s="185" t="s">
        <v>2523</v>
      </c>
      <c r="N48" s="185" t="s">
        <v>2524</v>
      </c>
    </row>
    <row r="49" spans="1:14" ht="14.25" customHeight="1">
      <c r="A49" s="181" t="s">
        <v>261</v>
      </c>
      <c r="B49" s="182" t="s">
        <v>2189</v>
      </c>
      <c r="C49" s="182">
        <v>17090</v>
      </c>
      <c r="D49" s="182">
        <v>16950</v>
      </c>
      <c r="E49" s="182">
        <v>16310</v>
      </c>
      <c r="F49" s="215">
        <v>4540</v>
      </c>
      <c r="M49" s="185" t="s">
        <v>2525</v>
      </c>
      <c r="N49" s="185" t="s">
        <v>2526</v>
      </c>
    </row>
    <row r="50" spans="1:14" ht="14.25" customHeight="1">
      <c r="A50" s="181" t="s">
        <v>261</v>
      </c>
      <c r="B50" s="185" t="s">
        <v>2202</v>
      </c>
      <c r="C50" s="185">
        <v>19040</v>
      </c>
      <c r="D50" s="185">
        <v>16960</v>
      </c>
      <c r="E50" s="185">
        <v>14800</v>
      </c>
      <c r="F50" s="218">
        <v>3940</v>
      </c>
    </row>
    <row r="51" spans="1:14" ht="14.25" customHeight="1">
      <c r="A51" s="181" t="s">
        <v>261</v>
      </c>
      <c r="B51" s="185" t="s">
        <v>2215</v>
      </c>
      <c r="C51" s="185">
        <v>17040</v>
      </c>
      <c r="D51" s="185">
        <v>16930</v>
      </c>
      <c r="E51" s="185">
        <v>15030</v>
      </c>
      <c r="F51" s="218">
        <v>4120</v>
      </c>
    </row>
    <row r="52" spans="1:14" ht="14.25" customHeight="1">
      <c r="A52" s="181" t="s">
        <v>261</v>
      </c>
      <c r="B52" s="185" t="s">
        <v>2227</v>
      </c>
      <c r="C52" s="185">
        <v>17110</v>
      </c>
      <c r="D52" s="185">
        <v>17750</v>
      </c>
      <c r="E52" s="185">
        <v>17310</v>
      </c>
      <c r="F52" s="218">
        <v>3220</v>
      </c>
    </row>
    <row r="53" spans="1:14" ht="14.25" customHeight="1">
      <c r="A53" s="181" t="s">
        <v>261</v>
      </c>
      <c r="B53" s="185" t="s">
        <v>2239</v>
      </c>
      <c r="C53" s="185">
        <v>17810</v>
      </c>
      <c r="D53" s="185">
        <v>17260</v>
      </c>
      <c r="E53" s="185">
        <v>17090</v>
      </c>
      <c r="F53" s="218">
        <v>3520</v>
      </c>
    </row>
    <row r="54" spans="1:14" ht="14.25" customHeight="1">
      <c r="A54" s="181" t="s">
        <v>261</v>
      </c>
      <c r="B54" s="185" t="s">
        <v>2250</v>
      </c>
      <c r="C54" s="185">
        <v>17410</v>
      </c>
      <c r="D54" s="185">
        <v>16780</v>
      </c>
      <c r="E54" s="185">
        <v>16370</v>
      </c>
      <c r="F54" s="218">
        <v>3410</v>
      </c>
    </row>
    <row r="55" spans="1:14" ht="14.25" customHeight="1">
      <c r="A55" s="181" t="s">
        <v>261</v>
      </c>
      <c r="B55" s="185" t="s">
        <v>2261</v>
      </c>
      <c r="C55" s="185">
        <v>16930</v>
      </c>
      <c r="D55" s="185">
        <v>14720</v>
      </c>
      <c r="E55" s="185">
        <v>15000</v>
      </c>
      <c r="F55" s="218">
        <v>3710</v>
      </c>
    </row>
    <row r="56" spans="1:14" ht="14.25" customHeight="1">
      <c r="A56" s="181" t="s">
        <v>261</v>
      </c>
      <c r="B56" s="185" t="s">
        <v>2272</v>
      </c>
      <c r="C56" s="185">
        <v>14930</v>
      </c>
      <c r="D56" s="185">
        <v>15850</v>
      </c>
      <c r="E56" s="185">
        <v>14320</v>
      </c>
      <c r="F56" s="218">
        <v>3960</v>
      </c>
    </row>
    <row r="57" spans="1:14" ht="14.25" customHeight="1">
      <c r="A57" s="181" t="s">
        <v>261</v>
      </c>
      <c r="B57" s="185" t="s">
        <v>2282</v>
      </c>
      <c r="C57" s="185">
        <v>16160</v>
      </c>
      <c r="D57" s="185">
        <v>16190</v>
      </c>
      <c r="E57" s="185">
        <v>15650</v>
      </c>
      <c r="F57" s="218">
        <v>4200</v>
      </c>
    </row>
    <row r="58" spans="1:14" ht="14.25" customHeight="1">
      <c r="A58" s="181" t="s">
        <v>261</v>
      </c>
      <c r="B58" s="185" t="s">
        <v>2292</v>
      </c>
      <c r="C58" s="185">
        <v>16360</v>
      </c>
      <c r="D58" s="185">
        <v>14050</v>
      </c>
      <c r="E58" s="185">
        <v>16070</v>
      </c>
      <c r="F58" s="218">
        <v>3990</v>
      </c>
    </row>
    <row r="59" spans="1:14" ht="14.25" customHeight="1">
      <c r="A59" s="181" t="s">
        <v>261</v>
      </c>
      <c r="B59" s="185" t="s">
        <v>2302</v>
      </c>
      <c r="C59" s="185">
        <v>14160</v>
      </c>
      <c r="D59" s="185">
        <v>16620</v>
      </c>
      <c r="E59" s="185">
        <v>13940</v>
      </c>
      <c r="F59" s="218">
        <v>4260</v>
      </c>
    </row>
    <row r="60" spans="1:14" ht="14.25" customHeight="1">
      <c r="A60" s="181" t="s">
        <v>261</v>
      </c>
      <c r="B60" s="185" t="s">
        <v>2312</v>
      </c>
      <c r="C60" s="185">
        <v>16750</v>
      </c>
      <c r="D60" s="185">
        <v>13910</v>
      </c>
      <c r="E60" s="185">
        <v>16550</v>
      </c>
      <c r="F60" s="218">
        <v>4550</v>
      </c>
    </row>
    <row r="61" spans="1:14" ht="14.25" customHeight="1">
      <c r="A61" s="181" t="s">
        <v>261</v>
      </c>
      <c r="B61" s="185" t="s">
        <v>2322</v>
      </c>
      <c r="C61" s="185">
        <v>14000</v>
      </c>
      <c r="D61" s="185">
        <v>14550</v>
      </c>
      <c r="E61" s="185">
        <v>13860</v>
      </c>
      <c r="F61" s="221"/>
    </row>
    <row r="62" spans="1:14" ht="14.25" customHeight="1">
      <c r="A62" s="181" t="s">
        <v>261</v>
      </c>
      <c r="B62" s="185" t="s">
        <v>2332</v>
      </c>
      <c r="C62" s="185">
        <v>14660</v>
      </c>
      <c r="D62" s="185">
        <v>17450</v>
      </c>
      <c r="E62" s="185">
        <v>14470</v>
      </c>
      <c r="F62" s="221"/>
    </row>
    <row r="63" spans="1:14" ht="14.25" customHeight="1">
      <c r="A63" s="181" t="s">
        <v>261</v>
      </c>
      <c r="B63" s="185" t="s">
        <v>2342</v>
      </c>
      <c r="C63" s="185">
        <v>17610</v>
      </c>
      <c r="D63" s="185">
        <v>16500</v>
      </c>
      <c r="E63" s="185">
        <v>17330</v>
      </c>
      <c r="F63" s="221"/>
    </row>
    <row r="64" spans="1:14" ht="14.25" customHeight="1">
      <c r="A64" s="181" t="s">
        <v>261</v>
      </c>
      <c r="B64" s="185" t="s">
        <v>2352</v>
      </c>
      <c r="C64" s="185">
        <v>16590</v>
      </c>
      <c r="D64" s="185">
        <v>15130</v>
      </c>
      <c r="E64" s="185">
        <v>16420</v>
      </c>
      <c r="F64" s="221"/>
    </row>
    <row r="65" spans="1:6" s="207" customFormat="1" ht="14.25" customHeight="1">
      <c r="A65" s="181" t="s">
        <v>261</v>
      </c>
      <c r="B65" s="185" t="s">
        <v>2362</v>
      </c>
      <c r="C65" s="185">
        <v>15220</v>
      </c>
      <c r="D65" s="185">
        <v>14660</v>
      </c>
      <c r="E65" s="185">
        <v>15060</v>
      </c>
      <c r="F65" s="218"/>
    </row>
    <row r="66" spans="1:6" s="207" customFormat="1" ht="14.25" customHeight="1">
      <c r="A66" s="181" t="s">
        <v>261</v>
      </c>
      <c r="B66" s="185" t="s">
        <v>2372</v>
      </c>
      <c r="C66" s="185">
        <v>14720</v>
      </c>
      <c r="D66" s="185">
        <v>15970</v>
      </c>
      <c r="E66" s="185">
        <v>14610</v>
      </c>
      <c r="F66" s="218"/>
    </row>
    <row r="67" spans="1:6" s="207" customFormat="1" ht="14.25" customHeight="1">
      <c r="A67" s="181" t="s">
        <v>261</v>
      </c>
      <c r="B67" s="185" t="s">
        <v>2382</v>
      </c>
      <c r="C67" s="185">
        <v>16080</v>
      </c>
      <c r="D67" s="185">
        <v>14840</v>
      </c>
      <c r="E67" s="185">
        <v>15630</v>
      </c>
      <c r="F67" s="218"/>
    </row>
    <row r="68" spans="1:6" s="207" customFormat="1" ht="14.25" customHeight="1">
      <c r="A68" s="181" t="s">
        <v>261</v>
      </c>
      <c r="B68" s="185" t="s">
        <v>2391</v>
      </c>
      <c r="C68" s="185">
        <v>14940</v>
      </c>
      <c r="D68" s="185">
        <v>18000</v>
      </c>
      <c r="E68" s="185">
        <v>14040</v>
      </c>
      <c r="F68" s="218"/>
    </row>
    <row r="69" spans="1:6" s="207" customFormat="1" ht="14.25" customHeight="1">
      <c r="A69" s="181" t="s">
        <v>261</v>
      </c>
      <c r="B69" s="185" t="s">
        <v>2399</v>
      </c>
      <c r="C69" s="185">
        <v>18810</v>
      </c>
      <c r="D69" s="185">
        <v>15100</v>
      </c>
      <c r="E69" s="185">
        <v>14710</v>
      </c>
      <c r="F69" s="218"/>
    </row>
    <row r="70" spans="1:6" s="207" customFormat="1" ht="14.25" customHeight="1">
      <c r="A70" s="181" t="s">
        <v>261</v>
      </c>
      <c r="B70" s="185" t="s">
        <v>2407</v>
      </c>
      <c r="C70" s="185">
        <v>18270</v>
      </c>
      <c r="D70" s="185"/>
      <c r="E70" s="185"/>
      <c r="F70" s="218"/>
    </row>
    <row r="71" spans="1:6" s="207" customFormat="1" ht="14.25" customHeight="1">
      <c r="A71" s="181" t="s">
        <v>261</v>
      </c>
      <c r="B71" s="185" t="s">
        <v>2414</v>
      </c>
      <c r="C71" s="185">
        <v>15230</v>
      </c>
      <c r="D71" s="185"/>
      <c r="E71" s="185"/>
      <c r="F71" s="218"/>
    </row>
    <row r="72" spans="1:6" s="207" customFormat="1" ht="14.25" customHeight="1">
      <c r="A72" s="181" t="s">
        <v>261</v>
      </c>
      <c r="B72" s="185" t="s">
        <v>2421</v>
      </c>
      <c r="C72" s="185"/>
      <c r="D72" s="185"/>
      <c r="E72" s="185"/>
      <c r="F72" s="218">
        <v>4120</v>
      </c>
    </row>
    <row r="73" spans="1:6" s="207" customFormat="1" ht="14.25" customHeight="1">
      <c r="A73" s="181" t="s">
        <v>261</v>
      </c>
      <c r="B73" s="185" t="s">
        <v>2428</v>
      </c>
      <c r="C73" s="185"/>
      <c r="D73" s="185"/>
      <c r="E73" s="185"/>
      <c r="F73" s="218">
        <v>3930</v>
      </c>
    </row>
    <row r="74" spans="1:6" s="207" customFormat="1" ht="14.25" customHeight="1">
      <c r="A74" s="181" t="s">
        <v>261</v>
      </c>
      <c r="B74" s="185" t="s">
        <v>2435</v>
      </c>
      <c r="C74" s="185"/>
      <c r="D74" s="185"/>
      <c r="E74" s="185"/>
      <c r="F74" s="218">
        <v>4060</v>
      </c>
    </row>
    <row r="75" spans="1:6" s="207" customFormat="1" ht="14.25" customHeight="1">
      <c r="A75" s="181" t="s">
        <v>261</v>
      </c>
      <c r="B75" s="196" t="s">
        <v>2442</v>
      </c>
      <c r="C75" s="196"/>
      <c r="D75" s="196"/>
      <c r="E75" s="196"/>
      <c r="F75" s="220">
        <v>3750</v>
      </c>
    </row>
    <row r="76" spans="1:6" s="207" customFormat="1" ht="14.25" customHeight="1">
      <c r="A76" s="181" t="s">
        <v>269</v>
      </c>
      <c r="B76" s="182" t="s">
        <v>2190</v>
      </c>
      <c r="C76" s="182">
        <v>14690</v>
      </c>
      <c r="D76" s="182">
        <v>14640</v>
      </c>
      <c r="E76" s="182">
        <v>14590</v>
      </c>
      <c r="F76" s="215">
        <v>3060</v>
      </c>
    </row>
    <row r="77" spans="1:6" s="207" customFormat="1" ht="14.25" customHeight="1">
      <c r="A77" s="181" t="s">
        <v>269</v>
      </c>
      <c r="B77" s="185" t="s">
        <v>2203</v>
      </c>
      <c r="C77" s="185">
        <v>12550</v>
      </c>
      <c r="D77" s="185">
        <v>12480</v>
      </c>
      <c r="E77" s="185">
        <v>12450</v>
      </c>
      <c r="F77" s="218">
        <v>2590</v>
      </c>
    </row>
    <row r="78" spans="1:6" s="207" customFormat="1" ht="14.25" customHeight="1">
      <c r="A78" s="181" t="s">
        <v>269</v>
      </c>
      <c r="B78" s="185" t="s">
        <v>2216</v>
      </c>
      <c r="C78" s="185">
        <v>14360</v>
      </c>
      <c r="D78" s="185">
        <v>14320</v>
      </c>
      <c r="E78" s="185">
        <v>12510</v>
      </c>
      <c r="F78" s="218">
        <v>2700</v>
      </c>
    </row>
    <row r="79" spans="1:6" s="207" customFormat="1" ht="14.25" customHeight="1">
      <c r="A79" s="181" t="s">
        <v>269</v>
      </c>
      <c r="B79" s="185" t="s">
        <v>2228</v>
      </c>
      <c r="C79" s="185">
        <v>12590</v>
      </c>
      <c r="D79" s="185">
        <v>12540</v>
      </c>
      <c r="E79" s="185">
        <v>12350</v>
      </c>
      <c r="F79" s="218">
        <v>2740</v>
      </c>
    </row>
    <row r="80" spans="1:6" s="207" customFormat="1" ht="14.25" customHeight="1">
      <c r="A80" s="181" t="s">
        <v>269</v>
      </c>
      <c r="B80" s="185" t="s">
        <v>2240</v>
      </c>
      <c r="C80" s="185">
        <v>12450</v>
      </c>
      <c r="D80" s="185">
        <v>12370</v>
      </c>
      <c r="E80" s="185">
        <v>10790</v>
      </c>
      <c r="F80" s="218">
        <v>2290</v>
      </c>
    </row>
    <row r="81" spans="1:6" s="207" customFormat="1" ht="14.25" customHeight="1">
      <c r="A81" s="181" t="s">
        <v>269</v>
      </c>
      <c r="B81" s="185" t="s">
        <v>2251</v>
      </c>
      <c r="C81" s="185">
        <v>14210</v>
      </c>
      <c r="D81" s="185">
        <v>14150</v>
      </c>
      <c r="E81" s="185">
        <v>12730</v>
      </c>
      <c r="F81" s="218">
        <v>2240</v>
      </c>
    </row>
    <row r="82" spans="1:6" s="207" customFormat="1" ht="14.25" customHeight="1">
      <c r="A82" s="181" t="s">
        <v>269</v>
      </c>
      <c r="B82" s="185" t="s">
        <v>2262</v>
      </c>
      <c r="C82" s="185">
        <v>10860</v>
      </c>
      <c r="D82" s="185">
        <v>10820</v>
      </c>
      <c r="E82" s="185">
        <v>14720</v>
      </c>
      <c r="F82" s="218">
        <v>2490</v>
      </c>
    </row>
    <row r="83" spans="1:6" s="207" customFormat="1" ht="14.25" customHeight="1">
      <c r="A83" s="181" t="s">
        <v>269</v>
      </c>
      <c r="B83" s="185" t="s">
        <v>2273</v>
      </c>
      <c r="C83" s="185">
        <v>12810</v>
      </c>
      <c r="D83" s="185">
        <v>12760</v>
      </c>
      <c r="E83" s="185">
        <v>14830</v>
      </c>
      <c r="F83" s="218">
        <v>2450</v>
      </c>
    </row>
    <row r="84" spans="1:6" s="207" customFormat="1" ht="14.25" customHeight="1">
      <c r="A84" s="181" t="s">
        <v>269</v>
      </c>
      <c r="B84" s="185" t="s">
        <v>2283</v>
      </c>
      <c r="C84" s="185">
        <v>14950</v>
      </c>
      <c r="D84" s="185">
        <v>14810</v>
      </c>
      <c r="E84" s="185">
        <v>12590</v>
      </c>
      <c r="F84" s="218">
        <v>2540</v>
      </c>
    </row>
    <row r="85" spans="1:6" s="207" customFormat="1" ht="14.25" customHeight="1">
      <c r="A85" s="181" t="s">
        <v>269</v>
      </c>
      <c r="B85" s="185" t="s">
        <v>2293</v>
      </c>
      <c r="C85" s="185">
        <v>14960</v>
      </c>
      <c r="D85" s="185">
        <v>14890</v>
      </c>
      <c r="E85" s="185">
        <v>12840</v>
      </c>
      <c r="F85" s="218">
        <v>2840</v>
      </c>
    </row>
    <row r="86" spans="1:6" s="207" customFormat="1" ht="14.25" customHeight="1">
      <c r="A86" s="181" t="s">
        <v>269</v>
      </c>
      <c r="B86" s="185" t="s">
        <v>2303</v>
      </c>
      <c r="C86" s="185">
        <v>12730</v>
      </c>
      <c r="D86" s="185">
        <v>12660</v>
      </c>
      <c r="E86" s="185">
        <v>13310</v>
      </c>
      <c r="F86" s="218">
        <v>3140</v>
      </c>
    </row>
    <row r="87" spans="1:6" s="207" customFormat="1" ht="14.25" customHeight="1">
      <c r="A87" s="181" t="s">
        <v>269</v>
      </c>
      <c r="B87" s="185" t="s">
        <v>2313</v>
      </c>
      <c r="C87" s="185">
        <v>12940</v>
      </c>
      <c r="D87" s="185">
        <v>12890</v>
      </c>
      <c r="E87" s="185">
        <v>11580</v>
      </c>
      <c r="F87" s="221"/>
    </row>
    <row r="88" spans="1:6" s="207" customFormat="1" ht="14.25" customHeight="1">
      <c r="A88" s="181" t="s">
        <v>269</v>
      </c>
      <c r="B88" s="185" t="s">
        <v>2323</v>
      </c>
      <c r="C88" s="185">
        <v>13430</v>
      </c>
      <c r="D88" s="185">
        <v>13360</v>
      </c>
      <c r="E88" s="185">
        <v>12790</v>
      </c>
      <c r="F88" s="221"/>
    </row>
    <row r="89" spans="1:6" s="207" customFormat="1" ht="14.25" customHeight="1">
      <c r="A89" s="181" t="s">
        <v>269</v>
      </c>
      <c r="B89" s="185" t="s">
        <v>2333</v>
      </c>
      <c r="C89" s="185">
        <v>11680</v>
      </c>
      <c r="D89" s="185">
        <v>11630</v>
      </c>
      <c r="E89" s="185">
        <v>11320</v>
      </c>
      <c r="F89" s="221"/>
    </row>
    <row r="90" spans="1:6" s="207" customFormat="1" ht="14.25" customHeight="1">
      <c r="A90" s="181" t="s">
        <v>269</v>
      </c>
      <c r="B90" s="185" t="s">
        <v>2343</v>
      </c>
      <c r="C90" s="185">
        <v>12890</v>
      </c>
      <c r="D90" s="185">
        <v>12820</v>
      </c>
      <c r="E90" s="185">
        <v>12710</v>
      </c>
      <c r="F90" s="221"/>
    </row>
    <row r="91" spans="1:6" s="207" customFormat="1" ht="14.25" customHeight="1">
      <c r="A91" s="181" t="s">
        <v>269</v>
      </c>
      <c r="B91" s="185" t="s">
        <v>2353</v>
      </c>
      <c r="C91" s="185">
        <v>11410</v>
      </c>
      <c r="D91" s="185">
        <v>11360</v>
      </c>
      <c r="E91" s="185">
        <v>12670</v>
      </c>
      <c r="F91" s="221"/>
    </row>
    <row r="92" spans="1:6" s="207" customFormat="1" ht="14.25" customHeight="1">
      <c r="A92" s="181" t="s">
        <v>269</v>
      </c>
      <c r="B92" s="185" t="s">
        <v>2363</v>
      </c>
      <c r="C92" s="185">
        <v>12770</v>
      </c>
      <c r="D92" s="185">
        <v>12740</v>
      </c>
      <c r="E92" s="185">
        <v>11970</v>
      </c>
      <c r="F92" s="221"/>
    </row>
    <row r="93" spans="1:6" s="207" customFormat="1" ht="14.25" customHeight="1">
      <c r="A93" s="181" t="s">
        <v>269</v>
      </c>
      <c r="B93" s="185" t="s">
        <v>2373</v>
      </c>
      <c r="C93" s="185">
        <v>12740</v>
      </c>
      <c r="D93" s="185">
        <v>12700</v>
      </c>
      <c r="E93" s="185">
        <v>12540</v>
      </c>
      <c r="F93" s="221"/>
    </row>
    <row r="94" spans="1:6" s="207" customFormat="1" ht="14.25" customHeight="1">
      <c r="A94" s="181" t="s">
        <v>269</v>
      </c>
      <c r="B94" s="185" t="s">
        <v>2383</v>
      </c>
      <c r="C94" s="185">
        <v>12020</v>
      </c>
      <c r="D94" s="185">
        <v>11990</v>
      </c>
      <c r="E94" s="185">
        <v>13110</v>
      </c>
      <c r="F94" s="221"/>
    </row>
    <row r="95" spans="1:6" s="207" customFormat="1" ht="14.25" customHeight="1">
      <c r="A95" s="181" t="s">
        <v>269</v>
      </c>
      <c r="B95" s="185" t="s">
        <v>2392</v>
      </c>
      <c r="C95" s="185">
        <v>12620</v>
      </c>
      <c r="D95" s="185">
        <v>12580</v>
      </c>
      <c r="E95" s="185">
        <v>13160</v>
      </c>
      <c r="F95" s="218"/>
    </row>
    <row r="96" spans="1:6" s="207" customFormat="1" ht="14.25" customHeight="1">
      <c r="A96" s="181" t="s">
        <v>269</v>
      </c>
      <c r="B96" s="185" t="s">
        <v>2400</v>
      </c>
      <c r="C96" s="185">
        <v>13200</v>
      </c>
      <c r="D96" s="185">
        <v>13150</v>
      </c>
      <c r="E96" s="185">
        <v>12900</v>
      </c>
      <c r="F96" s="218"/>
    </row>
    <row r="97" spans="1:6" s="207" customFormat="1" ht="14.25" customHeight="1">
      <c r="A97" s="181" t="s">
        <v>269</v>
      </c>
      <c r="B97" s="185" t="s">
        <v>2408</v>
      </c>
      <c r="C97" s="185">
        <v>13270</v>
      </c>
      <c r="D97" s="185">
        <v>13210</v>
      </c>
      <c r="E97" s="185">
        <v>11080</v>
      </c>
      <c r="F97" s="218"/>
    </row>
    <row r="98" spans="1:6" s="207" customFormat="1" ht="14.25" customHeight="1">
      <c r="A98" s="181" t="s">
        <v>269</v>
      </c>
      <c r="B98" s="185" t="s">
        <v>2415</v>
      </c>
      <c r="C98" s="185">
        <v>13010</v>
      </c>
      <c r="D98" s="185">
        <v>12930</v>
      </c>
      <c r="E98" s="185">
        <v>12840</v>
      </c>
      <c r="F98" s="218"/>
    </row>
    <row r="99" spans="1:6" s="207" customFormat="1" ht="14.25" customHeight="1">
      <c r="A99" s="181" t="s">
        <v>269</v>
      </c>
      <c r="B99" s="185" t="s">
        <v>2422</v>
      </c>
      <c r="C99" s="185">
        <v>11190</v>
      </c>
      <c r="D99" s="185">
        <v>11130</v>
      </c>
      <c r="E99" s="185"/>
      <c r="F99" s="218"/>
    </row>
    <row r="100" spans="1:6" s="207" customFormat="1" ht="14.25" customHeight="1">
      <c r="A100" s="181" t="s">
        <v>269</v>
      </c>
      <c r="B100" s="185" t="s">
        <v>2429</v>
      </c>
      <c r="C100" s="185">
        <v>14280</v>
      </c>
      <c r="D100" s="185">
        <v>14180</v>
      </c>
      <c r="E100" s="185"/>
      <c r="F100" s="218"/>
    </row>
    <row r="101" spans="1:6" s="207" customFormat="1" ht="14.25" customHeight="1">
      <c r="A101" s="181" t="s">
        <v>269</v>
      </c>
      <c r="B101" s="185" t="s">
        <v>2436</v>
      </c>
      <c r="C101" s="185">
        <v>12960</v>
      </c>
      <c r="D101" s="185">
        <v>12890</v>
      </c>
      <c r="E101" s="185"/>
      <c r="F101" s="218"/>
    </row>
    <row r="102" spans="1:6" s="207" customFormat="1" ht="14.25" customHeight="1">
      <c r="A102" s="181" t="s">
        <v>269</v>
      </c>
      <c r="B102" s="185" t="s">
        <v>2443</v>
      </c>
      <c r="C102" s="185"/>
      <c r="D102" s="185"/>
      <c r="E102" s="185"/>
      <c r="F102" s="218">
        <v>3100</v>
      </c>
    </row>
    <row r="103" spans="1:6" s="207" customFormat="1" ht="14.25" customHeight="1">
      <c r="A103" s="181" t="s">
        <v>269</v>
      </c>
      <c r="B103" s="185" t="s">
        <v>2448</v>
      </c>
      <c r="C103" s="185"/>
      <c r="D103" s="185"/>
      <c r="E103" s="185"/>
      <c r="F103" s="218">
        <v>2320</v>
      </c>
    </row>
    <row r="104" spans="1:6" s="207" customFormat="1" ht="14.25" customHeight="1">
      <c r="A104" s="181" t="s">
        <v>269</v>
      </c>
      <c r="B104" s="185" t="s">
        <v>2453</v>
      </c>
      <c r="C104" s="185"/>
      <c r="D104" s="185"/>
      <c r="E104" s="185"/>
      <c r="F104" s="218">
        <v>2320</v>
      </c>
    </row>
    <row r="105" spans="1:6" s="207" customFormat="1" ht="14.25" customHeight="1">
      <c r="A105" s="181" t="s">
        <v>269</v>
      </c>
      <c r="B105" s="185" t="s">
        <v>2458</v>
      </c>
      <c r="C105" s="185"/>
      <c r="D105" s="185"/>
      <c r="E105" s="185"/>
      <c r="F105" s="218">
        <v>2320</v>
      </c>
    </row>
    <row r="106" spans="1:6" s="207" customFormat="1" ht="14.25" customHeight="1">
      <c r="A106" s="181" t="s">
        <v>269</v>
      </c>
      <c r="B106" s="185" t="s">
        <v>2463</v>
      </c>
      <c r="C106" s="185"/>
      <c r="D106" s="185"/>
      <c r="E106" s="185"/>
      <c r="F106" s="218">
        <v>2320</v>
      </c>
    </row>
    <row r="107" spans="1:6" s="207" customFormat="1" ht="14.25" customHeight="1">
      <c r="A107" s="181" t="s">
        <v>269</v>
      </c>
      <c r="B107" s="185" t="s">
        <v>2468</v>
      </c>
      <c r="C107" s="185"/>
      <c r="D107" s="185"/>
      <c r="E107" s="185"/>
      <c r="F107" s="218">
        <v>2280</v>
      </c>
    </row>
    <row r="108" spans="1:6" s="207" customFormat="1" ht="14.25" customHeight="1">
      <c r="A108" s="181" t="s">
        <v>269</v>
      </c>
      <c r="B108" s="185" t="s">
        <v>2473</v>
      </c>
      <c r="C108" s="185"/>
      <c r="D108" s="185"/>
      <c r="E108" s="185"/>
      <c r="F108" s="218">
        <v>2280</v>
      </c>
    </row>
    <row r="109" spans="1:6" s="207" customFormat="1" ht="14.25" customHeight="1">
      <c r="A109" s="181" t="s">
        <v>269</v>
      </c>
      <c r="B109" s="196" t="s">
        <v>2478</v>
      </c>
      <c r="C109" s="196"/>
      <c r="D109" s="196"/>
      <c r="E109" s="196"/>
      <c r="F109" s="220">
        <v>2280</v>
      </c>
    </row>
    <row r="110" spans="1:6" s="207" customFormat="1" ht="14.25" customHeight="1">
      <c r="A110" s="181" t="s">
        <v>275</v>
      </c>
      <c r="B110" s="182" t="s">
        <v>2191</v>
      </c>
      <c r="C110" s="182">
        <v>10520</v>
      </c>
      <c r="D110" s="182">
        <v>10490</v>
      </c>
      <c r="E110" s="182">
        <v>10760</v>
      </c>
      <c r="F110" s="215">
        <v>2160</v>
      </c>
    </row>
    <row r="111" spans="1:6" s="207" customFormat="1" ht="14.25" customHeight="1">
      <c r="A111" s="181" t="s">
        <v>275</v>
      </c>
      <c r="B111" s="185" t="s">
        <v>2204</v>
      </c>
      <c r="C111" s="185">
        <v>10090</v>
      </c>
      <c r="D111" s="185">
        <v>10060</v>
      </c>
      <c r="E111" s="185">
        <v>10300</v>
      </c>
      <c r="F111" s="218">
        <v>2010</v>
      </c>
    </row>
    <row r="112" spans="1:6" s="207" customFormat="1" ht="14.25" customHeight="1">
      <c r="A112" s="181" t="s">
        <v>275</v>
      </c>
      <c r="B112" s="185" t="s">
        <v>2217</v>
      </c>
      <c r="C112" s="185">
        <v>9910</v>
      </c>
      <c r="D112" s="185">
        <v>9850</v>
      </c>
      <c r="E112" s="185">
        <v>9960</v>
      </c>
      <c r="F112" s="218">
        <v>2090</v>
      </c>
    </row>
    <row r="113" spans="1:6" s="207" customFormat="1" ht="14.25" customHeight="1">
      <c r="A113" s="181" t="s">
        <v>275</v>
      </c>
      <c r="B113" s="185" t="s">
        <v>2229</v>
      </c>
      <c r="C113" s="185">
        <v>11430</v>
      </c>
      <c r="D113" s="185">
        <v>11400</v>
      </c>
      <c r="E113" s="185">
        <v>11710</v>
      </c>
      <c r="F113" s="218">
        <v>2050</v>
      </c>
    </row>
    <row r="114" spans="1:6" s="207" customFormat="1" ht="14.25" customHeight="1">
      <c r="A114" s="181" t="s">
        <v>275</v>
      </c>
      <c r="B114" s="185" t="s">
        <v>2241</v>
      </c>
      <c r="C114" s="185">
        <v>11390</v>
      </c>
      <c r="D114" s="185">
        <v>11350</v>
      </c>
      <c r="E114" s="185">
        <v>11640</v>
      </c>
      <c r="F114" s="218">
        <v>1620</v>
      </c>
    </row>
    <row r="115" spans="1:6" s="207" customFormat="1" ht="14.25" customHeight="1">
      <c r="A115" s="181" t="s">
        <v>275</v>
      </c>
      <c r="B115" s="185" t="s">
        <v>2252</v>
      </c>
      <c r="C115" s="185">
        <v>9930</v>
      </c>
      <c r="D115" s="185">
        <v>9900</v>
      </c>
      <c r="E115" s="185">
        <v>10160</v>
      </c>
      <c r="F115" s="218">
        <v>1580</v>
      </c>
    </row>
    <row r="116" spans="1:6" s="207" customFormat="1" ht="14.25" customHeight="1">
      <c r="A116" s="181" t="s">
        <v>275</v>
      </c>
      <c r="B116" s="185" t="s">
        <v>2263</v>
      </c>
      <c r="C116" s="185">
        <v>9150</v>
      </c>
      <c r="D116" s="185">
        <v>9120</v>
      </c>
      <c r="E116" s="185">
        <v>9380</v>
      </c>
      <c r="F116" s="218">
        <v>1750</v>
      </c>
    </row>
    <row r="117" spans="1:6" s="207" customFormat="1" ht="14.25" customHeight="1">
      <c r="A117" s="181" t="s">
        <v>275</v>
      </c>
      <c r="B117" s="185" t="s">
        <v>2274</v>
      </c>
      <c r="C117" s="185">
        <v>10680</v>
      </c>
      <c r="D117" s="185">
        <v>10650</v>
      </c>
      <c r="E117" s="185">
        <v>10970</v>
      </c>
      <c r="F117" s="218">
        <v>1730</v>
      </c>
    </row>
    <row r="118" spans="1:6" s="207" customFormat="1" ht="14.25" customHeight="1">
      <c r="A118" s="181" t="s">
        <v>275</v>
      </c>
      <c r="B118" s="185" t="s">
        <v>2284</v>
      </c>
      <c r="C118" s="185">
        <v>10080</v>
      </c>
      <c r="D118" s="185">
        <v>10050</v>
      </c>
      <c r="E118" s="185">
        <v>10350</v>
      </c>
      <c r="F118" s="218">
        <v>1920</v>
      </c>
    </row>
    <row r="119" spans="1:6" s="207" customFormat="1" ht="14.25" customHeight="1">
      <c r="A119" s="181" t="s">
        <v>275</v>
      </c>
      <c r="B119" s="185" t="s">
        <v>2294</v>
      </c>
      <c r="C119" s="185">
        <v>9450</v>
      </c>
      <c r="D119" s="185">
        <v>9410</v>
      </c>
      <c r="E119" s="185">
        <v>9680</v>
      </c>
      <c r="F119" s="218">
        <v>1880</v>
      </c>
    </row>
    <row r="120" spans="1:6" s="207" customFormat="1" ht="14.25" customHeight="1">
      <c r="A120" s="181" t="s">
        <v>275</v>
      </c>
      <c r="B120" s="185" t="s">
        <v>2304</v>
      </c>
      <c r="C120" s="185">
        <v>8730</v>
      </c>
      <c r="D120" s="185">
        <v>8700</v>
      </c>
      <c r="E120" s="185">
        <v>8950</v>
      </c>
      <c r="F120" s="218">
        <v>1830</v>
      </c>
    </row>
    <row r="121" spans="1:6" s="207" customFormat="1" ht="14.25" customHeight="1">
      <c r="A121" s="181" t="s">
        <v>275</v>
      </c>
      <c r="B121" s="185" t="s">
        <v>2314</v>
      </c>
      <c r="C121" s="185">
        <v>10070</v>
      </c>
      <c r="D121" s="185">
        <v>10040</v>
      </c>
      <c r="E121" s="185">
        <v>10270</v>
      </c>
      <c r="F121" s="218">
        <v>1960</v>
      </c>
    </row>
    <row r="122" spans="1:6" s="207" customFormat="1" ht="14.25" customHeight="1">
      <c r="A122" s="181" t="s">
        <v>275</v>
      </c>
      <c r="B122" s="185" t="s">
        <v>2324</v>
      </c>
      <c r="C122" s="185">
        <v>10500</v>
      </c>
      <c r="D122" s="185">
        <v>10470</v>
      </c>
      <c r="E122" s="185">
        <v>10780</v>
      </c>
      <c r="F122" s="218">
        <v>2180</v>
      </c>
    </row>
    <row r="123" spans="1:6" s="207" customFormat="1" ht="14.25" customHeight="1">
      <c r="A123" s="181" t="s">
        <v>275</v>
      </c>
      <c r="B123" s="185" t="s">
        <v>2334</v>
      </c>
      <c r="C123" s="185">
        <v>10390</v>
      </c>
      <c r="D123" s="185">
        <v>10360</v>
      </c>
      <c r="E123" s="185">
        <v>10660</v>
      </c>
      <c r="F123" s="218">
        <v>2040</v>
      </c>
    </row>
    <row r="124" spans="1:6" s="207" customFormat="1" ht="14.25" customHeight="1">
      <c r="A124" s="181" t="s">
        <v>275</v>
      </c>
      <c r="B124" s="185" t="s">
        <v>2344</v>
      </c>
      <c r="C124" s="185">
        <v>10390</v>
      </c>
      <c r="D124" s="185">
        <v>10360</v>
      </c>
      <c r="E124" s="185">
        <v>10680</v>
      </c>
      <c r="F124" s="221"/>
    </row>
    <row r="125" spans="1:6" s="207" customFormat="1" ht="14.25" customHeight="1">
      <c r="A125" s="181" t="s">
        <v>275</v>
      </c>
      <c r="B125" s="185" t="s">
        <v>2354</v>
      </c>
      <c r="C125" s="185">
        <v>10440</v>
      </c>
      <c r="D125" s="185">
        <v>10410</v>
      </c>
      <c r="E125" s="185">
        <v>10710</v>
      </c>
      <c r="F125" s="221"/>
    </row>
    <row r="126" spans="1:6" s="207" customFormat="1" ht="14.25" customHeight="1">
      <c r="A126" s="181" t="s">
        <v>275</v>
      </c>
      <c r="B126" s="185" t="s">
        <v>2364</v>
      </c>
      <c r="C126" s="185">
        <v>10780</v>
      </c>
      <c r="D126" s="185">
        <v>10750</v>
      </c>
      <c r="E126" s="185">
        <v>11080</v>
      </c>
      <c r="F126" s="221"/>
    </row>
    <row r="127" spans="1:6" s="207" customFormat="1" ht="14.25" customHeight="1">
      <c r="A127" s="181" t="s">
        <v>275</v>
      </c>
      <c r="B127" s="185" t="s">
        <v>2374</v>
      </c>
      <c r="C127" s="185">
        <v>10100</v>
      </c>
      <c r="D127" s="185">
        <v>10070</v>
      </c>
      <c r="E127" s="185">
        <v>10350</v>
      </c>
      <c r="F127" s="221"/>
    </row>
    <row r="128" spans="1:6" s="207" customFormat="1" ht="14.25" customHeight="1">
      <c r="A128" s="181" t="s">
        <v>275</v>
      </c>
      <c r="B128" s="185" t="s">
        <v>2384</v>
      </c>
      <c r="C128" s="185">
        <v>9200</v>
      </c>
      <c r="D128" s="185">
        <v>9160</v>
      </c>
      <c r="E128" s="185">
        <v>9660</v>
      </c>
      <c r="F128" s="221"/>
    </row>
    <row r="129" spans="1:6" s="207" customFormat="1" ht="14.25" customHeight="1">
      <c r="A129" s="181" t="s">
        <v>275</v>
      </c>
      <c r="B129" s="185" t="s">
        <v>2393</v>
      </c>
      <c r="C129" s="185">
        <v>10340</v>
      </c>
      <c r="D129" s="185">
        <v>10310</v>
      </c>
      <c r="E129" s="185">
        <v>10580</v>
      </c>
      <c r="F129" s="221"/>
    </row>
    <row r="130" spans="1:6" s="207" customFormat="1" ht="14.25" customHeight="1">
      <c r="A130" s="181" t="s">
        <v>275</v>
      </c>
      <c r="B130" s="185" t="s">
        <v>2401</v>
      </c>
      <c r="C130" s="185">
        <v>9680</v>
      </c>
      <c r="D130" s="185">
        <v>9660</v>
      </c>
      <c r="E130" s="185">
        <v>9950</v>
      </c>
      <c r="F130" s="221"/>
    </row>
    <row r="131" spans="1:6" s="207" customFormat="1" ht="14.25" customHeight="1">
      <c r="A131" s="181" t="s">
        <v>275</v>
      </c>
      <c r="B131" s="185" t="s">
        <v>2409</v>
      </c>
      <c r="C131" s="185">
        <v>9540</v>
      </c>
      <c r="D131" s="185">
        <v>9510</v>
      </c>
      <c r="E131" s="185">
        <v>9790</v>
      </c>
      <c r="F131" s="221"/>
    </row>
    <row r="132" spans="1:6" s="207" customFormat="1" ht="14.25" customHeight="1">
      <c r="A132" s="181" t="s">
        <v>275</v>
      </c>
      <c r="B132" s="185" t="s">
        <v>2416</v>
      </c>
      <c r="C132" s="185">
        <v>9320</v>
      </c>
      <c r="D132" s="185">
        <v>9290</v>
      </c>
      <c r="E132" s="185">
        <v>9570</v>
      </c>
      <c r="F132" s="221"/>
    </row>
    <row r="133" spans="1:6" s="207" customFormat="1" ht="14.25" customHeight="1">
      <c r="A133" s="181" t="s">
        <v>275</v>
      </c>
      <c r="B133" s="185" t="s">
        <v>2423</v>
      </c>
      <c r="C133" s="185">
        <v>10310</v>
      </c>
      <c r="D133" s="185">
        <v>10280</v>
      </c>
      <c r="E133" s="185">
        <v>10530</v>
      </c>
      <c r="F133" s="221"/>
    </row>
    <row r="134" spans="1:6" s="207" customFormat="1" ht="14.25" customHeight="1">
      <c r="A134" s="181" t="s">
        <v>275</v>
      </c>
      <c r="B134" s="185" t="s">
        <v>2430</v>
      </c>
      <c r="C134" s="185">
        <v>10370</v>
      </c>
      <c r="D134" s="185">
        <v>10310</v>
      </c>
      <c r="E134" s="185">
        <v>10240</v>
      </c>
      <c r="F134" s="218">
        <v>2060</v>
      </c>
    </row>
    <row r="135" spans="1:6" s="207" customFormat="1" ht="14.25" customHeight="1">
      <c r="A135" s="181" t="s">
        <v>275</v>
      </c>
      <c r="B135" s="185" t="s">
        <v>2437</v>
      </c>
      <c r="C135" s="185">
        <v>9300</v>
      </c>
      <c r="D135" s="185">
        <v>9270</v>
      </c>
      <c r="E135" s="185">
        <v>9350</v>
      </c>
      <c r="F135" s="221"/>
    </row>
    <row r="136" spans="1:6" s="207" customFormat="1" ht="14.25" customHeight="1">
      <c r="A136" s="181" t="s">
        <v>275</v>
      </c>
      <c r="B136" s="185" t="s">
        <v>2444</v>
      </c>
      <c r="C136" s="185">
        <v>10160</v>
      </c>
      <c r="D136" s="185">
        <v>10110</v>
      </c>
      <c r="E136" s="185">
        <v>10080</v>
      </c>
      <c r="F136" s="221"/>
    </row>
    <row r="137" spans="1:6" s="207" customFormat="1" ht="14.25" customHeight="1">
      <c r="A137" s="181" t="s">
        <v>275</v>
      </c>
      <c r="B137" s="185" t="s">
        <v>2449</v>
      </c>
      <c r="C137" s="185">
        <v>9200</v>
      </c>
      <c r="D137" s="185">
        <v>9170</v>
      </c>
      <c r="E137" s="185">
        <v>9450</v>
      </c>
      <c r="F137" s="221"/>
    </row>
    <row r="138" spans="1:6" s="207" customFormat="1" ht="14.25" customHeight="1">
      <c r="A138" s="181" t="s">
        <v>275</v>
      </c>
      <c r="B138" s="185" t="s">
        <v>2454</v>
      </c>
      <c r="C138" s="185">
        <v>9690</v>
      </c>
      <c r="D138" s="185">
        <v>9660</v>
      </c>
      <c r="E138" s="185">
        <v>9840</v>
      </c>
      <c r="F138" s="221"/>
    </row>
    <row r="139" spans="1:6" s="207" customFormat="1" ht="14.25" customHeight="1">
      <c r="A139" s="181" t="s">
        <v>275</v>
      </c>
      <c r="B139" s="185" t="s">
        <v>2459</v>
      </c>
      <c r="C139" s="185">
        <v>10290</v>
      </c>
      <c r="D139" s="185">
        <v>10260</v>
      </c>
      <c r="E139" s="185">
        <v>10550</v>
      </c>
      <c r="F139" s="218">
        <v>1700</v>
      </c>
    </row>
    <row r="140" spans="1:6" s="207" customFormat="1" ht="14.25" customHeight="1">
      <c r="A140" s="181" t="s">
        <v>275</v>
      </c>
      <c r="B140" s="185" t="s">
        <v>2464</v>
      </c>
      <c r="C140" s="185">
        <v>9740</v>
      </c>
      <c r="D140" s="185">
        <v>9710</v>
      </c>
      <c r="E140" s="185">
        <v>10000</v>
      </c>
      <c r="F140" s="218">
        <v>2000</v>
      </c>
    </row>
    <row r="141" spans="1:6" s="207" customFormat="1" ht="14.25" customHeight="1">
      <c r="A141" s="181" t="s">
        <v>275</v>
      </c>
      <c r="B141" s="185" t="s">
        <v>2469</v>
      </c>
      <c r="C141" s="185">
        <v>9810</v>
      </c>
      <c r="D141" s="185">
        <v>9770</v>
      </c>
      <c r="E141" s="185">
        <v>10060</v>
      </c>
      <c r="F141" s="221"/>
    </row>
    <row r="142" spans="1:6" s="207" customFormat="1" ht="14.25" customHeight="1">
      <c r="A142" s="181" t="s">
        <v>275</v>
      </c>
      <c r="B142" s="185" t="s">
        <v>2474</v>
      </c>
      <c r="C142" s="185">
        <v>9300</v>
      </c>
      <c r="D142" s="185">
        <v>9270</v>
      </c>
      <c r="E142" s="185">
        <v>9530</v>
      </c>
      <c r="F142" s="221"/>
    </row>
    <row r="143" spans="1:6" s="207" customFormat="1" ht="14.25" customHeight="1">
      <c r="A143" s="181" t="s">
        <v>275</v>
      </c>
      <c r="B143" s="185" t="s">
        <v>2479</v>
      </c>
      <c r="C143" s="185">
        <v>10080</v>
      </c>
      <c r="D143" s="185">
        <v>10050</v>
      </c>
      <c r="E143" s="185">
        <v>10340</v>
      </c>
      <c r="F143" s="221"/>
    </row>
    <row r="144" spans="1:6" s="207" customFormat="1" ht="14.25" customHeight="1">
      <c r="A144" s="181" t="s">
        <v>275</v>
      </c>
      <c r="B144" s="185" t="s">
        <v>2483</v>
      </c>
      <c r="C144" s="185">
        <v>9820</v>
      </c>
      <c r="D144" s="185">
        <v>9750</v>
      </c>
      <c r="E144" s="185">
        <v>9900</v>
      </c>
      <c r="F144" s="221"/>
    </row>
    <row r="145" spans="1:6" s="207" customFormat="1" ht="14.25" customHeight="1">
      <c r="A145" s="181" t="s">
        <v>275</v>
      </c>
      <c r="B145" s="185" t="s">
        <v>2487</v>
      </c>
      <c r="C145" s="185"/>
      <c r="D145" s="185"/>
      <c r="E145" s="185"/>
      <c r="F145" s="218">
        <v>1740</v>
      </c>
    </row>
    <row r="146" spans="1:6" s="207" customFormat="1" ht="14.25" customHeight="1">
      <c r="A146" s="181" t="s">
        <v>275</v>
      </c>
      <c r="B146" s="185" t="s">
        <v>2491</v>
      </c>
      <c r="C146" s="185"/>
      <c r="D146" s="185"/>
      <c r="E146" s="185"/>
      <c r="F146" s="218">
        <v>1740</v>
      </c>
    </row>
    <row r="147" spans="1:6" s="207" customFormat="1" ht="14.25" customHeight="1">
      <c r="A147" s="181" t="s">
        <v>275</v>
      </c>
      <c r="B147" s="185" t="s">
        <v>2495</v>
      </c>
      <c r="C147" s="185"/>
      <c r="D147" s="185"/>
      <c r="E147" s="185"/>
      <c r="F147" s="218">
        <v>1740</v>
      </c>
    </row>
    <row r="148" spans="1:6" s="207" customFormat="1" ht="14.25" customHeight="1">
      <c r="A148" s="181" t="s">
        <v>275</v>
      </c>
      <c r="B148" s="185" t="s">
        <v>2499</v>
      </c>
      <c r="C148" s="185"/>
      <c r="D148" s="185"/>
      <c r="E148" s="185"/>
      <c r="F148" s="218">
        <v>1740</v>
      </c>
    </row>
    <row r="149" spans="1:6" s="207" customFormat="1" ht="14.25" customHeight="1">
      <c r="A149" s="181" t="s">
        <v>275</v>
      </c>
      <c r="B149" s="185" t="s">
        <v>2503</v>
      </c>
      <c r="C149" s="185"/>
      <c r="D149" s="185"/>
      <c r="E149" s="185"/>
      <c r="F149" s="218">
        <v>1740</v>
      </c>
    </row>
    <row r="150" spans="1:6" s="207" customFormat="1" ht="14.25" customHeight="1">
      <c r="A150" s="181" t="s">
        <v>275</v>
      </c>
      <c r="B150" s="185" t="s">
        <v>2506</v>
      </c>
      <c r="C150" s="185"/>
      <c r="D150" s="185"/>
      <c r="E150" s="185"/>
      <c r="F150" s="218">
        <v>1610</v>
      </c>
    </row>
    <row r="151" spans="1:6" s="207" customFormat="1" ht="14.25" customHeight="1">
      <c r="A151" s="181" t="s">
        <v>275</v>
      </c>
      <c r="B151" s="185" t="s">
        <v>2509</v>
      </c>
      <c r="C151" s="185"/>
      <c r="D151" s="185"/>
      <c r="E151" s="185"/>
      <c r="F151" s="218">
        <v>1610</v>
      </c>
    </row>
    <row r="152" spans="1:6" s="207" customFormat="1" ht="14.25" customHeight="1">
      <c r="A152" s="181" t="s">
        <v>275</v>
      </c>
      <c r="B152" s="185" t="s">
        <v>2512</v>
      </c>
      <c r="C152" s="185"/>
      <c r="D152" s="185"/>
      <c r="E152" s="185"/>
      <c r="F152" s="218">
        <v>1610</v>
      </c>
    </row>
    <row r="153" spans="1:6" s="207" customFormat="1" ht="14.25" customHeight="1">
      <c r="A153" s="181" t="s">
        <v>275</v>
      </c>
      <c r="B153" s="185" t="s">
        <v>2515</v>
      </c>
      <c r="C153" s="185"/>
      <c r="D153" s="185"/>
      <c r="E153" s="185"/>
      <c r="F153" s="218">
        <v>1610</v>
      </c>
    </row>
    <row r="154" spans="1:6" s="207" customFormat="1" ht="14.25" customHeight="1">
      <c r="A154" s="181" t="s">
        <v>275</v>
      </c>
      <c r="B154" s="185" t="s">
        <v>2518</v>
      </c>
      <c r="C154" s="185"/>
      <c r="D154" s="185"/>
      <c r="E154" s="185"/>
      <c r="F154" s="218">
        <v>1610</v>
      </c>
    </row>
    <row r="155" spans="1:6" s="207" customFormat="1" ht="14.25" customHeight="1">
      <c r="A155" s="181" t="s">
        <v>275</v>
      </c>
      <c r="B155" s="185" t="s">
        <v>2521</v>
      </c>
      <c r="C155" s="185"/>
      <c r="D155" s="185"/>
      <c r="E155" s="185"/>
      <c r="F155" s="218">
        <v>1800</v>
      </c>
    </row>
    <row r="156" spans="1:6" s="207" customFormat="1" ht="14.25" customHeight="1">
      <c r="A156" s="181" t="s">
        <v>275</v>
      </c>
      <c r="B156" s="185" t="s">
        <v>2523</v>
      </c>
      <c r="C156" s="185"/>
      <c r="D156" s="185"/>
      <c r="E156" s="185"/>
      <c r="F156" s="218">
        <v>1910</v>
      </c>
    </row>
    <row r="157" spans="1:6" s="207" customFormat="1" ht="14.25" customHeight="1">
      <c r="A157" s="181" t="s">
        <v>275</v>
      </c>
      <c r="B157" s="196" t="s">
        <v>2525</v>
      </c>
      <c r="C157" s="196"/>
      <c r="D157" s="196"/>
      <c r="E157" s="196"/>
      <c r="F157" s="220">
        <v>1500</v>
      </c>
    </row>
    <row r="158" spans="1:6" s="207" customFormat="1" ht="14.25" customHeight="1">
      <c r="A158" s="181" t="s">
        <v>280</v>
      </c>
      <c r="B158" s="182" t="s">
        <v>2192</v>
      </c>
      <c r="C158" s="182">
        <v>8170</v>
      </c>
      <c r="D158" s="182">
        <v>8140</v>
      </c>
      <c r="E158" s="182">
        <v>8590</v>
      </c>
      <c r="F158" s="215">
        <v>1450</v>
      </c>
    </row>
    <row r="159" spans="1:6" s="207" customFormat="1" ht="14.25" customHeight="1">
      <c r="A159" s="181" t="s">
        <v>280</v>
      </c>
      <c r="B159" s="185" t="s">
        <v>408</v>
      </c>
      <c r="C159" s="185">
        <v>7410</v>
      </c>
      <c r="D159" s="185">
        <v>7370</v>
      </c>
      <c r="E159" s="185">
        <v>8030</v>
      </c>
      <c r="F159" s="218">
        <v>1510</v>
      </c>
    </row>
    <row r="160" spans="1:6" s="207" customFormat="1" ht="14.25" customHeight="1">
      <c r="A160" s="181" t="s">
        <v>280</v>
      </c>
      <c r="B160" s="185" t="s">
        <v>2218</v>
      </c>
      <c r="C160" s="185">
        <v>7240</v>
      </c>
      <c r="D160" s="185">
        <v>7210</v>
      </c>
      <c r="E160" s="185">
        <v>7860</v>
      </c>
      <c r="F160" s="218">
        <v>1370</v>
      </c>
    </row>
    <row r="161" spans="1:6" s="207" customFormat="1" ht="14.25" customHeight="1">
      <c r="A161" s="181" t="s">
        <v>280</v>
      </c>
      <c r="B161" s="185" t="s">
        <v>2230</v>
      </c>
      <c r="C161" s="185">
        <v>7720</v>
      </c>
      <c r="D161" s="185">
        <v>7690</v>
      </c>
      <c r="E161" s="185">
        <v>8200</v>
      </c>
      <c r="F161" s="218">
        <v>1190</v>
      </c>
    </row>
    <row r="162" spans="1:6" s="207" customFormat="1" ht="14.25" customHeight="1">
      <c r="A162" s="181" t="s">
        <v>280</v>
      </c>
      <c r="B162" s="185" t="s">
        <v>2242</v>
      </c>
      <c r="C162" s="185">
        <v>6900</v>
      </c>
      <c r="D162" s="185">
        <v>6870</v>
      </c>
      <c r="E162" s="185">
        <v>7500</v>
      </c>
      <c r="F162" s="218">
        <v>1390</v>
      </c>
    </row>
    <row r="163" spans="1:6" s="207" customFormat="1" ht="14.25" customHeight="1">
      <c r="A163" s="181" t="s">
        <v>280</v>
      </c>
      <c r="B163" s="185" t="s">
        <v>2253</v>
      </c>
      <c r="C163" s="185">
        <v>7120</v>
      </c>
      <c r="D163" s="185">
        <v>7090</v>
      </c>
      <c r="E163" s="185">
        <v>7690</v>
      </c>
      <c r="F163" s="218">
        <v>1230</v>
      </c>
    </row>
    <row r="164" spans="1:6" s="207" customFormat="1" ht="14.25" customHeight="1">
      <c r="A164" s="181" t="s">
        <v>280</v>
      </c>
      <c r="B164" s="185" t="s">
        <v>2264</v>
      </c>
      <c r="C164" s="185">
        <v>6560</v>
      </c>
      <c r="D164" s="185">
        <v>6530</v>
      </c>
      <c r="E164" s="185">
        <v>7110</v>
      </c>
      <c r="F164" s="218">
        <v>1340</v>
      </c>
    </row>
    <row r="165" spans="1:6" s="207" customFormat="1" ht="14.25" customHeight="1">
      <c r="A165" s="181" t="s">
        <v>280</v>
      </c>
      <c r="B165" s="185" t="s">
        <v>2275</v>
      </c>
      <c r="C165" s="185">
        <v>7450</v>
      </c>
      <c r="D165" s="185">
        <v>7430</v>
      </c>
      <c r="E165" s="185">
        <v>8110</v>
      </c>
      <c r="F165" s="218">
        <v>1290</v>
      </c>
    </row>
    <row r="166" spans="1:6" s="207" customFormat="1" ht="14.25" customHeight="1">
      <c r="A166" s="181" t="s">
        <v>280</v>
      </c>
      <c r="B166" s="185" t="s">
        <v>2285</v>
      </c>
      <c r="C166" s="185">
        <v>7490</v>
      </c>
      <c r="D166" s="185">
        <v>7460</v>
      </c>
      <c r="E166" s="185">
        <v>8150</v>
      </c>
      <c r="F166" s="218">
        <v>1350</v>
      </c>
    </row>
    <row r="167" spans="1:6" s="207" customFormat="1" ht="14.25" customHeight="1">
      <c r="A167" s="181" t="s">
        <v>280</v>
      </c>
      <c r="B167" s="185" t="s">
        <v>2295</v>
      </c>
      <c r="C167" s="185">
        <v>7540</v>
      </c>
      <c r="D167" s="185">
        <v>7510</v>
      </c>
      <c r="E167" s="185">
        <v>8030</v>
      </c>
      <c r="F167" s="221"/>
    </row>
    <row r="168" spans="1:6" s="207" customFormat="1" ht="14.25" customHeight="1">
      <c r="A168" s="181" t="s">
        <v>280</v>
      </c>
      <c r="B168" s="185" t="s">
        <v>2305</v>
      </c>
      <c r="C168" s="185">
        <v>7210</v>
      </c>
      <c r="D168" s="185">
        <v>7180</v>
      </c>
      <c r="E168" s="185">
        <v>7830</v>
      </c>
      <c r="F168" s="221"/>
    </row>
    <row r="169" spans="1:6" s="207" customFormat="1" ht="14.25" customHeight="1">
      <c r="A169" s="181" t="s">
        <v>280</v>
      </c>
      <c r="B169" s="185" t="s">
        <v>2315</v>
      </c>
      <c r="C169" s="185">
        <v>7040</v>
      </c>
      <c r="D169" s="185">
        <v>7020</v>
      </c>
      <c r="E169" s="185">
        <v>7670</v>
      </c>
      <c r="F169" s="221"/>
    </row>
    <row r="170" spans="1:6" s="207" customFormat="1" ht="14.25" customHeight="1">
      <c r="A170" s="181" t="s">
        <v>280</v>
      </c>
      <c r="B170" s="185" t="s">
        <v>2325</v>
      </c>
      <c r="C170" s="185">
        <v>8040</v>
      </c>
      <c r="D170" s="185">
        <v>7190</v>
      </c>
      <c r="E170" s="185">
        <v>7850</v>
      </c>
      <c r="F170" s="221"/>
    </row>
    <row r="171" spans="1:6" s="207" customFormat="1" ht="14.25" customHeight="1">
      <c r="A171" s="181" t="s">
        <v>280</v>
      </c>
      <c r="B171" s="185" t="s">
        <v>2335</v>
      </c>
      <c r="C171" s="185">
        <v>7860</v>
      </c>
      <c r="D171" s="185">
        <v>7720</v>
      </c>
      <c r="E171" s="185">
        <v>8150</v>
      </c>
      <c r="F171" s="218">
        <v>1110</v>
      </c>
    </row>
    <row r="172" spans="1:6" s="207" customFormat="1" ht="14.25" customHeight="1">
      <c r="A172" s="181" t="s">
        <v>280</v>
      </c>
      <c r="B172" s="185" t="s">
        <v>2345</v>
      </c>
      <c r="C172" s="185">
        <v>7210</v>
      </c>
      <c r="D172" s="185">
        <v>7170</v>
      </c>
      <c r="E172" s="185">
        <v>7320</v>
      </c>
      <c r="F172" s="221"/>
    </row>
    <row r="173" spans="1:6" s="207" customFormat="1" ht="14.25" customHeight="1">
      <c r="A173" s="181" t="s">
        <v>280</v>
      </c>
      <c r="B173" s="185" t="s">
        <v>2355</v>
      </c>
      <c r="C173" s="185">
        <v>6860</v>
      </c>
      <c r="D173" s="185">
        <v>6810</v>
      </c>
      <c r="E173" s="185">
        <v>7440</v>
      </c>
      <c r="F173" s="221"/>
    </row>
    <row r="174" spans="1:6" s="207" customFormat="1" ht="14.25" customHeight="1">
      <c r="A174" s="181" t="s">
        <v>280</v>
      </c>
      <c r="B174" s="185" t="s">
        <v>2365</v>
      </c>
      <c r="C174" s="185">
        <v>7120</v>
      </c>
      <c r="D174" s="185">
        <v>7090</v>
      </c>
      <c r="E174" s="185">
        <v>7500</v>
      </c>
      <c r="F174" s="218">
        <v>1490</v>
      </c>
    </row>
    <row r="175" spans="1:6" s="207" customFormat="1" ht="14.25" customHeight="1">
      <c r="A175" s="181" t="s">
        <v>280</v>
      </c>
      <c r="B175" s="185" t="s">
        <v>2375</v>
      </c>
      <c r="C175" s="185">
        <v>7850</v>
      </c>
      <c r="D175" s="185">
        <v>7820</v>
      </c>
      <c r="E175" s="185">
        <v>8120</v>
      </c>
      <c r="F175" s="218">
        <v>1530</v>
      </c>
    </row>
    <row r="176" spans="1:6" s="207" customFormat="1" ht="14.25" customHeight="1">
      <c r="A176" s="181" t="s">
        <v>280</v>
      </c>
      <c r="B176" s="185" t="s">
        <v>2385</v>
      </c>
      <c r="C176" s="185">
        <v>7620</v>
      </c>
      <c r="D176" s="185">
        <v>7570</v>
      </c>
      <c r="E176" s="185">
        <v>7990</v>
      </c>
      <c r="F176" s="218">
        <v>1480</v>
      </c>
    </row>
    <row r="177" spans="1:6" s="207" customFormat="1" ht="14.25" customHeight="1">
      <c r="A177" s="181" t="s">
        <v>280</v>
      </c>
      <c r="B177" s="185" t="s">
        <v>2394</v>
      </c>
      <c r="C177" s="185">
        <v>8590</v>
      </c>
      <c r="D177" s="185">
        <v>8570</v>
      </c>
      <c r="E177" s="185">
        <v>8740</v>
      </c>
      <c r="F177" s="218">
        <v>1540</v>
      </c>
    </row>
    <row r="178" spans="1:6" s="207" customFormat="1" ht="14.25" customHeight="1">
      <c r="A178" s="181" t="s">
        <v>280</v>
      </c>
      <c r="B178" s="185" t="s">
        <v>2402</v>
      </c>
      <c r="C178" s="185">
        <v>7510</v>
      </c>
      <c r="D178" s="185">
        <v>7470</v>
      </c>
      <c r="E178" s="185">
        <v>8090</v>
      </c>
      <c r="F178" s="218">
        <v>1320</v>
      </c>
    </row>
    <row r="179" spans="1:6" s="207" customFormat="1" ht="14.25" customHeight="1">
      <c r="A179" s="181" t="s">
        <v>280</v>
      </c>
      <c r="B179" s="185" t="s">
        <v>2410</v>
      </c>
      <c r="C179" s="185">
        <v>6380</v>
      </c>
      <c r="D179" s="185">
        <v>6340</v>
      </c>
      <c r="E179" s="185">
        <v>6810</v>
      </c>
      <c r="F179" s="221"/>
    </row>
    <row r="180" spans="1:6" s="207" customFormat="1" ht="14.25" customHeight="1">
      <c r="A180" s="181" t="s">
        <v>280</v>
      </c>
      <c r="B180" s="185" t="s">
        <v>2417</v>
      </c>
      <c r="C180" s="185">
        <v>7830</v>
      </c>
      <c r="D180" s="185">
        <v>7800</v>
      </c>
      <c r="E180" s="185">
        <v>7780</v>
      </c>
      <c r="F180" s="218">
        <v>1440</v>
      </c>
    </row>
    <row r="181" spans="1:6" s="207" customFormat="1" ht="14.25" customHeight="1">
      <c r="A181" s="181" t="s">
        <v>280</v>
      </c>
      <c r="B181" s="185" t="s">
        <v>2424</v>
      </c>
      <c r="C181" s="185">
        <v>7110</v>
      </c>
      <c r="D181" s="185">
        <v>7080</v>
      </c>
      <c r="E181" s="185">
        <v>7730</v>
      </c>
      <c r="F181" s="218">
        <v>1350</v>
      </c>
    </row>
    <row r="182" spans="1:6" s="207" customFormat="1" ht="14.25" customHeight="1">
      <c r="A182" s="181" t="s">
        <v>280</v>
      </c>
      <c r="B182" s="185" t="s">
        <v>2431</v>
      </c>
      <c r="C182" s="185">
        <v>7310</v>
      </c>
      <c r="D182" s="185">
        <v>7280</v>
      </c>
      <c r="E182" s="185">
        <v>7950</v>
      </c>
      <c r="F182" s="218">
        <v>1220</v>
      </c>
    </row>
    <row r="183" spans="1:6" s="207" customFormat="1" ht="14.25" customHeight="1">
      <c r="A183" s="181" t="s">
        <v>280</v>
      </c>
      <c r="B183" s="185" t="s">
        <v>2438</v>
      </c>
      <c r="C183" s="185">
        <v>7470</v>
      </c>
      <c r="D183" s="185">
        <v>7440</v>
      </c>
      <c r="E183" s="185">
        <v>7880</v>
      </c>
      <c r="F183" s="221"/>
    </row>
    <row r="184" spans="1:6" s="207" customFormat="1" ht="14.25" customHeight="1">
      <c r="A184" s="181" t="s">
        <v>280</v>
      </c>
      <c r="B184" s="185" t="s">
        <v>2445</v>
      </c>
      <c r="C184" s="185">
        <v>6960</v>
      </c>
      <c r="D184" s="185">
        <v>6930</v>
      </c>
      <c r="E184" s="185">
        <v>7570</v>
      </c>
      <c r="F184" s="221"/>
    </row>
    <row r="185" spans="1:6" s="207" customFormat="1" ht="14.25" customHeight="1">
      <c r="A185" s="181" t="s">
        <v>280</v>
      </c>
      <c r="B185" s="185" t="s">
        <v>2450</v>
      </c>
      <c r="C185" s="185">
        <v>7260</v>
      </c>
      <c r="D185" s="185">
        <v>7230</v>
      </c>
      <c r="E185" s="185">
        <v>7710</v>
      </c>
      <c r="F185" s="218">
        <v>1360</v>
      </c>
    </row>
    <row r="186" spans="1:6" s="207" customFormat="1" ht="14.25" customHeight="1">
      <c r="A186" s="181" t="s">
        <v>280</v>
      </c>
      <c r="B186" s="185" t="s">
        <v>2455</v>
      </c>
      <c r="C186" s="185"/>
      <c r="D186" s="185"/>
      <c r="E186" s="185"/>
      <c r="F186" s="218">
        <v>1560</v>
      </c>
    </row>
    <row r="187" spans="1:6" s="207" customFormat="1" ht="14.25" customHeight="1">
      <c r="A187" s="181" t="s">
        <v>280</v>
      </c>
      <c r="B187" s="185" t="s">
        <v>2460</v>
      </c>
      <c r="C187" s="185"/>
      <c r="D187" s="185"/>
      <c r="E187" s="185"/>
      <c r="F187" s="218">
        <v>1560</v>
      </c>
    </row>
    <row r="188" spans="1:6" s="207" customFormat="1" ht="14.25" customHeight="1">
      <c r="A188" s="181" t="s">
        <v>280</v>
      </c>
      <c r="B188" s="185" t="s">
        <v>2465</v>
      </c>
      <c r="C188" s="185"/>
      <c r="D188" s="185"/>
      <c r="E188" s="185"/>
      <c r="F188" s="218">
        <v>1560</v>
      </c>
    </row>
    <row r="189" spans="1:6" s="207" customFormat="1" ht="14.25" customHeight="1">
      <c r="A189" s="181" t="s">
        <v>280</v>
      </c>
      <c r="B189" s="185" t="s">
        <v>2470</v>
      </c>
      <c r="C189" s="185"/>
      <c r="D189" s="185"/>
      <c r="E189" s="185"/>
      <c r="F189" s="218">
        <v>1320</v>
      </c>
    </row>
    <row r="190" spans="1:6" s="207" customFormat="1" ht="14.25" customHeight="1">
      <c r="A190" s="181" t="s">
        <v>280</v>
      </c>
      <c r="B190" s="185" t="s">
        <v>2475</v>
      </c>
      <c r="C190" s="185"/>
      <c r="D190" s="185"/>
      <c r="E190" s="185"/>
      <c r="F190" s="218">
        <v>1320</v>
      </c>
    </row>
    <row r="191" spans="1:6" s="207" customFormat="1" ht="14.25" customHeight="1">
      <c r="A191" s="181" t="s">
        <v>280</v>
      </c>
      <c r="B191" s="185" t="s">
        <v>2480</v>
      </c>
      <c r="C191" s="185"/>
      <c r="D191" s="185"/>
      <c r="E191" s="185"/>
      <c r="F191" s="218">
        <v>1320</v>
      </c>
    </row>
    <row r="192" spans="1:6" s="207" customFormat="1" ht="14.25" customHeight="1">
      <c r="A192" s="181" t="s">
        <v>280</v>
      </c>
      <c r="B192" s="185" t="s">
        <v>2484</v>
      </c>
      <c r="C192" s="185"/>
      <c r="D192" s="185"/>
      <c r="E192" s="185"/>
      <c r="F192" s="218">
        <v>1100</v>
      </c>
    </row>
    <row r="193" spans="1:6" s="207" customFormat="1" ht="14.25" customHeight="1">
      <c r="A193" s="181" t="s">
        <v>280</v>
      </c>
      <c r="B193" s="185" t="s">
        <v>2488</v>
      </c>
      <c r="C193" s="185"/>
      <c r="D193" s="185"/>
      <c r="E193" s="185"/>
      <c r="F193" s="218">
        <v>1100</v>
      </c>
    </row>
    <row r="194" spans="1:6" s="207" customFormat="1" ht="14.25" customHeight="1">
      <c r="A194" s="181" t="s">
        <v>280</v>
      </c>
      <c r="B194" s="185" t="s">
        <v>2492</v>
      </c>
      <c r="C194" s="185"/>
      <c r="D194" s="185"/>
      <c r="E194" s="185"/>
      <c r="F194" s="218">
        <v>1080</v>
      </c>
    </row>
    <row r="195" spans="1:6" s="207" customFormat="1" ht="14.25" customHeight="1">
      <c r="A195" s="181" t="s">
        <v>280</v>
      </c>
      <c r="B195" s="185" t="s">
        <v>2496</v>
      </c>
      <c r="C195" s="185"/>
      <c r="D195" s="185"/>
      <c r="E195" s="185"/>
      <c r="F195" s="218">
        <v>1270</v>
      </c>
    </row>
    <row r="196" spans="1:6" s="207" customFormat="1" ht="14.25" customHeight="1">
      <c r="A196" s="181" t="s">
        <v>280</v>
      </c>
      <c r="B196" s="185" t="s">
        <v>2500</v>
      </c>
      <c r="C196" s="185"/>
      <c r="D196" s="185"/>
      <c r="E196" s="185"/>
      <c r="F196" s="218">
        <v>1150</v>
      </c>
    </row>
    <row r="197" spans="1:6" s="207" customFormat="1" ht="14.25" customHeight="1">
      <c r="A197" s="181" t="s">
        <v>280</v>
      </c>
      <c r="B197" s="185" t="s">
        <v>2504</v>
      </c>
      <c r="C197" s="185"/>
      <c r="D197" s="185"/>
      <c r="E197" s="185"/>
      <c r="F197" s="218">
        <v>1330</v>
      </c>
    </row>
    <row r="198" spans="1:6" s="207" customFormat="1" ht="14.25" customHeight="1">
      <c r="A198" s="181" t="s">
        <v>280</v>
      </c>
      <c r="B198" s="185" t="s">
        <v>2507</v>
      </c>
      <c r="C198" s="185"/>
      <c r="D198" s="185"/>
      <c r="E198" s="185"/>
      <c r="F198" s="218">
        <v>1170</v>
      </c>
    </row>
    <row r="199" spans="1:6" s="207" customFormat="1" ht="14.25" customHeight="1">
      <c r="A199" s="181" t="s">
        <v>280</v>
      </c>
      <c r="B199" s="185" t="s">
        <v>2510</v>
      </c>
      <c r="C199" s="185"/>
      <c r="D199" s="185"/>
      <c r="E199" s="185"/>
      <c r="F199" s="218">
        <v>1120</v>
      </c>
    </row>
    <row r="200" spans="1:6" s="207" customFormat="1" ht="14.25" customHeight="1">
      <c r="A200" s="181" t="s">
        <v>280</v>
      </c>
      <c r="B200" s="185" t="s">
        <v>2513</v>
      </c>
      <c r="C200" s="185"/>
      <c r="D200" s="185"/>
      <c r="E200" s="185"/>
      <c r="F200" s="218">
        <v>1120</v>
      </c>
    </row>
    <row r="201" spans="1:6" s="207" customFormat="1" ht="14.25" customHeight="1">
      <c r="A201" s="181" t="s">
        <v>280</v>
      </c>
      <c r="B201" s="185" t="s">
        <v>2516</v>
      </c>
      <c r="C201" s="185"/>
      <c r="D201" s="185"/>
      <c r="E201" s="185"/>
      <c r="F201" s="218">
        <v>1540</v>
      </c>
    </row>
    <row r="202" spans="1:6" s="207" customFormat="1" ht="14.25" customHeight="1">
      <c r="A202" s="181" t="s">
        <v>280</v>
      </c>
      <c r="B202" s="185" t="s">
        <v>2519</v>
      </c>
      <c r="C202" s="185"/>
      <c r="D202" s="185"/>
      <c r="E202" s="185"/>
      <c r="F202" s="218">
        <v>1310</v>
      </c>
    </row>
    <row r="203" spans="1:6" s="207" customFormat="1" ht="14.25" customHeight="1">
      <c r="A203" s="181" t="s">
        <v>280</v>
      </c>
      <c r="B203" s="185" t="s">
        <v>2522</v>
      </c>
      <c r="C203" s="185"/>
      <c r="D203" s="185"/>
      <c r="E203" s="185"/>
      <c r="F203" s="218">
        <v>1310</v>
      </c>
    </row>
    <row r="204" spans="1:6" s="207" customFormat="1" ht="14.25" customHeight="1">
      <c r="A204" s="181" t="s">
        <v>280</v>
      </c>
      <c r="B204" s="185" t="s">
        <v>2524</v>
      </c>
      <c r="C204" s="185"/>
      <c r="D204" s="185"/>
      <c r="E204" s="185"/>
      <c r="F204" s="218">
        <v>1080</v>
      </c>
    </row>
    <row r="205" spans="1:6" s="207" customFormat="1" ht="14.25" customHeight="1">
      <c r="A205" s="181" t="s">
        <v>280</v>
      </c>
      <c r="B205" s="185" t="s">
        <v>2526</v>
      </c>
      <c r="C205" s="185"/>
      <c r="D205" s="185"/>
      <c r="E205" s="185"/>
      <c r="F205" s="218">
        <v>1080</v>
      </c>
    </row>
    <row r="206" spans="1:6" s="207" customFormat="1" ht="14.25" customHeight="1">
      <c r="A206" s="181" t="s">
        <v>285</v>
      </c>
      <c r="B206" s="182" t="s">
        <v>2193</v>
      </c>
      <c r="C206" s="182">
        <v>5450</v>
      </c>
      <c r="D206" s="182">
        <v>5430</v>
      </c>
      <c r="E206" s="182">
        <v>5700</v>
      </c>
      <c r="F206" s="215">
        <v>1020</v>
      </c>
    </row>
    <row r="207" spans="1:6" s="207" customFormat="1" ht="14.25" customHeight="1">
      <c r="A207" s="181" t="s">
        <v>285</v>
      </c>
      <c r="B207" s="185" t="s">
        <v>2205</v>
      </c>
      <c r="C207" s="185">
        <v>5860</v>
      </c>
      <c r="D207" s="185">
        <v>5820</v>
      </c>
      <c r="E207" s="185">
        <v>6050</v>
      </c>
      <c r="F207" s="218">
        <v>1080</v>
      </c>
    </row>
    <row r="208" spans="1:6" s="207" customFormat="1" ht="14.25" customHeight="1">
      <c r="A208" s="181" t="s">
        <v>285</v>
      </c>
      <c r="B208" s="185" t="s">
        <v>2219</v>
      </c>
      <c r="C208" s="185">
        <v>4630</v>
      </c>
      <c r="D208" s="185">
        <v>4600</v>
      </c>
      <c r="E208" s="185">
        <v>4840</v>
      </c>
      <c r="F208" s="218">
        <v>900</v>
      </c>
    </row>
    <row r="209" spans="1:6" s="207" customFormat="1" ht="14.25" customHeight="1">
      <c r="A209" s="181" t="s">
        <v>285</v>
      </c>
      <c r="B209" s="185" t="s">
        <v>2231</v>
      </c>
      <c r="C209" s="185">
        <v>5320</v>
      </c>
      <c r="D209" s="185">
        <v>5270</v>
      </c>
      <c r="E209" s="185">
        <v>5540</v>
      </c>
      <c r="F209" s="218">
        <v>980</v>
      </c>
    </row>
    <row r="210" spans="1:6" s="207" customFormat="1" ht="14.25" customHeight="1">
      <c r="A210" s="181" t="s">
        <v>285</v>
      </c>
      <c r="B210" s="185" t="s">
        <v>2243</v>
      </c>
      <c r="C210" s="185">
        <v>5760</v>
      </c>
      <c r="D210" s="185">
        <v>5710</v>
      </c>
      <c r="E210" s="185">
        <v>6010</v>
      </c>
      <c r="F210" s="218">
        <v>870</v>
      </c>
    </row>
    <row r="211" spans="1:6" s="207" customFormat="1" ht="14.25" customHeight="1">
      <c r="A211" s="181" t="s">
        <v>285</v>
      </c>
      <c r="B211" s="185" t="s">
        <v>2254</v>
      </c>
      <c r="C211" s="185">
        <v>4160</v>
      </c>
      <c r="D211" s="185">
        <v>4100</v>
      </c>
      <c r="E211" s="185">
        <v>4270</v>
      </c>
      <c r="F211" s="218">
        <v>790</v>
      </c>
    </row>
    <row r="212" spans="1:6" s="207" customFormat="1" ht="14.25" customHeight="1">
      <c r="A212" s="181" t="s">
        <v>285</v>
      </c>
      <c r="B212" s="185" t="s">
        <v>2265</v>
      </c>
      <c r="C212" s="185">
        <v>4880</v>
      </c>
      <c r="D212" s="185">
        <v>4850</v>
      </c>
      <c r="E212" s="185">
        <v>5110</v>
      </c>
      <c r="F212" s="218">
        <v>940</v>
      </c>
    </row>
    <row r="213" spans="1:6" s="207" customFormat="1" ht="14.25" customHeight="1">
      <c r="A213" s="181" t="s">
        <v>285</v>
      </c>
      <c r="B213" s="185" t="s">
        <v>2276</v>
      </c>
      <c r="C213" s="185">
        <v>4640</v>
      </c>
      <c r="D213" s="185">
        <v>4590</v>
      </c>
      <c r="E213" s="185">
        <v>4700</v>
      </c>
      <c r="F213" s="218">
        <v>1030</v>
      </c>
    </row>
    <row r="214" spans="1:6" s="207" customFormat="1" ht="14.25" customHeight="1">
      <c r="A214" s="181" t="s">
        <v>285</v>
      </c>
      <c r="B214" s="185" t="s">
        <v>2286</v>
      </c>
      <c r="C214" s="185">
        <v>4540</v>
      </c>
      <c r="D214" s="185">
        <v>4490</v>
      </c>
      <c r="E214" s="185">
        <v>4610</v>
      </c>
      <c r="F214" s="221"/>
    </row>
    <row r="215" spans="1:6" s="207" customFormat="1" ht="14.25" customHeight="1">
      <c r="A215" s="181" t="s">
        <v>285</v>
      </c>
      <c r="B215" s="185" t="s">
        <v>2296</v>
      </c>
      <c r="C215" s="185">
        <v>5280</v>
      </c>
      <c r="D215" s="185">
        <v>5250</v>
      </c>
      <c r="E215" s="185">
        <v>5520</v>
      </c>
      <c r="F215" s="218">
        <v>1000</v>
      </c>
    </row>
    <row r="216" spans="1:6" s="207" customFormat="1" ht="14.25" customHeight="1">
      <c r="A216" s="181" t="s">
        <v>285</v>
      </c>
      <c r="B216" s="185" t="s">
        <v>2306</v>
      </c>
      <c r="C216" s="185">
        <v>5100</v>
      </c>
      <c r="D216" s="185">
        <v>5050</v>
      </c>
      <c r="E216" s="185">
        <v>5300</v>
      </c>
      <c r="F216" s="218">
        <v>950</v>
      </c>
    </row>
    <row r="217" spans="1:6" s="207" customFormat="1" ht="14.25" customHeight="1">
      <c r="A217" s="181" t="s">
        <v>285</v>
      </c>
      <c r="B217" s="185" t="s">
        <v>2316</v>
      </c>
      <c r="C217" s="185">
        <v>5370</v>
      </c>
      <c r="D217" s="185">
        <v>5320</v>
      </c>
      <c r="E217" s="185">
        <v>5410</v>
      </c>
      <c r="F217" s="218">
        <v>950</v>
      </c>
    </row>
    <row r="218" spans="1:6" s="207" customFormat="1" ht="14.25" customHeight="1">
      <c r="A218" s="181" t="s">
        <v>285</v>
      </c>
      <c r="B218" s="185" t="s">
        <v>2326</v>
      </c>
      <c r="C218" s="185">
        <v>5540</v>
      </c>
      <c r="D218" s="185">
        <v>5480</v>
      </c>
      <c r="E218" s="185">
        <v>5740</v>
      </c>
      <c r="F218" s="218">
        <v>1020</v>
      </c>
    </row>
    <row r="219" spans="1:6" s="207" customFormat="1" ht="14.25" customHeight="1">
      <c r="A219" s="181" t="s">
        <v>285</v>
      </c>
      <c r="B219" s="185" t="s">
        <v>2336</v>
      </c>
      <c r="C219" s="185">
        <v>5140</v>
      </c>
      <c r="D219" s="185">
        <v>5100</v>
      </c>
      <c r="E219" s="185">
        <v>5350</v>
      </c>
      <c r="F219" s="218">
        <v>1120</v>
      </c>
    </row>
    <row r="220" spans="1:6" s="207" customFormat="1" ht="14.25" customHeight="1">
      <c r="A220" s="181" t="s">
        <v>285</v>
      </c>
      <c r="B220" s="185" t="s">
        <v>2346</v>
      </c>
      <c r="C220" s="185">
        <v>5040</v>
      </c>
      <c r="D220" s="185">
        <v>5000</v>
      </c>
      <c r="E220" s="185">
        <v>5240</v>
      </c>
      <c r="F220" s="218">
        <v>980</v>
      </c>
    </row>
    <row r="221" spans="1:6" s="207" customFormat="1" ht="14.25" customHeight="1">
      <c r="A221" s="181" t="s">
        <v>285</v>
      </c>
      <c r="B221" s="185" t="s">
        <v>2356</v>
      </c>
      <c r="C221" s="224"/>
      <c r="D221" s="224"/>
      <c r="E221" s="224"/>
      <c r="F221" s="218">
        <v>1070</v>
      </c>
    </row>
    <row r="222" spans="1:6" s="207" customFormat="1" ht="14.25" customHeight="1">
      <c r="A222" s="181" t="s">
        <v>285</v>
      </c>
      <c r="B222" s="185" t="s">
        <v>2366</v>
      </c>
      <c r="C222" s="224"/>
      <c r="D222" s="224"/>
      <c r="E222" s="224"/>
      <c r="F222" s="218">
        <v>870</v>
      </c>
    </row>
    <row r="223" spans="1:6" s="207" customFormat="1" ht="14.25" customHeight="1">
      <c r="A223" s="181" t="s">
        <v>285</v>
      </c>
      <c r="B223" s="185" t="s">
        <v>2376</v>
      </c>
      <c r="C223" s="224"/>
      <c r="D223" s="224"/>
      <c r="E223" s="224"/>
      <c r="F223" s="218">
        <v>940</v>
      </c>
    </row>
    <row r="224" spans="1:6" s="207" customFormat="1" ht="14.25" customHeight="1">
      <c r="A224" s="181" t="s">
        <v>285</v>
      </c>
      <c r="B224" s="185" t="s">
        <v>2386</v>
      </c>
      <c r="C224" s="224"/>
      <c r="D224" s="224"/>
      <c r="E224" s="224"/>
      <c r="F224" s="218">
        <v>990</v>
      </c>
    </row>
    <row r="225" spans="1:6" s="207" customFormat="1" ht="14.25" customHeight="1">
      <c r="A225" s="181" t="s">
        <v>285</v>
      </c>
      <c r="B225" s="185" t="s">
        <v>2395</v>
      </c>
      <c r="C225" s="185">
        <v>5730</v>
      </c>
      <c r="D225" s="185">
        <v>5680</v>
      </c>
      <c r="E225" s="185">
        <v>6020</v>
      </c>
      <c r="F225" s="218">
        <v>1000</v>
      </c>
    </row>
    <row r="226" spans="1:6" s="207" customFormat="1" ht="14.25" customHeight="1">
      <c r="A226" s="181" t="s">
        <v>285</v>
      </c>
      <c r="B226" s="185" t="s">
        <v>2403</v>
      </c>
      <c r="C226" s="185">
        <v>4970</v>
      </c>
      <c r="D226" s="185">
        <v>4940</v>
      </c>
      <c r="E226" s="185">
        <v>5180</v>
      </c>
      <c r="F226" s="218">
        <v>960</v>
      </c>
    </row>
    <row r="227" spans="1:6" s="207" customFormat="1" ht="14.25" customHeight="1">
      <c r="A227" s="181" t="s">
        <v>285</v>
      </c>
      <c r="B227" s="185" t="s">
        <v>2411</v>
      </c>
      <c r="C227" s="185">
        <v>5550</v>
      </c>
      <c r="D227" s="185">
        <v>5500</v>
      </c>
      <c r="E227" s="185">
        <v>5780</v>
      </c>
      <c r="F227" s="218">
        <v>940</v>
      </c>
    </row>
    <row r="228" spans="1:6" s="207" customFormat="1" ht="14.25" customHeight="1">
      <c r="A228" s="181" t="s">
        <v>285</v>
      </c>
      <c r="B228" s="185" t="s">
        <v>2418</v>
      </c>
      <c r="C228" s="185">
        <v>5460</v>
      </c>
      <c r="D228" s="185">
        <v>5420</v>
      </c>
      <c r="E228" s="185">
        <v>5690</v>
      </c>
      <c r="F228" s="218">
        <v>910</v>
      </c>
    </row>
    <row r="229" spans="1:6" s="207" customFormat="1" ht="14.25" customHeight="1">
      <c r="A229" s="181" t="s">
        <v>285</v>
      </c>
      <c r="B229" s="185" t="s">
        <v>2425</v>
      </c>
      <c r="C229" s="185">
        <v>5310</v>
      </c>
      <c r="D229" s="185">
        <v>5270</v>
      </c>
      <c r="E229" s="185">
        <v>5510</v>
      </c>
      <c r="F229" s="221"/>
    </row>
    <row r="230" spans="1:6" s="207" customFormat="1" ht="14.25" customHeight="1">
      <c r="A230" s="181" t="s">
        <v>285</v>
      </c>
      <c r="B230" s="185" t="s">
        <v>2432</v>
      </c>
      <c r="C230" s="185">
        <v>4540</v>
      </c>
      <c r="D230" s="185">
        <v>4500</v>
      </c>
      <c r="E230" s="185">
        <v>4730</v>
      </c>
      <c r="F230" s="221"/>
    </row>
    <row r="231" spans="1:6" s="207" customFormat="1" ht="14.25" customHeight="1">
      <c r="A231" s="181" t="s">
        <v>285</v>
      </c>
      <c r="B231" s="185" t="s">
        <v>2439</v>
      </c>
      <c r="C231" s="185">
        <v>4480</v>
      </c>
      <c r="D231" s="185">
        <v>4410</v>
      </c>
      <c r="E231" s="185">
        <v>4640</v>
      </c>
      <c r="F231" s="221"/>
    </row>
    <row r="232" spans="1:6" s="207" customFormat="1" ht="14.25" customHeight="1">
      <c r="A232" s="181" t="s">
        <v>285</v>
      </c>
      <c r="B232" s="185" t="s">
        <v>2446</v>
      </c>
      <c r="C232" s="185">
        <v>5670</v>
      </c>
      <c r="D232" s="185">
        <v>5600</v>
      </c>
      <c r="E232" s="185">
        <v>5890</v>
      </c>
      <c r="F232" s="218">
        <v>1150</v>
      </c>
    </row>
    <row r="233" spans="1:6" s="207" customFormat="1" ht="14.25" customHeight="1">
      <c r="A233" s="181" t="s">
        <v>285</v>
      </c>
      <c r="B233" s="185" t="s">
        <v>2451</v>
      </c>
      <c r="C233" s="185">
        <v>4590</v>
      </c>
      <c r="D233" s="185">
        <v>4500</v>
      </c>
      <c r="E233" s="185">
        <v>4600</v>
      </c>
      <c r="F233" s="221"/>
    </row>
    <row r="234" spans="1:6" s="207" customFormat="1" ht="14.25" customHeight="1">
      <c r="A234" s="181" t="s">
        <v>285</v>
      </c>
      <c r="B234" s="185" t="s">
        <v>2456</v>
      </c>
      <c r="C234" s="185">
        <v>3990</v>
      </c>
      <c r="D234" s="185">
        <v>3950</v>
      </c>
      <c r="E234" s="185">
        <v>4180</v>
      </c>
      <c r="F234" s="221"/>
    </row>
    <row r="235" spans="1:6" s="207" customFormat="1" ht="14.25" customHeight="1">
      <c r="A235" s="181" t="s">
        <v>285</v>
      </c>
      <c r="B235" s="185" t="s">
        <v>2461</v>
      </c>
      <c r="C235" s="185">
        <v>5590</v>
      </c>
      <c r="D235" s="185">
        <v>5540</v>
      </c>
      <c r="E235" s="185">
        <v>5810</v>
      </c>
      <c r="F235" s="218">
        <v>970</v>
      </c>
    </row>
    <row r="236" spans="1:6" s="207" customFormat="1" ht="14.25" customHeight="1">
      <c r="A236" s="181" t="s">
        <v>285</v>
      </c>
      <c r="B236" s="185" t="s">
        <v>2466</v>
      </c>
      <c r="C236" s="185"/>
      <c r="D236" s="185"/>
      <c r="E236" s="185"/>
      <c r="F236" s="218">
        <v>1020</v>
      </c>
    </row>
    <row r="237" spans="1:6" s="207" customFormat="1" ht="14.25" customHeight="1">
      <c r="A237" s="181" t="s">
        <v>285</v>
      </c>
      <c r="B237" s="185" t="s">
        <v>2471</v>
      </c>
      <c r="C237" s="185"/>
      <c r="D237" s="185"/>
      <c r="E237" s="185"/>
      <c r="F237" s="218">
        <v>960</v>
      </c>
    </row>
    <row r="238" spans="1:6" s="207" customFormat="1" ht="14.25" customHeight="1">
      <c r="A238" s="181" t="s">
        <v>285</v>
      </c>
      <c r="B238" s="185" t="s">
        <v>2476</v>
      </c>
      <c r="C238" s="185"/>
      <c r="D238" s="185"/>
      <c r="E238" s="185"/>
      <c r="F238" s="218">
        <v>960</v>
      </c>
    </row>
    <row r="239" spans="1:6" s="207" customFormat="1" ht="14.25" customHeight="1">
      <c r="A239" s="181" t="s">
        <v>285</v>
      </c>
      <c r="B239" s="185" t="s">
        <v>2481</v>
      </c>
      <c r="C239" s="185"/>
      <c r="D239" s="185"/>
      <c r="E239" s="185"/>
      <c r="F239" s="218">
        <v>960</v>
      </c>
    </row>
    <row r="240" spans="1:6" s="207" customFormat="1" ht="14.25" customHeight="1">
      <c r="A240" s="181" t="s">
        <v>285</v>
      </c>
      <c r="B240" s="185" t="s">
        <v>2485</v>
      </c>
      <c r="C240" s="185"/>
      <c r="D240" s="185"/>
      <c r="E240" s="185"/>
      <c r="F240" s="218">
        <v>990</v>
      </c>
    </row>
    <row r="241" spans="1:6" s="207" customFormat="1" ht="14.25" customHeight="1">
      <c r="A241" s="181" t="s">
        <v>285</v>
      </c>
      <c r="B241" s="185" t="s">
        <v>2489</v>
      </c>
      <c r="C241" s="185"/>
      <c r="D241" s="185"/>
      <c r="E241" s="185"/>
      <c r="F241" s="218">
        <v>1000</v>
      </c>
    </row>
    <row r="242" spans="1:6" s="207" customFormat="1" ht="14.25" customHeight="1">
      <c r="A242" s="181" t="s">
        <v>285</v>
      </c>
      <c r="B242" s="185" t="s">
        <v>2493</v>
      </c>
      <c r="C242" s="185"/>
      <c r="D242" s="185"/>
      <c r="E242" s="185"/>
      <c r="F242" s="218">
        <v>980</v>
      </c>
    </row>
    <row r="243" spans="1:6" s="207" customFormat="1" ht="14.25" customHeight="1">
      <c r="A243" s="181" t="s">
        <v>285</v>
      </c>
      <c r="B243" s="185" t="s">
        <v>2497</v>
      </c>
      <c r="C243" s="185"/>
      <c r="D243" s="185"/>
      <c r="E243" s="185"/>
      <c r="F243" s="218">
        <v>970</v>
      </c>
    </row>
    <row r="244" spans="1:6" s="207" customFormat="1" ht="14.25" customHeight="1">
      <c r="A244" s="181" t="s">
        <v>285</v>
      </c>
      <c r="B244" s="196" t="s">
        <v>2501</v>
      </c>
      <c r="C244" s="196"/>
      <c r="D244" s="196"/>
      <c r="E244" s="196"/>
      <c r="F244" s="220">
        <v>970</v>
      </c>
    </row>
    <row r="245" spans="1:6" s="207" customFormat="1" ht="14.25" customHeight="1">
      <c r="A245" s="181" t="s">
        <v>288</v>
      </c>
      <c r="B245" s="182" t="s">
        <v>2194</v>
      </c>
      <c r="C245" s="182">
        <v>4050</v>
      </c>
      <c r="D245" s="182">
        <v>4020</v>
      </c>
      <c r="E245" s="182">
        <v>4160</v>
      </c>
      <c r="F245" s="215">
        <v>840</v>
      </c>
    </row>
    <row r="246" spans="1:6" s="207" customFormat="1" ht="14.25" customHeight="1">
      <c r="A246" s="181" t="s">
        <v>288</v>
      </c>
      <c r="B246" s="185" t="s">
        <v>2206</v>
      </c>
      <c r="C246" s="185">
        <v>4010</v>
      </c>
      <c r="D246" s="185">
        <v>3960</v>
      </c>
      <c r="E246" s="185">
        <v>4130</v>
      </c>
      <c r="F246" s="218">
        <v>840</v>
      </c>
    </row>
    <row r="247" spans="1:6" s="207" customFormat="1" ht="14.25" customHeight="1">
      <c r="A247" s="181" t="s">
        <v>288</v>
      </c>
      <c r="B247" s="185" t="s">
        <v>2220</v>
      </c>
      <c r="C247" s="185">
        <v>3170</v>
      </c>
      <c r="D247" s="185">
        <v>3140</v>
      </c>
      <c r="E247" s="185">
        <v>3270</v>
      </c>
      <c r="F247" s="218">
        <v>640</v>
      </c>
    </row>
    <row r="248" spans="1:6" s="207" customFormat="1" ht="14.25" customHeight="1">
      <c r="A248" s="181" t="s">
        <v>288</v>
      </c>
      <c r="B248" s="185" t="s">
        <v>2232</v>
      </c>
      <c r="C248" s="185">
        <v>3140</v>
      </c>
      <c r="D248" s="185">
        <v>3120</v>
      </c>
      <c r="E248" s="185">
        <v>3240</v>
      </c>
      <c r="F248" s="218">
        <v>620</v>
      </c>
    </row>
    <row r="249" spans="1:6" s="207" customFormat="1" ht="14.25" customHeight="1">
      <c r="A249" s="181" t="s">
        <v>288</v>
      </c>
      <c r="B249" s="185" t="s">
        <v>2244</v>
      </c>
      <c r="C249" s="185">
        <v>3200</v>
      </c>
      <c r="D249" s="185">
        <v>3100</v>
      </c>
      <c r="E249" s="185">
        <v>3230</v>
      </c>
      <c r="F249" s="218">
        <v>750</v>
      </c>
    </row>
    <row r="250" spans="1:6" s="207" customFormat="1" ht="14.25" customHeight="1">
      <c r="A250" s="181" t="s">
        <v>288</v>
      </c>
      <c r="B250" s="185" t="s">
        <v>2255</v>
      </c>
      <c r="C250" s="185">
        <v>4060</v>
      </c>
      <c r="D250" s="185">
        <v>4000</v>
      </c>
      <c r="E250" s="185">
        <v>4140</v>
      </c>
      <c r="F250" s="218">
        <v>790</v>
      </c>
    </row>
    <row r="251" spans="1:6" s="207" customFormat="1" ht="14.25" customHeight="1">
      <c r="A251" s="181" t="s">
        <v>288</v>
      </c>
      <c r="B251" s="185" t="s">
        <v>2266</v>
      </c>
      <c r="C251" s="185">
        <v>3990</v>
      </c>
      <c r="D251" s="185">
        <v>3970</v>
      </c>
      <c r="E251" s="185">
        <v>4110</v>
      </c>
      <c r="F251" s="218">
        <v>730</v>
      </c>
    </row>
    <row r="252" spans="1:6" s="207" customFormat="1" ht="14.25" customHeight="1">
      <c r="A252" s="181" t="s">
        <v>288</v>
      </c>
      <c r="B252" s="185" t="s">
        <v>2277</v>
      </c>
      <c r="C252" s="185">
        <v>3560</v>
      </c>
      <c r="D252" s="185">
        <v>3530</v>
      </c>
      <c r="E252" s="185">
        <v>3650</v>
      </c>
      <c r="F252" s="218">
        <v>750</v>
      </c>
    </row>
    <row r="253" spans="1:6" s="207" customFormat="1" ht="14.25" customHeight="1">
      <c r="A253" s="181" t="s">
        <v>288</v>
      </c>
      <c r="B253" s="185" t="s">
        <v>2287</v>
      </c>
      <c r="C253" s="185">
        <v>3780</v>
      </c>
      <c r="D253" s="185">
        <v>3750</v>
      </c>
      <c r="E253" s="185">
        <v>3870</v>
      </c>
      <c r="F253" s="218">
        <v>770</v>
      </c>
    </row>
    <row r="254" spans="1:6" s="207" customFormat="1" ht="14.25" customHeight="1">
      <c r="A254" s="181" t="s">
        <v>288</v>
      </c>
      <c r="B254" s="185" t="s">
        <v>2297</v>
      </c>
      <c r="C254" s="224"/>
      <c r="D254" s="224"/>
      <c r="E254" s="224"/>
      <c r="F254" s="218">
        <v>740</v>
      </c>
    </row>
    <row r="255" spans="1:6" s="207" customFormat="1" ht="14.25" customHeight="1">
      <c r="A255" s="181" t="s">
        <v>288</v>
      </c>
      <c r="B255" s="185" t="s">
        <v>2307</v>
      </c>
      <c r="C255" s="224"/>
      <c r="D255" s="224"/>
      <c r="E255" s="224"/>
      <c r="F255" s="218">
        <v>760</v>
      </c>
    </row>
    <row r="256" spans="1:6" s="207" customFormat="1" ht="14.25" customHeight="1">
      <c r="A256" s="181" t="s">
        <v>288</v>
      </c>
      <c r="B256" s="185" t="s">
        <v>2317</v>
      </c>
      <c r="C256" s="185">
        <v>3760</v>
      </c>
      <c r="D256" s="185">
        <v>3730</v>
      </c>
      <c r="E256" s="185">
        <v>3870</v>
      </c>
      <c r="F256" s="218">
        <v>830</v>
      </c>
    </row>
    <row r="257" spans="1:6" s="207" customFormat="1" ht="14.25" customHeight="1">
      <c r="A257" s="181" t="s">
        <v>288</v>
      </c>
      <c r="B257" s="185" t="s">
        <v>2327</v>
      </c>
      <c r="C257" s="185">
        <v>3570</v>
      </c>
      <c r="D257" s="185">
        <v>3540</v>
      </c>
      <c r="E257" s="185">
        <v>3650</v>
      </c>
      <c r="F257" s="218">
        <v>790</v>
      </c>
    </row>
    <row r="258" spans="1:6" s="207" customFormat="1" ht="14.25" customHeight="1">
      <c r="A258" s="181" t="s">
        <v>288</v>
      </c>
      <c r="B258" s="185" t="s">
        <v>2337</v>
      </c>
      <c r="C258" s="185">
        <v>3410</v>
      </c>
      <c r="D258" s="185">
        <v>3380</v>
      </c>
      <c r="E258" s="185">
        <v>3500</v>
      </c>
      <c r="F258" s="218">
        <v>830</v>
      </c>
    </row>
    <row r="259" spans="1:6" s="207" customFormat="1" ht="14.25" customHeight="1">
      <c r="A259" s="181" t="s">
        <v>288</v>
      </c>
      <c r="B259" s="185" t="s">
        <v>2347</v>
      </c>
      <c r="C259" s="185">
        <v>3870</v>
      </c>
      <c r="D259" s="185">
        <v>3840</v>
      </c>
      <c r="E259" s="185">
        <v>3970</v>
      </c>
      <c r="F259" s="218">
        <v>830</v>
      </c>
    </row>
    <row r="260" spans="1:6" s="207" customFormat="1" ht="14.25" customHeight="1">
      <c r="A260" s="181" t="s">
        <v>288</v>
      </c>
      <c r="B260" s="185" t="s">
        <v>2357</v>
      </c>
      <c r="C260" s="185">
        <v>3700</v>
      </c>
      <c r="D260" s="185">
        <v>3660</v>
      </c>
      <c r="E260" s="185">
        <v>3810</v>
      </c>
      <c r="F260" s="218">
        <v>790</v>
      </c>
    </row>
    <row r="261" spans="1:6" s="207" customFormat="1" ht="14.25" customHeight="1">
      <c r="A261" s="181" t="s">
        <v>288</v>
      </c>
      <c r="B261" s="185" t="s">
        <v>2367</v>
      </c>
      <c r="C261" s="185">
        <v>3470</v>
      </c>
      <c r="D261" s="185">
        <v>3430</v>
      </c>
      <c r="E261" s="185">
        <v>3640</v>
      </c>
      <c r="F261" s="218">
        <v>760</v>
      </c>
    </row>
    <row r="262" spans="1:6" s="207" customFormat="1" ht="14.25" customHeight="1">
      <c r="A262" s="181" t="s">
        <v>288</v>
      </c>
      <c r="B262" s="185" t="s">
        <v>2377</v>
      </c>
      <c r="C262" s="185">
        <v>3510</v>
      </c>
      <c r="D262" s="185">
        <v>3470</v>
      </c>
      <c r="E262" s="185">
        <v>3680</v>
      </c>
      <c r="F262" s="221"/>
    </row>
    <row r="263" spans="1:6" s="207" customFormat="1" ht="14.25" customHeight="1">
      <c r="A263" s="181" t="s">
        <v>288</v>
      </c>
      <c r="B263" s="185" t="s">
        <v>2387</v>
      </c>
      <c r="C263" s="185">
        <v>3960</v>
      </c>
      <c r="D263" s="185">
        <v>3930</v>
      </c>
      <c r="E263" s="185">
        <v>4070</v>
      </c>
      <c r="F263" s="218">
        <v>830</v>
      </c>
    </row>
    <row r="264" spans="1:6" s="207" customFormat="1" ht="14.25" customHeight="1">
      <c r="A264" s="181" t="s">
        <v>288</v>
      </c>
      <c r="B264" s="185" t="s">
        <v>2396</v>
      </c>
      <c r="C264" s="185">
        <v>4010</v>
      </c>
      <c r="D264" s="185">
        <v>3980</v>
      </c>
      <c r="E264" s="185">
        <v>4150</v>
      </c>
      <c r="F264" s="218">
        <v>760</v>
      </c>
    </row>
    <row r="265" spans="1:6" s="207" customFormat="1" ht="14.25" customHeight="1">
      <c r="A265" s="181" t="s">
        <v>288</v>
      </c>
      <c r="B265" s="185" t="s">
        <v>2404</v>
      </c>
      <c r="C265" s="185">
        <v>3910</v>
      </c>
      <c r="D265" s="185">
        <v>3890</v>
      </c>
      <c r="E265" s="185">
        <v>4040</v>
      </c>
      <c r="F265" s="218">
        <v>780</v>
      </c>
    </row>
    <row r="266" spans="1:6" s="207" customFormat="1" ht="14.25" customHeight="1">
      <c r="A266" s="181" t="s">
        <v>288</v>
      </c>
      <c r="B266" s="185" t="s">
        <v>2412</v>
      </c>
      <c r="C266" s="185">
        <v>3930</v>
      </c>
      <c r="D266" s="185">
        <v>3900</v>
      </c>
      <c r="E266" s="185">
        <v>4080</v>
      </c>
      <c r="F266" s="218">
        <v>770</v>
      </c>
    </row>
    <row r="267" spans="1:6" s="207" customFormat="1" ht="14.25" customHeight="1">
      <c r="A267" s="181" t="s">
        <v>288</v>
      </c>
      <c r="B267" s="185" t="s">
        <v>2419</v>
      </c>
      <c r="C267" s="185">
        <v>3800</v>
      </c>
      <c r="D267" s="185">
        <v>3780</v>
      </c>
      <c r="E267" s="185">
        <v>3930</v>
      </c>
      <c r="F267" s="221"/>
    </row>
    <row r="268" spans="1:6" s="207" customFormat="1" ht="14.25" customHeight="1">
      <c r="A268" s="181" t="s">
        <v>288</v>
      </c>
      <c r="B268" s="185" t="s">
        <v>2426</v>
      </c>
      <c r="C268" s="185">
        <v>3460</v>
      </c>
      <c r="D268" s="185">
        <v>3430</v>
      </c>
      <c r="E268" s="185">
        <v>3560</v>
      </c>
      <c r="F268" s="218">
        <v>840</v>
      </c>
    </row>
    <row r="269" spans="1:6" s="207" customFormat="1" ht="14.25" customHeight="1">
      <c r="A269" s="181" t="s">
        <v>288</v>
      </c>
      <c r="B269" s="185" t="s">
        <v>2433</v>
      </c>
      <c r="C269" s="185">
        <v>3210</v>
      </c>
      <c r="D269" s="185">
        <v>3190</v>
      </c>
      <c r="E269" s="185">
        <v>3310</v>
      </c>
      <c r="F269" s="218">
        <v>730</v>
      </c>
    </row>
    <row r="270" spans="1:6" s="207" customFormat="1" ht="14.25" customHeight="1">
      <c r="A270" s="181" t="s">
        <v>288</v>
      </c>
      <c r="B270" s="185" t="s">
        <v>2440</v>
      </c>
      <c r="C270" s="185">
        <v>3240</v>
      </c>
      <c r="D270" s="185">
        <v>3210</v>
      </c>
      <c r="E270" s="185">
        <v>3390</v>
      </c>
      <c r="F270" s="218">
        <v>820</v>
      </c>
    </row>
    <row r="271" spans="1:6" s="207" customFormat="1" ht="14.25" customHeight="1">
      <c r="A271" s="181" t="s">
        <v>288</v>
      </c>
      <c r="B271" s="185" t="s">
        <v>2447</v>
      </c>
      <c r="C271" s="185">
        <v>3300</v>
      </c>
      <c r="D271" s="185">
        <v>3270</v>
      </c>
      <c r="E271" s="185">
        <v>3380</v>
      </c>
      <c r="F271" s="218">
        <v>750</v>
      </c>
    </row>
    <row r="272" spans="1:6" s="207" customFormat="1" ht="14.25" customHeight="1">
      <c r="A272" s="181" t="s">
        <v>288</v>
      </c>
      <c r="B272" s="185" t="s">
        <v>2452</v>
      </c>
      <c r="C272" s="224"/>
      <c r="D272" s="224"/>
      <c r="E272" s="224"/>
      <c r="F272" s="218">
        <v>740</v>
      </c>
    </row>
    <row r="273" spans="1:6" s="207" customFormat="1" ht="14.25" customHeight="1">
      <c r="A273" s="181" t="s">
        <v>288</v>
      </c>
      <c r="B273" s="185" t="s">
        <v>2457</v>
      </c>
      <c r="C273" s="185">
        <v>3130</v>
      </c>
      <c r="D273" s="185">
        <v>3100</v>
      </c>
      <c r="E273" s="185">
        <v>3230</v>
      </c>
      <c r="F273" s="218">
        <v>700</v>
      </c>
    </row>
    <row r="274" spans="1:6" s="207" customFormat="1" ht="14.25" customHeight="1">
      <c r="A274" s="181" t="s">
        <v>288</v>
      </c>
      <c r="B274" s="185" t="s">
        <v>2462</v>
      </c>
      <c r="C274" s="185">
        <v>3460</v>
      </c>
      <c r="D274" s="185">
        <v>3430</v>
      </c>
      <c r="E274" s="185">
        <v>3560</v>
      </c>
      <c r="F274" s="218">
        <v>690</v>
      </c>
    </row>
    <row r="275" spans="1:6" s="207" customFormat="1" ht="14.25" customHeight="1">
      <c r="A275" s="181" t="s">
        <v>288</v>
      </c>
      <c r="B275" s="185" t="s">
        <v>2467</v>
      </c>
      <c r="C275" s="185">
        <v>4040</v>
      </c>
      <c r="D275" s="185">
        <v>4020</v>
      </c>
      <c r="E275" s="185">
        <v>4160</v>
      </c>
      <c r="F275" s="218">
        <v>820</v>
      </c>
    </row>
    <row r="276" spans="1:6" s="207" customFormat="1" ht="14.25" customHeight="1">
      <c r="A276" s="181" t="s">
        <v>288</v>
      </c>
      <c r="B276" s="185" t="s">
        <v>2472</v>
      </c>
      <c r="C276" s="185">
        <v>3270</v>
      </c>
      <c r="D276" s="185">
        <v>3240</v>
      </c>
      <c r="E276" s="185">
        <v>3350</v>
      </c>
      <c r="F276" s="218">
        <v>680</v>
      </c>
    </row>
    <row r="277" spans="1:6" s="207" customFormat="1" ht="14.25" customHeight="1">
      <c r="A277" s="181" t="s">
        <v>288</v>
      </c>
      <c r="B277" s="185" t="s">
        <v>2477</v>
      </c>
      <c r="C277" s="185">
        <v>2930</v>
      </c>
      <c r="D277" s="185">
        <v>2900</v>
      </c>
      <c r="E277" s="185">
        <v>3000</v>
      </c>
      <c r="F277" s="218">
        <v>640</v>
      </c>
    </row>
    <row r="278" spans="1:6" s="207" customFormat="1" ht="14.25" customHeight="1">
      <c r="A278" s="181" t="s">
        <v>288</v>
      </c>
      <c r="B278" s="185" t="s">
        <v>2482</v>
      </c>
      <c r="C278" s="185">
        <v>4080</v>
      </c>
      <c r="D278" s="185">
        <v>4030</v>
      </c>
      <c r="E278" s="185">
        <v>4140</v>
      </c>
      <c r="F278" s="218">
        <v>850</v>
      </c>
    </row>
    <row r="279" spans="1:6" s="207" customFormat="1" ht="14.25" customHeight="1">
      <c r="A279" s="181" t="s">
        <v>288</v>
      </c>
      <c r="B279" s="185" t="s">
        <v>2486</v>
      </c>
      <c r="C279" s="185"/>
      <c r="D279" s="185"/>
      <c r="E279" s="185"/>
      <c r="F279" s="218">
        <v>760</v>
      </c>
    </row>
    <row r="280" spans="1:6" s="207" customFormat="1" ht="14.25" customHeight="1">
      <c r="A280" s="181" t="s">
        <v>288</v>
      </c>
      <c r="B280" s="185" t="s">
        <v>2490</v>
      </c>
      <c r="C280" s="185"/>
      <c r="D280" s="185"/>
      <c r="E280" s="185"/>
      <c r="F280" s="218">
        <v>760</v>
      </c>
    </row>
    <row r="281" spans="1:6" s="207" customFormat="1" ht="14.25" customHeight="1">
      <c r="A281" s="181" t="s">
        <v>288</v>
      </c>
      <c r="B281" s="185" t="s">
        <v>2494</v>
      </c>
      <c r="C281" s="185"/>
      <c r="D281" s="185"/>
      <c r="E281" s="185"/>
      <c r="F281" s="218">
        <v>780</v>
      </c>
    </row>
    <row r="282" spans="1:6" s="207" customFormat="1" ht="14.25" customHeight="1">
      <c r="A282" s="181" t="s">
        <v>288</v>
      </c>
      <c r="B282" s="185" t="s">
        <v>2498</v>
      </c>
      <c r="C282" s="185"/>
      <c r="D282" s="185"/>
      <c r="E282" s="185"/>
      <c r="F282" s="218">
        <v>730</v>
      </c>
    </row>
    <row r="283" spans="1:6" s="207" customFormat="1" ht="14.25" customHeight="1">
      <c r="A283" s="181" t="s">
        <v>288</v>
      </c>
      <c r="B283" s="185" t="s">
        <v>2502</v>
      </c>
      <c r="C283" s="185"/>
      <c r="D283" s="185"/>
      <c r="E283" s="185"/>
      <c r="F283" s="218">
        <v>770</v>
      </c>
    </row>
    <row r="284" spans="1:6" s="207" customFormat="1" ht="14.25" customHeight="1">
      <c r="A284" s="181" t="s">
        <v>288</v>
      </c>
      <c r="B284" s="185" t="s">
        <v>2505</v>
      </c>
      <c r="C284" s="185"/>
      <c r="D284" s="185"/>
      <c r="E284" s="185"/>
      <c r="F284" s="218">
        <v>640</v>
      </c>
    </row>
    <row r="285" spans="1:6" s="207" customFormat="1" ht="14.25" customHeight="1">
      <c r="A285" s="181" t="s">
        <v>288</v>
      </c>
      <c r="B285" s="185" t="s">
        <v>2508</v>
      </c>
      <c r="C285" s="185"/>
      <c r="D285" s="185"/>
      <c r="E285" s="185"/>
      <c r="F285" s="218">
        <v>640</v>
      </c>
    </row>
    <row r="286" spans="1:6" s="207" customFormat="1" ht="14.25" customHeight="1">
      <c r="A286" s="181" t="s">
        <v>288</v>
      </c>
      <c r="B286" s="185" t="s">
        <v>2511</v>
      </c>
      <c r="C286" s="185"/>
      <c r="D286" s="185"/>
      <c r="E286" s="185"/>
      <c r="F286" s="218">
        <v>850</v>
      </c>
    </row>
    <row r="287" spans="1:6" s="207" customFormat="1" ht="14.25" customHeight="1">
      <c r="A287" s="181" t="s">
        <v>288</v>
      </c>
      <c r="B287" s="185" t="s">
        <v>2514</v>
      </c>
      <c r="C287" s="185"/>
      <c r="D287" s="185"/>
      <c r="E287" s="185"/>
      <c r="F287" s="218">
        <v>760</v>
      </c>
    </row>
    <row r="288" spans="1:6" s="207" customFormat="1" ht="14.25" customHeight="1">
      <c r="A288" s="181" t="s">
        <v>288</v>
      </c>
      <c r="B288" s="185" t="s">
        <v>2517</v>
      </c>
      <c r="C288" s="185"/>
      <c r="D288" s="185"/>
      <c r="E288" s="185"/>
      <c r="F288" s="218">
        <v>830</v>
      </c>
    </row>
    <row r="289" spans="1:6" s="207" customFormat="1" ht="14.25" customHeight="1">
      <c r="A289" s="181" t="s">
        <v>288</v>
      </c>
      <c r="B289" s="196" t="s">
        <v>2520</v>
      </c>
      <c r="C289" s="196"/>
      <c r="D289" s="196"/>
      <c r="E289" s="196"/>
      <c r="F289" s="220">
        <v>680</v>
      </c>
    </row>
    <row r="290" spans="1:6" s="207" customFormat="1" ht="14.25" customHeight="1">
      <c r="A290" s="181" t="s">
        <v>291</v>
      </c>
      <c r="B290" s="182" t="s">
        <v>2195</v>
      </c>
      <c r="C290" s="182">
        <v>2770</v>
      </c>
      <c r="D290" s="182">
        <v>2740</v>
      </c>
      <c r="E290" s="182">
        <v>2720</v>
      </c>
      <c r="F290" s="225"/>
    </row>
    <row r="291" spans="1:6" s="207" customFormat="1" ht="14.25" customHeight="1">
      <c r="A291" s="181" t="s">
        <v>291</v>
      </c>
      <c r="B291" s="185" t="s">
        <v>2207</v>
      </c>
      <c r="C291" s="185">
        <v>2670</v>
      </c>
      <c r="D291" s="185">
        <v>2640</v>
      </c>
      <c r="E291" s="185">
        <v>2620</v>
      </c>
      <c r="F291" s="221"/>
    </row>
    <row r="292" spans="1:6" s="207" customFormat="1" ht="14.25" customHeight="1">
      <c r="A292" s="181" t="s">
        <v>291</v>
      </c>
      <c r="B292" s="185" t="s">
        <v>2221</v>
      </c>
      <c r="C292" s="185">
        <v>2180</v>
      </c>
      <c r="D292" s="185">
        <v>2140</v>
      </c>
      <c r="E292" s="185">
        <v>2120</v>
      </c>
      <c r="F292" s="218">
        <v>490</v>
      </c>
    </row>
    <row r="293" spans="1:6" s="207" customFormat="1" ht="14.25" customHeight="1">
      <c r="A293" s="181" t="s">
        <v>291</v>
      </c>
      <c r="B293" s="185" t="s">
        <v>2527</v>
      </c>
      <c r="C293" s="185"/>
      <c r="D293" s="185"/>
      <c r="E293" s="185"/>
      <c r="F293" s="218">
        <v>470</v>
      </c>
    </row>
    <row r="294" spans="1:6" s="207" customFormat="1" ht="14.25" customHeight="1">
      <c r="A294" s="181" t="s">
        <v>291</v>
      </c>
      <c r="B294" s="185" t="s">
        <v>2233</v>
      </c>
      <c r="C294" s="185">
        <v>2730</v>
      </c>
      <c r="D294" s="185">
        <v>2700</v>
      </c>
      <c r="E294" s="185">
        <v>2680</v>
      </c>
      <c r="F294" s="218">
        <v>490</v>
      </c>
    </row>
    <row r="295" spans="1:6" s="207" customFormat="1" ht="14.25" customHeight="1">
      <c r="A295" s="181" t="s">
        <v>291</v>
      </c>
      <c r="B295" s="185" t="s">
        <v>2245</v>
      </c>
      <c r="C295" s="185">
        <v>2380</v>
      </c>
      <c r="D295" s="185">
        <v>2350</v>
      </c>
      <c r="E295" s="185">
        <v>2330</v>
      </c>
      <c r="F295" s="218">
        <v>530</v>
      </c>
    </row>
    <row r="296" spans="1:6" s="207" customFormat="1" ht="14.25" customHeight="1">
      <c r="A296" s="181" t="s">
        <v>291</v>
      </c>
      <c r="B296" s="185" t="s">
        <v>2256</v>
      </c>
      <c r="C296" s="185">
        <v>2650</v>
      </c>
      <c r="D296" s="185">
        <v>2620</v>
      </c>
      <c r="E296" s="185">
        <v>2590</v>
      </c>
      <c r="F296" s="218">
        <v>590</v>
      </c>
    </row>
    <row r="297" spans="1:6" s="207" customFormat="1" ht="14.25" customHeight="1">
      <c r="A297" s="181" t="s">
        <v>291</v>
      </c>
      <c r="B297" s="185" t="s">
        <v>2267</v>
      </c>
      <c r="C297" s="185">
        <v>2700</v>
      </c>
      <c r="D297" s="185">
        <v>2670</v>
      </c>
      <c r="E297" s="185">
        <v>2650</v>
      </c>
      <c r="F297" s="218">
        <v>630</v>
      </c>
    </row>
    <row r="298" spans="1:6" s="207" customFormat="1" ht="14.25" customHeight="1">
      <c r="A298" s="181" t="s">
        <v>291</v>
      </c>
      <c r="B298" s="185" t="s">
        <v>2278</v>
      </c>
      <c r="C298" s="185">
        <v>2650</v>
      </c>
      <c r="D298" s="185">
        <v>2620</v>
      </c>
      <c r="E298" s="185">
        <v>2590</v>
      </c>
      <c r="F298" s="218">
        <v>640</v>
      </c>
    </row>
    <row r="299" spans="1:6" s="207" customFormat="1" ht="14.25" customHeight="1">
      <c r="A299" s="181" t="s">
        <v>291</v>
      </c>
      <c r="B299" s="185" t="s">
        <v>2288</v>
      </c>
      <c r="C299" s="185">
        <v>2500</v>
      </c>
      <c r="D299" s="185">
        <v>2480</v>
      </c>
      <c r="E299" s="185">
        <v>2460</v>
      </c>
      <c r="F299" s="221"/>
    </row>
    <row r="300" spans="1:6" s="207" customFormat="1" ht="14.25" customHeight="1">
      <c r="A300" s="181" t="s">
        <v>291</v>
      </c>
      <c r="B300" s="185" t="s">
        <v>2298</v>
      </c>
      <c r="C300" s="185">
        <v>2760</v>
      </c>
      <c r="D300" s="185">
        <v>2730</v>
      </c>
      <c r="E300" s="185">
        <v>2700</v>
      </c>
      <c r="F300" s="218">
        <v>630</v>
      </c>
    </row>
    <row r="301" spans="1:6" s="207" customFormat="1" ht="14.25" customHeight="1">
      <c r="A301" s="181" t="s">
        <v>291</v>
      </c>
      <c r="B301" s="185" t="s">
        <v>2308</v>
      </c>
      <c r="C301" s="185">
        <v>2510</v>
      </c>
      <c r="D301" s="185">
        <v>2480</v>
      </c>
      <c r="E301" s="185">
        <v>2460</v>
      </c>
      <c r="F301" s="221"/>
    </row>
    <row r="302" spans="1:6" s="207" customFormat="1" ht="14.25" customHeight="1">
      <c r="A302" s="181" t="s">
        <v>291</v>
      </c>
      <c r="B302" s="185" t="s">
        <v>2318</v>
      </c>
      <c r="C302" s="185">
        <v>2480</v>
      </c>
      <c r="D302" s="185">
        <v>2450</v>
      </c>
      <c r="E302" s="185">
        <v>2420</v>
      </c>
      <c r="F302" s="218">
        <v>600</v>
      </c>
    </row>
    <row r="303" spans="1:6" s="207" customFormat="1" ht="14.25" customHeight="1">
      <c r="A303" s="181" t="s">
        <v>291</v>
      </c>
      <c r="B303" s="185" t="s">
        <v>2328</v>
      </c>
      <c r="C303" s="185">
        <v>2270</v>
      </c>
      <c r="D303" s="185">
        <v>2240</v>
      </c>
      <c r="E303" s="185">
        <v>2210</v>
      </c>
      <c r="F303" s="218">
        <v>540</v>
      </c>
    </row>
    <row r="304" spans="1:6" s="207" customFormat="1" ht="14.25" customHeight="1">
      <c r="A304" s="181" t="s">
        <v>291</v>
      </c>
      <c r="B304" s="185" t="s">
        <v>2338</v>
      </c>
      <c r="C304" s="185">
        <v>2310</v>
      </c>
      <c r="D304" s="185">
        <v>2290</v>
      </c>
      <c r="E304" s="185">
        <v>2270</v>
      </c>
      <c r="F304" s="221"/>
    </row>
    <row r="305" spans="1:6" s="207" customFormat="1" ht="14.25" customHeight="1">
      <c r="A305" s="181" t="s">
        <v>291</v>
      </c>
      <c r="B305" s="185" t="s">
        <v>2348</v>
      </c>
      <c r="C305" s="185">
        <v>2490</v>
      </c>
      <c r="D305" s="185">
        <v>2470</v>
      </c>
      <c r="E305" s="185">
        <v>2440</v>
      </c>
      <c r="F305" s="218">
        <v>560</v>
      </c>
    </row>
    <row r="306" spans="1:6" s="207" customFormat="1" ht="14.25" customHeight="1">
      <c r="A306" s="181" t="s">
        <v>291</v>
      </c>
      <c r="B306" s="185" t="s">
        <v>2358</v>
      </c>
      <c r="C306" s="185">
        <v>2420</v>
      </c>
      <c r="D306" s="185">
        <v>2400</v>
      </c>
      <c r="E306" s="185">
        <v>2380</v>
      </c>
      <c r="F306" s="221"/>
    </row>
    <row r="307" spans="1:6" s="207" customFormat="1" ht="14.25" customHeight="1">
      <c r="A307" s="181" t="s">
        <v>291</v>
      </c>
      <c r="B307" s="185" t="s">
        <v>2368</v>
      </c>
      <c r="C307" s="185">
        <v>2770</v>
      </c>
      <c r="D307" s="185">
        <v>2740</v>
      </c>
      <c r="E307" s="185">
        <v>2710</v>
      </c>
      <c r="F307" s="218">
        <v>650</v>
      </c>
    </row>
    <row r="308" spans="1:6" s="207" customFormat="1" ht="14.25" customHeight="1">
      <c r="A308" s="181" t="s">
        <v>291</v>
      </c>
      <c r="B308" s="185" t="s">
        <v>2378</v>
      </c>
      <c r="C308" s="185">
        <v>2610</v>
      </c>
      <c r="D308" s="185">
        <v>2580</v>
      </c>
      <c r="E308" s="185">
        <v>2550</v>
      </c>
      <c r="F308" s="218">
        <v>580</v>
      </c>
    </row>
    <row r="309" spans="1:6" s="207" customFormat="1" ht="14.25" customHeight="1">
      <c r="A309" s="181" t="s">
        <v>291</v>
      </c>
      <c r="B309" s="185" t="s">
        <v>2388</v>
      </c>
      <c r="C309" s="185">
        <v>2690</v>
      </c>
      <c r="D309" s="185">
        <v>2670</v>
      </c>
      <c r="E309" s="185">
        <v>2650</v>
      </c>
      <c r="F309" s="221"/>
    </row>
    <row r="310" spans="1:6" s="207" customFormat="1" ht="14.25" customHeight="1">
      <c r="A310" s="181" t="s">
        <v>291</v>
      </c>
      <c r="B310" s="185" t="s">
        <v>2397</v>
      </c>
      <c r="C310" s="185">
        <v>2360</v>
      </c>
      <c r="D310" s="185">
        <v>2330</v>
      </c>
      <c r="E310" s="185">
        <v>2310</v>
      </c>
      <c r="F310" s="218">
        <v>560</v>
      </c>
    </row>
    <row r="311" spans="1:6" s="207" customFormat="1" ht="14.25" customHeight="1">
      <c r="A311" s="181" t="s">
        <v>291</v>
      </c>
      <c r="B311" s="185" t="s">
        <v>2405</v>
      </c>
      <c r="C311" s="185">
        <v>1970</v>
      </c>
      <c r="D311" s="185">
        <v>1950</v>
      </c>
      <c r="E311" s="185">
        <v>1920</v>
      </c>
      <c r="F311" s="218">
        <v>470</v>
      </c>
    </row>
    <row r="312" spans="1:6" s="207" customFormat="1" ht="14.25" customHeight="1">
      <c r="A312" s="181" t="s">
        <v>291</v>
      </c>
      <c r="B312" s="185" t="s">
        <v>2413</v>
      </c>
      <c r="C312" s="185">
        <v>2230</v>
      </c>
      <c r="D312" s="185">
        <v>2200</v>
      </c>
      <c r="E312" s="185">
        <v>2170</v>
      </c>
      <c r="F312" s="218">
        <v>460</v>
      </c>
    </row>
    <row r="313" spans="1:6" s="207" customFormat="1" ht="14.25" customHeight="1">
      <c r="A313" s="181" t="s">
        <v>291</v>
      </c>
      <c r="B313" s="185" t="s">
        <v>2420</v>
      </c>
      <c r="C313" s="185">
        <v>2770</v>
      </c>
      <c r="D313" s="185">
        <v>2740</v>
      </c>
      <c r="E313" s="185">
        <v>2710</v>
      </c>
      <c r="F313" s="218">
        <v>610</v>
      </c>
    </row>
    <row r="314" spans="1:6" s="207" customFormat="1" ht="14.25" customHeight="1">
      <c r="A314" s="181" t="s">
        <v>291</v>
      </c>
      <c r="B314" s="185" t="s">
        <v>2427</v>
      </c>
      <c r="C314" s="185"/>
      <c r="D314" s="185"/>
      <c r="E314" s="185"/>
      <c r="F314" s="218">
        <v>490</v>
      </c>
    </row>
    <row r="315" spans="1:6" s="207" customFormat="1" ht="14.25" customHeight="1">
      <c r="A315" s="181" t="s">
        <v>291</v>
      </c>
      <c r="B315" s="185" t="s">
        <v>2434</v>
      </c>
      <c r="C315" s="185"/>
      <c r="D315" s="185"/>
      <c r="E315" s="185"/>
      <c r="F315" s="218">
        <v>520</v>
      </c>
    </row>
    <row r="316" spans="1:6" s="207" customFormat="1" ht="14.25" customHeight="1">
      <c r="A316" s="181" t="s">
        <v>291</v>
      </c>
      <c r="B316" s="196" t="s">
        <v>2441</v>
      </c>
      <c r="C316" s="196"/>
      <c r="D316" s="196"/>
      <c r="E316" s="196"/>
      <c r="F316" s="220">
        <v>460</v>
      </c>
    </row>
    <row r="317" spans="1:6" s="207" customFormat="1" ht="14.25" customHeight="1">
      <c r="A317" s="181" t="s">
        <v>294</v>
      </c>
      <c r="B317" s="182" t="s">
        <v>2196</v>
      </c>
      <c r="C317" s="182">
        <v>1200</v>
      </c>
      <c r="D317" s="182">
        <v>1180</v>
      </c>
      <c r="E317" s="182">
        <v>1160</v>
      </c>
      <c r="F317" s="215">
        <v>370</v>
      </c>
    </row>
    <row r="318" spans="1:6" s="207" customFormat="1" ht="14.25" customHeight="1">
      <c r="A318" s="181" t="s">
        <v>294</v>
      </c>
      <c r="B318" s="185" t="s">
        <v>2208</v>
      </c>
      <c r="C318" s="185">
        <v>1090</v>
      </c>
      <c r="D318" s="185">
        <v>1060</v>
      </c>
      <c r="E318" s="185">
        <v>1040</v>
      </c>
      <c r="F318" s="221"/>
    </row>
    <row r="319" spans="1:6" s="207" customFormat="1" ht="14.25" customHeight="1">
      <c r="A319" s="181" t="s">
        <v>294</v>
      </c>
      <c r="B319" s="185" t="s">
        <v>2222</v>
      </c>
      <c r="C319" s="185">
        <v>1520</v>
      </c>
      <c r="D319" s="185">
        <v>1470</v>
      </c>
      <c r="E319" s="185">
        <v>1440</v>
      </c>
      <c r="F319" s="218">
        <v>370</v>
      </c>
    </row>
    <row r="320" spans="1:6" s="207" customFormat="1" ht="14.25" customHeight="1">
      <c r="A320" s="181" t="s">
        <v>294</v>
      </c>
      <c r="B320" s="185" t="s">
        <v>2234</v>
      </c>
      <c r="C320" s="185">
        <v>1360</v>
      </c>
      <c r="D320" s="185">
        <v>1300</v>
      </c>
      <c r="E320" s="185">
        <v>1270</v>
      </c>
      <c r="F320" s="221"/>
    </row>
    <row r="321" spans="1:6" s="207" customFormat="1" ht="14.25" customHeight="1">
      <c r="A321" s="181" t="s">
        <v>294</v>
      </c>
      <c r="B321" s="185" t="s">
        <v>2246</v>
      </c>
      <c r="C321" s="185">
        <v>1750</v>
      </c>
      <c r="D321" s="185">
        <v>1690</v>
      </c>
      <c r="E321" s="185">
        <v>1660</v>
      </c>
      <c r="F321" s="221"/>
    </row>
    <row r="322" spans="1:6" s="207" customFormat="1" ht="14.25" customHeight="1">
      <c r="A322" s="181" t="s">
        <v>294</v>
      </c>
      <c r="B322" s="185" t="s">
        <v>2257</v>
      </c>
      <c r="C322" s="185">
        <v>1650</v>
      </c>
      <c r="D322" s="185">
        <v>1610</v>
      </c>
      <c r="E322" s="185">
        <v>1580</v>
      </c>
      <c r="F322" s="218">
        <v>500</v>
      </c>
    </row>
    <row r="323" spans="1:6" s="207" customFormat="1" ht="14.25" customHeight="1">
      <c r="A323" s="181" t="s">
        <v>294</v>
      </c>
      <c r="B323" s="185" t="s">
        <v>2268</v>
      </c>
      <c r="C323" s="185">
        <v>1780</v>
      </c>
      <c r="D323" s="185">
        <v>1740</v>
      </c>
      <c r="E323" s="185">
        <v>1720</v>
      </c>
      <c r="F323" s="221"/>
    </row>
    <row r="324" spans="1:6" s="207" customFormat="1" ht="14.25" customHeight="1">
      <c r="A324" s="181" t="s">
        <v>294</v>
      </c>
      <c r="B324" s="185" t="s">
        <v>2279</v>
      </c>
      <c r="C324" s="185">
        <v>1650</v>
      </c>
      <c r="D324" s="185">
        <v>1610</v>
      </c>
      <c r="E324" s="185">
        <v>1580</v>
      </c>
      <c r="F324" s="221"/>
    </row>
    <row r="325" spans="1:6" s="207" customFormat="1" ht="14.25" customHeight="1">
      <c r="A325" s="181" t="s">
        <v>294</v>
      </c>
      <c r="B325" s="185" t="s">
        <v>2289</v>
      </c>
      <c r="C325" s="185">
        <v>1330</v>
      </c>
      <c r="D325" s="185">
        <v>1270</v>
      </c>
      <c r="E325" s="185">
        <v>1240</v>
      </c>
      <c r="F325" s="218">
        <v>430</v>
      </c>
    </row>
    <row r="326" spans="1:6" s="207" customFormat="1" ht="14.25" customHeight="1">
      <c r="A326" s="181" t="s">
        <v>294</v>
      </c>
      <c r="B326" s="185" t="s">
        <v>2299</v>
      </c>
      <c r="C326" s="185">
        <v>1470</v>
      </c>
      <c r="D326" s="185">
        <v>1430</v>
      </c>
      <c r="E326" s="185">
        <v>1400</v>
      </c>
      <c r="F326" s="221"/>
    </row>
    <row r="327" spans="1:6" s="207" customFormat="1" ht="14.25" customHeight="1">
      <c r="A327" s="181" t="s">
        <v>294</v>
      </c>
      <c r="B327" s="185" t="s">
        <v>2309</v>
      </c>
      <c r="C327" s="185">
        <v>1420</v>
      </c>
      <c r="D327" s="185">
        <v>1380</v>
      </c>
      <c r="E327" s="185">
        <v>1360</v>
      </c>
      <c r="F327" s="218">
        <v>420</v>
      </c>
    </row>
    <row r="328" spans="1:6" s="207" customFormat="1" ht="14.25" customHeight="1">
      <c r="A328" s="181" t="s">
        <v>294</v>
      </c>
      <c r="B328" s="185" t="s">
        <v>2319</v>
      </c>
      <c r="C328" s="185">
        <v>1400</v>
      </c>
      <c r="D328" s="185">
        <v>1360</v>
      </c>
      <c r="E328" s="185">
        <v>1330</v>
      </c>
      <c r="F328" s="218">
        <v>460</v>
      </c>
    </row>
    <row r="329" spans="1:6" s="207" customFormat="1" ht="14.25" customHeight="1">
      <c r="A329" s="181" t="s">
        <v>294</v>
      </c>
      <c r="B329" s="185" t="s">
        <v>2329</v>
      </c>
      <c r="C329" s="185">
        <v>1640</v>
      </c>
      <c r="D329" s="185">
        <v>1610</v>
      </c>
      <c r="E329" s="185">
        <v>1580</v>
      </c>
      <c r="F329" s="218">
        <v>410</v>
      </c>
    </row>
    <row r="330" spans="1:6" s="207" customFormat="1" ht="14.25" customHeight="1">
      <c r="A330" s="181" t="s">
        <v>294</v>
      </c>
      <c r="B330" s="185" t="s">
        <v>2339</v>
      </c>
      <c r="C330" s="185">
        <v>1260</v>
      </c>
      <c r="D330" s="185">
        <v>1220</v>
      </c>
      <c r="E330" s="185">
        <v>1200</v>
      </c>
      <c r="F330" s="221"/>
    </row>
    <row r="331" spans="1:6" s="207" customFormat="1" ht="14.25" customHeight="1">
      <c r="A331" s="181" t="s">
        <v>294</v>
      </c>
      <c r="B331" s="185" t="s">
        <v>2349</v>
      </c>
      <c r="C331" s="185">
        <v>1620</v>
      </c>
      <c r="D331" s="185">
        <v>1560</v>
      </c>
      <c r="E331" s="185">
        <v>1530</v>
      </c>
      <c r="F331" s="218">
        <v>490</v>
      </c>
    </row>
    <row r="332" spans="1:6" s="207" customFormat="1" ht="14.25" customHeight="1">
      <c r="A332" s="181" t="s">
        <v>294</v>
      </c>
      <c r="B332" s="185" t="s">
        <v>2359</v>
      </c>
      <c r="C332" s="185">
        <v>1520</v>
      </c>
      <c r="D332" s="185">
        <v>1470</v>
      </c>
      <c r="E332" s="185">
        <v>1440</v>
      </c>
      <c r="F332" s="218">
        <v>440</v>
      </c>
    </row>
    <row r="333" spans="1:6" s="207" customFormat="1" ht="14.25" customHeight="1">
      <c r="A333" s="181" t="s">
        <v>294</v>
      </c>
      <c r="B333" s="185" t="s">
        <v>2369</v>
      </c>
      <c r="C333" s="185">
        <v>1370</v>
      </c>
      <c r="D333" s="185">
        <v>1320</v>
      </c>
      <c r="E333" s="185">
        <v>1300</v>
      </c>
      <c r="F333" s="218">
        <v>460</v>
      </c>
    </row>
    <row r="334" spans="1:6" s="207" customFormat="1" ht="14.25" customHeight="1">
      <c r="A334" s="181" t="s">
        <v>294</v>
      </c>
      <c r="B334" s="185" t="s">
        <v>2379</v>
      </c>
      <c r="C334" s="185">
        <v>1410</v>
      </c>
      <c r="D334" s="185">
        <v>1340</v>
      </c>
      <c r="E334" s="185">
        <v>1310</v>
      </c>
      <c r="F334" s="218">
        <v>410</v>
      </c>
    </row>
    <row r="335" spans="1:6" s="207" customFormat="1" ht="14.25" customHeight="1">
      <c r="A335" s="181" t="s">
        <v>294</v>
      </c>
      <c r="B335" s="185" t="s">
        <v>2389</v>
      </c>
      <c r="C335" s="185">
        <v>1260</v>
      </c>
      <c r="D335" s="185">
        <v>1220</v>
      </c>
      <c r="E335" s="185">
        <v>1200</v>
      </c>
      <c r="F335" s="221"/>
    </row>
    <row r="336" spans="1:6" s="207" customFormat="1" ht="14.25" customHeight="1">
      <c r="A336" s="181" t="s">
        <v>294</v>
      </c>
      <c r="B336" s="185" t="s">
        <v>2398</v>
      </c>
      <c r="C336" s="185">
        <v>1160</v>
      </c>
      <c r="D336" s="185">
        <v>1140</v>
      </c>
      <c r="E336" s="185">
        <v>1120</v>
      </c>
      <c r="F336" s="218">
        <v>430</v>
      </c>
    </row>
    <row r="337" spans="1:6" s="207" customFormat="1" ht="14.25" customHeight="1">
      <c r="A337" s="181" t="s">
        <v>294</v>
      </c>
      <c r="B337" s="196" t="s">
        <v>2406</v>
      </c>
      <c r="C337" s="196"/>
      <c r="D337" s="196"/>
      <c r="E337" s="196"/>
      <c r="F337" s="220">
        <v>380</v>
      </c>
    </row>
    <row r="338" spans="1:6" s="207" customFormat="1" ht="14.25" customHeight="1">
      <c r="A338" s="181" t="s">
        <v>297</v>
      </c>
      <c r="B338" s="182" t="s">
        <v>2197</v>
      </c>
      <c r="C338" s="182">
        <v>880</v>
      </c>
      <c r="D338" s="182">
        <v>850</v>
      </c>
      <c r="E338" s="182">
        <v>830</v>
      </c>
      <c r="F338" s="225"/>
    </row>
    <row r="339" spans="1:6" s="207" customFormat="1" ht="14.25" customHeight="1">
      <c r="A339" s="181" t="s">
        <v>297</v>
      </c>
      <c r="B339" s="185" t="s">
        <v>2209</v>
      </c>
      <c r="C339" s="185">
        <v>830</v>
      </c>
      <c r="D339" s="185">
        <v>800</v>
      </c>
      <c r="E339" s="185">
        <v>780</v>
      </c>
      <c r="F339" s="221"/>
    </row>
    <row r="340" spans="1:6" s="207" customFormat="1" ht="14.25" customHeight="1">
      <c r="A340" s="181" t="s">
        <v>297</v>
      </c>
      <c r="B340" s="185" t="s">
        <v>2223</v>
      </c>
      <c r="C340" s="185">
        <v>980</v>
      </c>
      <c r="D340" s="185">
        <v>950</v>
      </c>
      <c r="E340" s="185">
        <v>920</v>
      </c>
      <c r="F340" s="221"/>
    </row>
    <row r="341" spans="1:6" s="207" customFormat="1" ht="14.25" customHeight="1">
      <c r="A341" s="181" t="s">
        <v>297</v>
      </c>
      <c r="B341" s="185" t="s">
        <v>2235</v>
      </c>
      <c r="C341" s="185">
        <v>760</v>
      </c>
      <c r="D341" s="185">
        <v>720</v>
      </c>
      <c r="E341" s="185">
        <v>690</v>
      </c>
      <c r="F341" s="218">
        <v>350</v>
      </c>
    </row>
    <row r="342" spans="1:6" s="207" customFormat="1" ht="14.25" customHeight="1">
      <c r="A342" s="181" t="s">
        <v>297</v>
      </c>
      <c r="B342" s="185" t="s">
        <v>2247</v>
      </c>
      <c r="C342" s="185">
        <v>910</v>
      </c>
      <c r="D342" s="185">
        <v>870</v>
      </c>
      <c r="E342" s="185">
        <v>850</v>
      </c>
      <c r="F342" s="218">
        <v>370</v>
      </c>
    </row>
    <row r="343" spans="1:6" s="207" customFormat="1" ht="14.25" customHeight="1">
      <c r="A343" s="181" t="s">
        <v>297</v>
      </c>
      <c r="B343" s="185" t="s">
        <v>2258</v>
      </c>
      <c r="C343" s="185">
        <v>800</v>
      </c>
      <c r="D343" s="185">
        <v>760</v>
      </c>
      <c r="E343" s="185">
        <v>730</v>
      </c>
      <c r="F343" s="218">
        <v>340</v>
      </c>
    </row>
    <row r="344" spans="1:6" s="207" customFormat="1" ht="14.25" customHeight="1">
      <c r="A344" s="181" t="s">
        <v>297</v>
      </c>
      <c r="B344" s="196" t="s">
        <v>2269</v>
      </c>
      <c r="C344" s="196">
        <v>720</v>
      </c>
      <c r="D344" s="196">
        <v>690</v>
      </c>
      <c r="E344" s="196">
        <v>660</v>
      </c>
      <c r="F344" s="220">
        <v>300</v>
      </c>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75" customWidth="1"/>
    <col min="2" max="2" width="10.25" style="176" customWidth="1"/>
  </cols>
  <sheetData>
    <row r="1" spans="1:6">
      <c r="A1" s="3558" t="s">
        <v>2528</v>
      </c>
      <c r="B1" s="3558"/>
    </row>
    <row r="2" spans="1:6">
      <c r="A2" s="177"/>
      <c r="B2" s="177"/>
    </row>
    <row r="3" spans="1:6">
      <c r="A3" s="177"/>
      <c r="B3" s="177"/>
      <c r="C3" s="178" t="s">
        <v>1765</v>
      </c>
      <c r="D3" s="178" t="s">
        <v>1766</v>
      </c>
      <c r="E3" s="178" t="s">
        <v>457</v>
      </c>
      <c r="F3" s="178" t="s">
        <v>1767</v>
      </c>
    </row>
    <row r="4" spans="1:6">
      <c r="A4" s="179" t="s">
        <v>2198</v>
      </c>
      <c r="B4" s="180" t="s">
        <v>2210</v>
      </c>
      <c r="C4" s="178"/>
      <c r="D4" s="178"/>
      <c r="E4" s="178"/>
      <c r="F4" s="178"/>
    </row>
    <row r="5" spans="1:6">
      <c r="A5" s="181" t="s">
        <v>232</v>
      </c>
      <c r="B5" s="182" t="s">
        <v>2186</v>
      </c>
      <c r="C5" s="183">
        <v>8.8999999999999996E-2</v>
      </c>
      <c r="D5" s="183">
        <v>7.3999999999999996E-2</v>
      </c>
      <c r="E5" s="183">
        <v>7.4999999999999997E-2</v>
      </c>
      <c r="F5" s="184">
        <v>0.1</v>
      </c>
    </row>
    <row r="6" spans="1:6">
      <c r="A6" s="181" t="s">
        <v>232</v>
      </c>
      <c r="B6" s="185" t="s">
        <v>2199</v>
      </c>
      <c r="C6" s="186">
        <v>0.1</v>
      </c>
      <c r="D6" s="186">
        <v>9.0999999999999998E-2</v>
      </c>
      <c r="E6" s="186">
        <v>9.0999999999999998E-2</v>
      </c>
      <c r="F6" s="187">
        <v>0.1</v>
      </c>
    </row>
    <row r="7" spans="1:6">
      <c r="A7" s="181" t="s">
        <v>232</v>
      </c>
      <c r="B7" s="188" t="s">
        <v>2212</v>
      </c>
      <c r="C7" s="186">
        <v>8.5999999999999993E-2</v>
      </c>
      <c r="D7" s="186">
        <v>9.6000000000000002E-2</v>
      </c>
      <c r="E7" s="186">
        <v>7.5999999999999998E-2</v>
      </c>
      <c r="F7" s="187">
        <v>0.1</v>
      </c>
    </row>
    <row r="8" spans="1:6">
      <c r="A8" s="181" t="s">
        <v>232</v>
      </c>
      <c r="B8" s="185" t="s">
        <v>2224</v>
      </c>
      <c r="C8" s="186">
        <v>9.9000000000000005E-2</v>
      </c>
      <c r="D8" s="186">
        <v>9.8000000000000004E-2</v>
      </c>
      <c r="E8" s="186">
        <v>9.8000000000000004E-2</v>
      </c>
      <c r="F8" s="187">
        <v>0.1</v>
      </c>
    </row>
    <row r="9" spans="1:6">
      <c r="A9" s="189" t="s">
        <v>232</v>
      </c>
      <c r="B9" s="190" t="s">
        <v>2236</v>
      </c>
      <c r="C9" s="191">
        <v>0.05</v>
      </c>
      <c r="D9" s="192"/>
      <c r="E9" s="192"/>
      <c r="F9" s="193"/>
    </row>
    <row r="10" spans="1:6">
      <c r="A10" s="181" t="s">
        <v>243</v>
      </c>
      <c r="B10" s="182" t="s">
        <v>2187</v>
      </c>
      <c r="C10" s="183">
        <v>8.8999999999999996E-2</v>
      </c>
      <c r="D10" s="183">
        <v>7.2999999999999995E-2</v>
      </c>
      <c r="E10" s="183">
        <v>8.2000000000000003E-2</v>
      </c>
      <c r="F10" s="184">
        <v>0.1</v>
      </c>
    </row>
    <row r="11" spans="1:6">
      <c r="A11" s="181" t="s">
        <v>243</v>
      </c>
      <c r="B11" s="188" t="s">
        <v>2200</v>
      </c>
      <c r="C11" s="186">
        <v>8.8999999999999996E-2</v>
      </c>
      <c r="D11" s="186">
        <v>7.2999999999999995E-2</v>
      </c>
      <c r="E11" s="186">
        <v>8.2000000000000003E-2</v>
      </c>
      <c r="F11" s="187">
        <v>0.1</v>
      </c>
    </row>
    <row r="12" spans="1:6">
      <c r="A12" s="181" t="s">
        <v>243</v>
      </c>
      <c r="B12" s="188" t="s">
        <v>2213</v>
      </c>
      <c r="C12" s="186">
        <v>6.0999999999999999E-2</v>
      </c>
      <c r="D12" s="186">
        <v>7.0999999999999994E-2</v>
      </c>
      <c r="E12" s="186">
        <v>9.6000000000000002E-2</v>
      </c>
      <c r="F12" s="187">
        <v>0.1</v>
      </c>
    </row>
    <row r="13" spans="1:6">
      <c r="A13" s="181" t="s">
        <v>243</v>
      </c>
      <c r="B13" s="188" t="s">
        <v>2225</v>
      </c>
      <c r="C13" s="186">
        <v>6.9000000000000006E-2</v>
      </c>
      <c r="D13" s="186">
        <v>6.5000000000000002E-2</v>
      </c>
      <c r="E13" s="186">
        <v>6.6000000000000003E-2</v>
      </c>
      <c r="F13" s="187">
        <v>0.1</v>
      </c>
    </row>
    <row r="14" spans="1:6">
      <c r="A14" s="181" t="s">
        <v>243</v>
      </c>
      <c r="B14" s="188" t="s">
        <v>2237</v>
      </c>
      <c r="C14" s="186">
        <v>0.1</v>
      </c>
      <c r="D14" s="186">
        <v>6.5000000000000002E-2</v>
      </c>
      <c r="E14" s="186">
        <v>7.0000000000000007E-2</v>
      </c>
      <c r="F14" s="187">
        <v>0.1</v>
      </c>
    </row>
    <row r="15" spans="1:6">
      <c r="A15" s="181" t="s">
        <v>243</v>
      </c>
      <c r="B15" s="188" t="s">
        <v>2248</v>
      </c>
      <c r="C15" s="186">
        <v>9.8000000000000004E-2</v>
      </c>
      <c r="D15" s="186">
        <v>8.8999999999999996E-2</v>
      </c>
      <c r="E15" s="186">
        <v>8.8999999999999996E-2</v>
      </c>
      <c r="F15" s="187">
        <v>0.1</v>
      </c>
    </row>
    <row r="16" spans="1:6">
      <c r="A16" s="181" t="s">
        <v>243</v>
      </c>
      <c r="B16" s="188" t="s">
        <v>2259</v>
      </c>
      <c r="C16" s="186">
        <v>7.0000000000000007E-2</v>
      </c>
      <c r="D16" s="186">
        <v>9.2999999999999999E-2</v>
      </c>
      <c r="E16" s="186">
        <v>9.6000000000000002E-2</v>
      </c>
      <c r="F16" s="187">
        <v>0.1</v>
      </c>
    </row>
    <row r="17" spans="1:6">
      <c r="A17" s="181" t="s">
        <v>243</v>
      </c>
      <c r="B17" s="188" t="s">
        <v>2270</v>
      </c>
      <c r="C17" s="186">
        <v>9.5000000000000001E-2</v>
      </c>
      <c r="D17" s="186">
        <v>0.1</v>
      </c>
      <c r="E17" s="186">
        <v>0.1</v>
      </c>
      <c r="F17" s="194"/>
    </row>
    <row r="18" spans="1:6">
      <c r="A18" s="181" t="s">
        <v>243</v>
      </c>
      <c r="B18" s="188" t="s">
        <v>2280</v>
      </c>
      <c r="C18" s="186">
        <v>7.3999999999999996E-2</v>
      </c>
      <c r="D18" s="186">
        <v>9.9000000000000005E-2</v>
      </c>
      <c r="E18" s="186">
        <v>0.1</v>
      </c>
      <c r="F18" s="194"/>
    </row>
    <row r="19" spans="1:6">
      <c r="A19" s="181" t="s">
        <v>243</v>
      </c>
      <c r="B19" s="188" t="s">
        <v>2290</v>
      </c>
      <c r="C19" s="186">
        <v>9.9000000000000005E-2</v>
      </c>
      <c r="D19" s="186">
        <v>7.5999999999999998E-2</v>
      </c>
      <c r="E19" s="186">
        <v>8.6999999999999994E-2</v>
      </c>
      <c r="F19" s="194"/>
    </row>
    <row r="20" spans="1:6">
      <c r="A20" s="181" t="s">
        <v>243</v>
      </c>
      <c r="B20" s="188" t="s">
        <v>2300</v>
      </c>
      <c r="C20" s="186">
        <v>9.8000000000000004E-2</v>
      </c>
      <c r="D20" s="186">
        <v>8.5000000000000006E-2</v>
      </c>
      <c r="E20" s="186">
        <v>8.2000000000000003E-2</v>
      </c>
      <c r="F20" s="194"/>
    </row>
    <row r="21" spans="1:6">
      <c r="A21" s="181" t="s">
        <v>243</v>
      </c>
      <c r="B21" s="188" t="s">
        <v>2310</v>
      </c>
      <c r="C21" s="186">
        <v>6.6000000000000003E-2</v>
      </c>
      <c r="D21" s="186">
        <v>6.4000000000000001E-2</v>
      </c>
      <c r="E21" s="186">
        <v>6.5000000000000002E-2</v>
      </c>
      <c r="F21" s="194"/>
    </row>
    <row r="22" spans="1:6">
      <c r="A22" s="181" t="s">
        <v>243</v>
      </c>
      <c r="B22" s="188" t="s">
        <v>2320</v>
      </c>
      <c r="C22" s="186">
        <v>0.08</v>
      </c>
      <c r="D22" s="186">
        <v>9.8000000000000004E-2</v>
      </c>
      <c r="E22" s="186">
        <v>9.8000000000000004E-2</v>
      </c>
      <c r="F22" s="194"/>
    </row>
    <row r="23" spans="1:6">
      <c r="A23" s="181" t="s">
        <v>243</v>
      </c>
      <c r="B23" s="188" t="s">
        <v>2330</v>
      </c>
      <c r="C23" s="186">
        <v>9.9000000000000005E-2</v>
      </c>
      <c r="D23" s="186">
        <v>9.8000000000000004E-2</v>
      </c>
      <c r="E23" s="186">
        <v>9.0999999999999998E-2</v>
      </c>
      <c r="F23" s="194"/>
    </row>
    <row r="24" spans="1:6">
      <c r="A24" s="181" t="s">
        <v>243</v>
      </c>
      <c r="B24" s="188" t="s">
        <v>2340</v>
      </c>
      <c r="C24" s="186">
        <v>8.8999999999999996E-2</v>
      </c>
      <c r="D24" s="186">
        <v>9.7000000000000003E-2</v>
      </c>
      <c r="E24" s="186">
        <v>7.0000000000000007E-2</v>
      </c>
      <c r="F24" s="194"/>
    </row>
    <row r="25" spans="1:6">
      <c r="A25" s="181" t="s">
        <v>243</v>
      </c>
      <c r="B25" s="188" t="s">
        <v>2350</v>
      </c>
      <c r="C25" s="186">
        <v>8.8999999999999996E-2</v>
      </c>
      <c r="D25" s="186">
        <v>0.1</v>
      </c>
      <c r="E25" s="186">
        <v>8.1000000000000003E-2</v>
      </c>
      <c r="F25" s="194"/>
    </row>
    <row r="26" spans="1:6">
      <c r="A26" s="181" t="s">
        <v>243</v>
      </c>
      <c r="B26" s="188" t="s">
        <v>2360</v>
      </c>
      <c r="C26" s="195"/>
      <c r="D26" s="186">
        <v>9.6000000000000002E-2</v>
      </c>
      <c r="E26" s="186">
        <v>9.2999999999999999E-2</v>
      </c>
      <c r="F26" s="194"/>
    </row>
    <row r="27" spans="1:6">
      <c r="A27" s="181" t="s">
        <v>243</v>
      </c>
      <c r="B27" s="188" t="s">
        <v>2370</v>
      </c>
      <c r="C27" s="195"/>
      <c r="D27" s="186">
        <v>7.5999999999999998E-2</v>
      </c>
      <c r="E27" s="186">
        <v>9.1999999999999998E-2</v>
      </c>
      <c r="F27" s="194"/>
    </row>
    <row r="28" spans="1:6">
      <c r="A28" s="189" t="s">
        <v>243</v>
      </c>
      <c r="B28" s="190" t="s">
        <v>2380</v>
      </c>
      <c r="C28" s="192"/>
      <c r="D28" s="191">
        <v>7.5999999999999998E-2</v>
      </c>
      <c r="E28" s="191">
        <v>9.1999999999999998E-2</v>
      </c>
      <c r="F28" s="193"/>
    </row>
    <row r="29" spans="1:6">
      <c r="A29" s="181" t="s">
        <v>253</v>
      </c>
      <c r="B29" s="182" t="s">
        <v>2188</v>
      </c>
      <c r="C29" s="183">
        <v>6.4000000000000001E-2</v>
      </c>
      <c r="D29" s="183">
        <v>6.5000000000000002E-2</v>
      </c>
      <c r="E29" s="183">
        <v>6.9000000000000006E-2</v>
      </c>
      <c r="F29" s="184">
        <v>0.1</v>
      </c>
    </row>
    <row r="30" spans="1:6">
      <c r="A30" s="181" t="s">
        <v>253</v>
      </c>
      <c r="B30" s="188" t="s">
        <v>2201</v>
      </c>
      <c r="C30" s="186">
        <v>6.4000000000000001E-2</v>
      </c>
      <c r="D30" s="186">
        <v>9.9000000000000005E-2</v>
      </c>
      <c r="E30" s="186">
        <v>0.1</v>
      </c>
      <c r="F30" s="187">
        <v>0.1</v>
      </c>
    </row>
    <row r="31" spans="1:6">
      <c r="A31" s="181" t="s">
        <v>253</v>
      </c>
      <c r="B31" s="188" t="s">
        <v>2214</v>
      </c>
      <c r="C31" s="186">
        <v>0.1</v>
      </c>
      <c r="D31" s="186">
        <v>9.5000000000000001E-2</v>
      </c>
      <c r="E31" s="186">
        <v>8.8999999999999996E-2</v>
      </c>
      <c r="F31" s="187">
        <v>0.1</v>
      </c>
    </row>
    <row r="32" spans="1:6">
      <c r="A32" s="181" t="s">
        <v>253</v>
      </c>
      <c r="B32" s="188" t="s">
        <v>2226</v>
      </c>
      <c r="C32" s="186">
        <v>0.05</v>
      </c>
      <c r="D32" s="186">
        <v>0.05</v>
      </c>
      <c r="E32" s="186">
        <v>8.7999999999999995E-2</v>
      </c>
      <c r="F32" s="187">
        <v>0.1</v>
      </c>
    </row>
    <row r="33" spans="1:6">
      <c r="A33" s="181" t="s">
        <v>253</v>
      </c>
      <c r="B33" s="188" t="s">
        <v>2238</v>
      </c>
      <c r="C33" s="186">
        <v>7.4999999999999997E-2</v>
      </c>
      <c r="D33" s="186">
        <v>9.4E-2</v>
      </c>
      <c r="E33" s="186">
        <v>9.7000000000000003E-2</v>
      </c>
      <c r="F33" s="187">
        <v>0.1</v>
      </c>
    </row>
    <row r="34" spans="1:6">
      <c r="A34" s="181" t="s">
        <v>253</v>
      </c>
      <c r="B34" s="188" t="s">
        <v>2249</v>
      </c>
      <c r="C34" s="186">
        <v>9.8000000000000004E-2</v>
      </c>
      <c r="D34" s="186">
        <v>8.5999999999999993E-2</v>
      </c>
      <c r="E34" s="186">
        <v>9.7000000000000003E-2</v>
      </c>
      <c r="F34" s="187">
        <v>0.1</v>
      </c>
    </row>
    <row r="35" spans="1:6">
      <c r="A35" s="181" t="s">
        <v>253</v>
      </c>
      <c r="B35" s="188" t="s">
        <v>2260</v>
      </c>
      <c r="C35" s="186">
        <v>5.8999999999999997E-2</v>
      </c>
      <c r="D35" s="186">
        <v>6.5000000000000002E-2</v>
      </c>
      <c r="E35" s="186">
        <v>7.0000000000000007E-2</v>
      </c>
      <c r="F35" s="187">
        <v>0.1</v>
      </c>
    </row>
    <row r="36" spans="1:6">
      <c r="A36" s="181" t="s">
        <v>253</v>
      </c>
      <c r="B36" s="188" t="s">
        <v>2271</v>
      </c>
      <c r="C36" s="186">
        <v>6.3E-2</v>
      </c>
      <c r="D36" s="186">
        <v>0.1</v>
      </c>
      <c r="E36" s="186">
        <v>0.1</v>
      </c>
      <c r="F36" s="187">
        <v>0.1</v>
      </c>
    </row>
    <row r="37" spans="1:6">
      <c r="A37" s="181" t="s">
        <v>253</v>
      </c>
      <c r="B37" s="188" t="s">
        <v>2281</v>
      </c>
      <c r="C37" s="186">
        <v>7.3999999999999996E-2</v>
      </c>
      <c r="D37" s="186">
        <v>0.1</v>
      </c>
      <c r="E37" s="186">
        <v>0.1</v>
      </c>
      <c r="F37" s="187">
        <v>0.1</v>
      </c>
    </row>
    <row r="38" spans="1:6">
      <c r="A38" s="181" t="s">
        <v>253</v>
      </c>
      <c r="B38" s="188" t="s">
        <v>2291</v>
      </c>
      <c r="C38" s="186">
        <v>0.1</v>
      </c>
      <c r="D38" s="186">
        <v>9.6000000000000002E-2</v>
      </c>
      <c r="E38" s="186">
        <v>9.6000000000000002E-2</v>
      </c>
      <c r="F38" s="194"/>
    </row>
    <row r="39" spans="1:6">
      <c r="A39" s="181" t="s">
        <v>253</v>
      </c>
      <c r="B39" s="188" t="s">
        <v>2301</v>
      </c>
      <c r="C39" s="186">
        <v>0.1</v>
      </c>
      <c r="D39" s="186">
        <v>9.6000000000000002E-2</v>
      </c>
      <c r="E39" s="186">
        <v>9.6000000000000002E-2</v>
      </c>
      <c r="F39" s="194"/>
    </row>
    <row r="40" spans="1:6">
      <c r="A40" s="181" t="s">
        <v>253</v>
      </c>
      <c r="B40" s="188" t="s">
        <v>2311</v>
      </c>
      <c r="C40" s="186">
        <v>9.6000000000000002E-2</v>
      </c>
      <c r="D40" s="186">
        <v>0.1</v>
      </c>
      <c r="E40" s="186">
        <v>9.9000000000000005E-2</v>
      </c>
      <c r="F40" s="194"/>
    </row>
    <row r="41" spans="1:6">
      <c r="A41" s="181" t="s">
        <v>253</v>
      </c>
      <c r="B41" s="188" t="s">
        <v>2321</v>
      </c>
      <c r="C41" s="186">
        <v>9.6000000000000002E-2</v>
      </c>
      <c r="D41" s="186">
        <v>9.8000000000000004E-2</v>
      </c>
      <c r="E41" s="186">
        <v>9.8000000000000004E-2</v>
      </c>
      <c r="F41" s="194"/>
    </row>
    <row r="42" spans="1:6">
      <c r="A42" s="181" t="s">
        <v>253</v>
      </c>
      <c r="B42" s="188" t="s">
        <v>2331</v>
      </c>
      <c r="C42" s="186">
        <v>0.1</v>
      </c>
      <c r="D42" s="186">
        <v>8.7999999999999995E-2</v>
      </c>
      <c r="E42" s="186">
        <v>0.1</v>
      </c>
      <c r="F42" s="194"/>
    </row>
    <row r="43" spans="1:6">
      <c r="A43" s="181" t="s">
        <v>253</v>
      </c>
      <c r="B43" s="188" t="s">
        <v>2341</v>
      </c>
      <c r="C43" s="186">
        <v>9.8000000000000004E-2</v>
      </c>
      <c r="D43" s="186">
        <v>9.7000000000000003E-2</v>
      </c>
      <c r="E43" s="186">
        <v>9.6000000000000002E-2</v>
      </c>
      <c r="F43" s="194"/>
    </row>
    <row r="44" spans="1:6">
      <c r="A44" s="181" t="s">
        <v>253</v>
      </c>
      <c r="B44" s="188" t="s">
        <v>2351</v>
      </c>
      <c r="C44" s="186">
        <v>8.5999999999999993E-2</v>
      </c>
      <c r="D44" s="186">
        <v>7.9000000000000001E-2</v>
      </c>
      <c r="E44" s="186">
        <v>7.0999999999999994E-2</v>
      </c>
      <c r="F44" s="194"/>
    </row>
    <row r="45" spans="1:6">
      <c r="A45" s="181" t="s">
        <v>253</v>
      </c>
      <c r="B45" s="188" t="s">
        <v>2361</v>
      </c>
      <c r="C45" s="186">
        <v>9.8000000000000004E-2</v>
      </c>
      <c r="D45" s="186">
        <v>9.6000000000000002E-2</v>
      </c>
      <c r="E45" s="186">
        <v>9.6000000000000002E-2</v>
      </c>
      <c r="F45" s="194"/>
    </row>
    <row r="46" spans="1:6">
      <c r="A46" s="181" t="s">
        <v>253</v>
      </c>
      <c r="B46" s="188" t="s">
        <v>2371</v>
      </c>
      <c r="C46" s="186">
        <v>8.5999999999999993E-2</v>
      </c>
      <c r="D46" s="186">
        <v>9.8000000000000004E-2</v>
      </c>
      <c r="E46" s="186">
        <v>8.7999999999999995E-2</v>
      </c>
      <c r="F46" s="194"/>
    </row>
    <row r="47" spans="1:6">
      <c r="A47" s="181" t="s">
        <v>253</v>
      </c>
      <c r="B47" s="188" t="s">
        <v>2381</v>
      </c>
      <c r="C47" s="186">
        <v>9.6000000000000002E-2</v>
      </c>
      <c r="D47" s="195"/>
      <c r="E47" s="186">
        <v>6.9000000000000006E-2</v>
      </c>
      <c r="F47" s="194"/>
    </row>
    <row r="48" spans="1:6">
      <c r="A48" s="189" t="s">
        <v>253</v>
      </c>
      <c r="B48" s="190" t="s">
        <v>2390</v>
      </c>
      <c r="C48" s="191">
        <v>9.8000000000000004E-2</v>
      </c>
      <c r="D48" s="192"/>
      <c r="E48" s="191">
        <v>9.5000000000000001E-2</v>
      </c>
      <c r="F48" s="193"/>
    </row>
    <row r="49" spans="1:6">
      <c r="A49" s="181" t="s">
        <v>261</v>
      </c>
      <c r="B49" s="182" t="s">
        <v>2189</v>
      </c>
      <c r="C49" s="183">
        <v>9.7000000000000003E-2</v>
      </c>
      <c r="D49" s="183">
        <v>9.5000000000000001E-2</v>
      </c>
      <c r="E49" s="183">
        <v>9.7000000000000003E-2</v>
      </c>
      <c r="F49" s="184">
        <v>0.1</v>
      </c>
    </row>
    <row r="50" spans="1:6">
      <c r="A50" s="181" t="s">
        <v>261</v>
      </c>
      <c r="B50" s="185" t="s">
        <v>2202</v>
      </c>
      <c r="C50" s="186">
        <v>7.4999999999999997E-2</v>
      </c>
      <c r="D50" s="186">
        <v>9.5000000000000001E-2</v>
      </c>
      <c r="E50" s="186">
        <v>0.1</v>
      </c>
      <c r="F50" s="187">
        <v>0.1</v>
      </c>
    </row>
    <row r="51" spans="1:6">
      <c r="A51" s="181" t="s">
        <v>261</v>
      </c>
      <c r="B51" s="185" t="s">
        <v>2215</v>
      </c>
      <c r="C51" s="186">
        <v>9.8000000000000004E-2</v>
      </c>
      <c r="D51" s="186">
        <v>8.8999999999999996E-2</v>
      </c>
      <c r="E51" s="186">
        <v>0.1</v>
      </c>
      <c r="F51" s="187">
        <v>0.1</v>
      </c>
    </row>
    <row r="52" spans="1:6">
      <c r="A52" s="181" t="s">
        <v>261</v>
      </c>
      <c r="B52" s="185" t="s">
        <v>2227</v>
      </c>
      <c r="C52" s="186">
        <v>9.8000000000000004E-2</v>
      </c>
      <c r="D52" s="186">
        <v>9.7000000000000003E-2</v>
      </c>
      <c r="E52" s="186">
        <v>8.1000000000000003E-2</v>
      </c>
      <c r="F52" s="187">
        <v>0.1</v>
      </c>
    </row>
    <row r="53" spans="1:6">
      <c r="A53" s="181" t="s">
        <v>261</v>
      </c>
      <c r="B53" s="185" t="s">
        <v>2239</v>
      </c>
      <c r="C53" s="186">
        <v>9.7000000000000003E-2</v>
      </c>
      <c r="D53" s="186">
        <v>7.5999999999999998E-2</v>
      </c>
      <c r="E53" s="186">
        <v>7.0999999999999994E-2</v>
      </c>
      <c r="F53" s="187">
        <v>0.1</v>
      </c>
    </row>
    <row r="54" spans="1:6">
      <c r="A54" s="181" t="s">
        <v>261</v>
      </c>
      <c r="B54" s="185" t="s">
        <v>2250</v>
      </c>
      <c r="C54" s="186">
        <v>7.5999999999999998E-2</v>
      </c>
      <c r="D54" s="186">
        <v>0.1</v>
      </c>
      <c r="E54" s="186">
        <v>9.9000000000000005E-2</v>
      </c>
      <c r="F54" s="187">
        <v>0.1</v>
      </c>
    </row>
    <row r="55" spans="1:6">
      <c r="A55" s="181" t="s">
        <v>261</v>
      </c>
      <c r="B55" s="185" t="s">
        <v>2261</v>
      </c>
      <c r="C55" s="186">
        <v>0.1</v>
      </c>
      <c r="D55" s="186">
        <v>0.1</v>
      </c>
      <c r="E55" s="186">
        <v>9.6000000000000002E-2</v>
      </c>
      <c r="F55" s="187">
        <v>0.1</v>
      </c>
    </row>
    <row r="56" spans="1:6">
      <c r="A56" s="181" t="s">
        <v>261</v>
      </c>
      <c r="B56" s="185" t="s">
        <v>2272</v>
      </c>
      <c r="C56" s="186">
        <v>0.1</v>
      </c>
      <c r="D56" s="186">
        <v>9.6000000000000002E-2</v>
      </c>
      <c r="E56" s="186">
        <v>5.1999999999999998E-2</v>
      </c>
      <c r="F56" s="187">
        <v>0.1</v>
      </c>
    </row>
    <row r="57" spans="1:6">
      <c r="A57" s="181" t="s">
        <v>261</v>
      </c>
      <c r="B57" s="185" t="s">
        <v>2282</v>
      </c>
      <c r="C57" s="186">
        <v>9.7000000000000003E-2</v>
      </c>
      <c r="D57" s="186">
        <v>9.6000000000000002E-2</v>
      </c>
      <c r="E57" s="186">
        <v>9.6000000000000002E-2</v>
      </c>
      <c r="F57" s="187">
        <v>0.1</v>
      </c>
    </row>
    <row r="58" spans="1:6">
      <c r="A58" s="181" t="s">
        <v>261</v>
      </c>
      <c r="B58" s="185" t="s">
        <v>2292</v>
      </c>
      <c r="C58" s="186">
        <v>9.6000000000000002E-2</v>
      </c>
      <c r="D58" s="186">
        <v>9.9000000000000005E-2</v>
      </c>
      <c r="E58" s="186">
        <v>9.6000000000000002E-2</v>
      </c>
      <c r="F58" s="187">
        <v>0.1</v>
      </c>
    </row>
    <row r="59" spans="1:6">
      <c r="A59" s="181" t="s">
        <v>261</v>
      </c>
      <c r="B59" s="185" t="s">
        <v>2302</v>
      </c>
      <c r="C59" s="186">
        <v>7.1999999999999995E-2</v>
      </c>
      <c r="D59" s="186">
        <v>9.6000000000000002E-2</v>
      </c>
      <c r="E59" s="186">
        <v>7.0999999999999994E-2</v>
      </c>
      <c r="F59" s="187">
        <v>0.1</v>
      </c>
    </row>
    <row r="60" spans="1:6">
      <c r="A60" s="181" t="s">
        <v>261</v>
      </c>
      <c r="B60" s="185" t="s">
        <v>2312</v>
      </c>
      <c r="C60" s="186">
        <v>9.6000000000000002E-2</v>
      </c>
      <c r="D60" s="186">
        <v>8.8999999999999996E-2</v>
      </c>
      <c r="E60" s="186">
        <v>9.6000000000000002E-2</v>
      </c>
      <c r="F60" s="187">
        <v>0.1</v>
      </c>
    </row>
    <row r="61" spans="1:6">
      <c r="A61" s="181" t="s">
        <v>261</v>
      </c>
      <c r="B61" s="185" t="s">
        <v>2322</v>
      </c>
      <c r="C61" s="186">
        <v>8.8999999999999996E-2</v>
      </c>
      <c r="D61" s="186">
        <v>9.8000000000000004E-2</v>
      </c>
      <c r="E61" s="186">
        <v>8.7999999999999995E-2</v>
      </c>
      <c r="F61" s="194"/>
    </row>
    <row r="62" spans="1:6">
      <c r="A62" s="181" t="s">
        <v>261</v>
      </c>
      <c r="B62" s="185" t="s">
        <v>2332</v>
      </c>
      <c r="C62" s="186">
        <v>9.8000000000000004E-2</v>
      </c>
      <c r="D62" s="186">
        <v>9.2999999999999999E-2</v>
      </c>
      <c r="E62" s="186">
        <v>9.7000000000000003E-2</v>
      </c>
      <c r="F62" s="194"/>
    </row>
    <row r="63" spans="1:6">
      <c r="A63" s="181" t="s">
        <v>261</v>
      </c>
      <c r="B63" s="185" t="s">
        <v>2342</v>
      </c>
      <c r="C63" s="186">
        <v>9.6000000000000002E-2</v>
      </c>
      <c r="D63" s="186">
        <v>9.8000000000000004E-2</v>
      </c>
      <c r="E63" s="186">
        <v>0.09</v>
      </c>
      <c r="F63" s="194"/>
    </row>
    <row r="64" spans="1:6">
      <c r="A64" s="181" t="s">
        <v>261</v>
      </c>
      <c r="B64" s="185" t="s">
        <v>2352</v>
      </c>
      <c r="C64" s="186">
        <v>9.9000000000000005E-2</v>
      </c>
      <c r="D64" s="186">
        <v>9.7000000000000003E-2</v>
      </c>
      <c r="E64" s="186">
        <v>9.9000000000000005E-2</v>
      </c>
      <c r="F64" s="194"/>
    </row>
    <row r="65" spans="1:6">
      <c r="A65" s="181" t="s">
        <v>261</v>
      </c>
      <c r="B65" s="185" t="s">
        <v>2362</v>
      </c>
      <c r="C65" s="186">
        <v>9.8000000000000004E-2</v>
      </c>
      <c r="D65" s="186">
        <v>9.6000000000000002E-2</v>
      </c>
      <c r="E65" s="186">
        <v>9.6000000000000002E-2</v>
      </c>
      <c r="F65" s="194"/>
    </row>
    <row r="66" spans="1:6">
      <c r="A66" s="181" t="s">
        <v>261</v>
      </c>
      <c r="B66" s="185" t="s">
        <v>2372</v>
      </c>
      <c r="C66" s="186">
        <v>9.6000000000000002E-2</v>
      </c>
      <c r="D66" s="186">
        <v>9.1999999999999998E-2</v>
      </c>
      <c r="E66" s="186">
        <v>9.6000000000000002E-2</v>
      </c>
      <c r="F66" s="194"/>
    </row>
    <row r="67" spans="1:6">
      <c r="A67" s="181" t="s">
        <v>261</v>
      </c>
      <c r="B67" s="185" t="s">
        <v>2382</v>
      </c>
      <c r="C67" s="186">
        <v>9.4E-2</v>
      </c>
      <c r="D67" s="186">
        <v>0.1</v>
      </c>
      <c r="E67" s="186">
        <v>8.7999999999999995E-2</v>
      </c>
      <c r="F67" s="194"/>
    </row>
    <row r="68" spans="1:6">
      <c r="A68" s="181" t="s">
        <v>261</v>
      </c>
      <c r="B68" s="185" t="s">
        <v>2391</v>
      </c>
      <c r="C68" s="186">
        <v>0.1</v>
      </c>
      <c r="D68" s="186">
        <v>8.7999999999999995E-2</v>
      </c>
      <c r="E68" s="186">
        <v>9.7000000000000003E-2</v>
      </c>
      <c r="F68" s="194"/>
    </row>
    <row r="69" spans="1:6">
      <c r="A69" s="181" t="s">
        <v>261</v>
      </c>
      <c r="B69" s="185" t="s">
        <v>2399</v>
      </c>
      <c r="C69" s="186">
        <v>6.4000000000000001E-2</v>
      </c>
      <c r="D69" s="186">
        <v>0.1</v>
      </c>
      <c r="E69" s="186">
        <v>0.1</v>
      </c>
      <c r="F69" s="194"/>
    </row>
    <row r="70" spans="1:6">
      <c r="A70" s="181" t="s">
        <v>261</v>
      </c>
      <c r="B70" s="185" t="s">
        <v>2407</v>
      </c>
      <c r="C70" s="186">
        <v>9.0999999999999998E-2</v>
      </c>
      <c r="D70" s="195"/>
      <c r="E70" s="195"/>
      <c r="F70" s="194"/>
    </row>
    <row r="71" spans="1:6">
      <c r="A71" s="181" t="s">
        <v>261</v>
      </c>
      <c r="B71" s="185" t="s">
        <v>2414</v>
      </c>
      <c r="C71" s="186">
        <v>0.1</v>
      </c>
      <c r="D71" s="195"/>
      <c r="E71" s="195"/>
      <c r="F71" s="194"/>
    </row>
    <row r="72" spans="1:6">
      <c r="A72" s="181" t="s">
        <v>261</v>
      </c>
      <c r="B72" s="185" t="s">
        <v>2421</v>
      </c>
      <c r="C72" s="195"/>
      <c r="D72" s="195"/>
      <c r="E72" s="195"/>
      <c r="F72" s="187">
        <v>0.05</v>
      </c>
    </row>
    <row r="73" spans="1:6">
      <c r="A73" s="181" t="s">
        <v>261</v>
      </c>
      <c r="B73" s="185" t="s">
        <v>2428</v>
      </c>
      <c r="C73" s="195"/>
      <c r="D73" s="195"/>
      <c r="E73" s="195"/>
      <c r="F73" s="187">
        <v>0.05</v>
      </c>
    </row>
    <row r="74" spans="1:6">
      <c r="A74" s="181" t="s">
        <v>261</v>
      </c>
      <c r="B74" s="185" t="s">
        <v>2435</v>
      </c>
      <c r="C74" s="195"/>
      <c r="D74" s="195"/>
      <c r="E74" s="195"/>
      <c r="F74" s="187">
        <v>0.05</v>
      </c>
    </row>
    <row r="75" spans="1:6">
      <c r="A75" s="189" t="s">
        <v>261</v>
      </c>
      <c r="B75" s="196" t="s">
        <v>2442</v>
      </c>
      <c r="C75" s="192"/>
      <c r="D75" s="192"/>
      <c r="E75" s="192"/>
      <c r="F75" s="197">
        <v>0.05</v>
      </c>
    </row>
    <row r="76" spans="1:6">
      <c r="A76" s="181" t="s">
        <v>269</v>
      </c>
      <c r="B76" s="182" t="s">
        <v>2190</v>
      </c>
      <c r="C76" s="183">
        <v>0.1</v>
      </c>
      <c r="D76" s="183">
        <v>0.1</v>
      </c>
      <c r="E76" s="183">
        <v>0.1</v>
      </c>
      <c r="F76" s="184">
        <v>0.1</v>
      </c>
    </row>
    <row r="77" spans="1:6">
      <c r="A77" s="181" t="s">
        <v>269</v>
      </c>
      <c r="B77" s="185" t="s">
        <v>2203</v>
      </c>
      <c r="C77" s="186">
        <v>8.7999999999999995E-2</v>
      </c>
      <c r="D77" s="186">
        <v>8.6999999999999994E-2</v>
      </c>
      <c r="E77" s="186">
        <v>7.9000000000000001E-2</v>
      </c>
      <c r="F77" s="187">
        <v>0.1</v>
      </c>
    </row>
    <row r="78" spans="1:6">
      <c r="A78" s="181" t="s">
        <v>269</v>
      </c>
      <c r="B78" s="185" t="s">
        <v>2216</v>
      </c>
      <c r="C78" s="186">
        <v>8.6999999999999994E-2</v>
      </c>
      <c r="D78" s="186">
        <v>8.4000000000000005E-2</v>
      </c>
      <c r="E78" s="186">
        <v>9.6000000000000002E-2</v>
      </c>
      <c r="F78" s="187">
        <v>0.1</v>
      </c>
    </row>
    <row r="79" spans="1:6">
      <c r="A79" s="181" t="s">
        <v>269</v>
      </c>
      <c r="B79" s="185" t="s">
        <v>2228</v>
      </c>
      <c r="C79" s="186">
        <v>9.8000000000000004E-2</v>
      </c>
      <c r="D79" s="186">
        <v>9.8000000000000004E-2</v>
      </c>
      <c r="E79" s="186">
        <v>9.0999999999999998E-2</v>
      </c>
      <c r="F79" s="187">
        <v>0.1</v>
      </c>
    </row>
    <row r="80" spans="1:6">
      <c r="A80" s="181" t="s">
        <v>269</v>
      </c>
      <c r="B80" s="185" t="s">
        <v>2240</v>
      </c>
      <c r="C80" s="186">
        <v>9.6000000000000002E-2</v>
      </c>
      <c r="D80" s="186">
        <v>9.6000000000000002E-2</v>
      </c>
      <c r="E80" s="186">
        <v>0.1</v>
      </c>
      <c r="F80" s="187">
        <v>0.1</v>
      </c>
    </row>
    <row r="81" spans="1:6">
      <c r="A81" s="181" t="s">
        <v>269</v>
      </c>
      <c r="B81" s="185" t="s">
        <v>2251</v>
      </c>
      <c r="C81" s="186">
        <v>9.9000000000000005E-2</v>
      </c>
      <c r="D81" s="186">
        <v>9.9000000000000005E-2</v>
      </c>
      <c r="E81" s="186">
        <v>9.8000000000000004E-2</v>
      </c>
      <c r="F81" s="187">
        <v>0.1</v>
      </c>
    </row>
    <row r="82" spans="1:6">
      <c r="A82" s="181" t="s">
        <v>269</v>
      </c>
      <c r="B82" s="185" t="s">
        <v>2262</v>
      </c>
      <c r="C82" s="186">
        <v>9.9000000000000005E-2</v>
      </c>
      <c r="D82" s="186">
        <v>9.9000000000000005E-2</v>
      </c>
      <c r="E82" s="186">
        <v>9.7000000000000003E-2</v>
      </c>
      <c r="F82" s="187">
        <v>0.1</v>
      </c>
    </row>
    <row r="83" spans="1:6">
      <c r="A83" s="181" t="s">
        <v>269</v>
      </c>
      <c r="B83" s="185" t="s">
        <v>2273</v>
      </c>
      <c r="C83" s="186">
        <v>9.8000000000000004E-2</v>
      </c>
      <c r="D83" s="186">
        <v>9.8000000000000004E-2</v>
      </c>
      <c r="E83" s="186">
        <v>9.8000000000000004E-2</v>
      </c>
      <c r="F83" s="187">
        <v>0.1</v>
      </c>
    </row>
    <row r="84" spans="1:6">
      <c r="A84" s="181" t="s">
        <v>269</v>
      </c>
      <c r="B84" s="185" t="s">
        <v>2283</v>
      </c>
      <c r="C84" s="186">
        <v>9.9000000000000005E-2</v>
      </c>
      <c r="D84" s="186">
        <v>9.9000000000000005E-2</v>
      </c>
      <c r="E84" s="186">
        <v>9.9000000000000005E-2</v>
      </c>
      <c r="F84" s="187">
        <v>0.1</v>
      </c>
    </row>
    <row r="85" spans="1:6">
      <c r="A85" s="181" t="s">
        <v>269</v>
      </c>
      <c r="B85" s="185" t="s">
        <v>2293</v>
      </c>
      <c r="C85" s="186">
        <v>9.9000000000000005E-2</v>
      </c>
      <c r="D85" s="186">
        <v>9.9000000000000005E-2</v>
      </c>
      <c r="E85" s="186">
        <v>9.9000000000000005E-2</v>
      </c>
      <c r="F85" s="187">
        <v>0.1</v>
      </c>
    </row>
    <row r="86" spans="1:6">
      <c r="A86" s="181" t="s">
        <v>269</v>
      </c>
      <c r="B86" s="185" t="s">
        <v>2303</v>
      </c>
      <c r="C86" s="186">
        <v>0.1</v>
      </c>
      <c r="D86" s="186">
        <v>0.1</v>
      </c>
      <c r="E86" s="186">
        <v>7.6999999999999999E-2</v>
      </c>
      <c r="F86" s="187">
        <v>0.1</v>
      </c>
    </row>
    <row r="87" spans="1:6">
      <c r="A87" s="181" t="s">
        <v>269</v>
      </c>
      <c r="B87" s="185" t="s">
        <v>2313</v>
      </c>
      <c r="C87" s="186">
        <v>0.1</v>
      </c>
      <c r="D87" s="186">
        <v>0.1</v>
      </c>
      <c r="E87" s="186">
        <v>9.8000000000000004E-2</v>
      </c>
      <c r="F87" s="194"/>
    </row>
    <row r="88" spans="1:6">
      <c r="A88" s="181" t="s">
        <v>269</v>
      </c>
      <c r="B88" s="185" t="s">
        <v>2323</v>
      </c>
      <c r="C88" s="186">
        <v>9.1999999999999998E-2</v>
      </c>
      <c r="D88" s="186">
        <v>8.5000000000000006E-2</v>
      </c>
      <c r="E88" s="186">
        <v>9.6000000000000002E-2</v>
      </c>
      <c r="F88" s="194"/>
    </row>
    <row r="89" spans="1:6">
      <c r="A89" s="181" t="s">
        <v>269</v>
      </c>
      <c r="B89" s="185" t="s">
        <v>2333</v>
      </c>
      <c r="C89" s="186">
        <v>0.1</v>
      </c>
      <c r="D89" s="186">
        <v>0.1</v>
      </c>
      <c r="E89" s="186">
        <v>9.7000000000000003E-2</v>
      </c>
      <c r="F89" s="194"/>
    </row>
    <row r="90" spans="1:6">
      <c r="A90" s="181" t="s">
        <v>269</v>
      </c>
      <c r="B90" s="185" t="s">
        <v>2343</v>
      </c>
      <c r="C90" s="186">
        <v>9.8000000000000004E-2</v>
      </c>
      <c r="D90" s="186">
        <v>9.8000000000000004E-2</v>
      </c>
      <c r="E90" s="186">
        <v>8.7999999999999995E-2</v>
      </c>
      <c r="F90" s="194"/>
    </row>
    <row r="91" spans="1:6">
      <c r="A91" s="181" t="s">
        <v>269</v>
      </c>
      <c r="B91" s="185" t="s">
        <v>2353</v>
      </c>
      <c r="C91" s="186">
        <v>9.9000000000000005E-2</v>
      </c>
      <c r="D91" s="186">
        <v>9.9000000000000005E-2</v>
      </c>
      <c r="E91" s="186">
        <v>9.0999999999999998E-2</v>
      </c>
      <c r="F91" s="194"/>
    </row>
    <row r="92" spans="1:6">
      <c r="A92" s="181" t="s">
        <v>269</v>
      </c>
      <c r="B92" s="185" t="s">
        <v>2363</v>
      </c>
      <c r="C92" s="186">
        <v>9.6000000000000002E-2</v>
      </c>
      <c r="D92" s="186">
        <v>9.6000000000000002E-2</v>
      </c>
      <c r="E92" s="186">
        <v>7.2999999999999995E-2</v>
      </c>
      <c r="F92" s="194"/>
    </row>
    <row r="93" spans="1:6">
      <c r="A93" s="181" t="s">
        <v>269</v>
      </c>
      <c r="B93" s="185" t="s">
        <v>2373</v>
      </c>
      <c r="C93" s="186">
        <v>9.6000000000000002E-2</v>
      </c>
      <c r="D93" s="186">
        <v>9.6000000000000002E-2</v>
      </c>
      <c r="E93" s="186">
        <v>9.9000000000000005E-2</v>
      </c>
      <c r="F93" s="194"/>
    </row>
    <row r="94" spans="1:6">
      <c r="A94" s="181" t="s">
        <v>269</v>
      </c>
      <c r="B94" s="185" t="s">
        <v>2383</v>
      </c>
      <c r="C94" s="186">
        <v>7.5999999999999998E-2</v>
      </c>
      <c r="D94" s="186">
        <v>7.3999999999999996E-2</v>
      </c>
      <c r="E94" s="186">
        <v>9.7000000000000003E-2</v>
      </c>
      <c r="F94" s="194"/>
    </row>
    <row r="95" spans="1:6">
      <c r="A95" s="181" t="s">
        <v>269</v>
      </c>
      <c r="B95" s="185" t="s">
        <v>2392</v>
      </c>
      <c r="C95" s="186">
        <v>9.9000000000000005E-2</v>
      </c>
      <c r="D95" s="186">
        <v>9.4E-2</v>
      </c>
      <c r="E95" s="186">
        <v>9.6000000000000002E-2</v>
      </c>
      <c r="F95" s="194"/>
    </row>
    <row r="96" spans="1:6">
      <c r="A96" s="181" t="s">
        <v>269</v>
      </c>
      <c r="B96" s="185" t="s">
        <v>2400</v>
      </c>
      <c r="C96" s="186">
        <v>9.9000000000000005E-2</v>
      </c>
      <c r="D96" s="186">
        <v>9.9000000000000005E-2</v>
      </c>
      <c r="E96" s="186">
        <v>9.9000000000000005E-2</v>
      </c>
      <c r="F96" s="194"/>
    </row>
    <row r="97" spans="1:6">
      <c r="A97" s="181" t="s">
        <v>269</v>
      </c>
      <c r="B97" s="185" t="s">
        <v>2408</v>
      </c>
      <c r="C97" s="186">
        <v>9.8000000000000004E-2</v>
      </c>
      <c r="D97" s="186">
        <v>9.8000000000000004E-2</v>
      </c>
      <c r="E97" s="186">
        <v>9.7000000000000003E-2</v>
      </c>
      <c r="F97" s="194"/>
    </row>
    <row r="98" spans="1:6">
      <c r="A98" s="181" t="s">
        <v>269</v>
      </c>
      <c r="B98" s="185" t="s">
        <v>2415</v>
      </c>
      <c r="C98" s="186">
        <v>0.1</v>
      </c>
      <c r="D98" s="186">
        <v>0.1</v>
      </c>
      <c r="E98" s="186">
        <v>9.7000000000000003E-2</v>
      </c>
      <c r="F98" s="194"/>
    </row>
    <row r="99" spans="1:6">
      <c r="A99" s="181" t="s">
        <v>269</v>
      </c>
      <c r="B99" s="185" t="s">
        <v>2422</v>
      </c>
      <c r="C99" s="186">
        <v>0.1</v>
      </c>
      <c r="D99" s="186">
        <v>0.1</v>
      </c>
      <c r="E99" s="195"/>
      <c r="F99" s="194"/>
    </row>
    <row r="100" spans="1:6">
      <c r="A100" s="181" t="s">
        <v>269</v>
      </c>
      <c r="B100" s="185" t="s">
        <v>2429</v>
      </c>
      <c r="C100" s="186">
        <v>0.09</v>
      </c>
      <c r="D100" s="186">
        <v>8.8999999999999996E-2</v>
      </c>
      <c r="E100" s="195"/>
      <c r="F100" s="194"/>
    </row>
    <row r="101" spans="1:6">
      <c r="A101" s="181" t="s">
        <v>269</v>
      </c>
      <c r="B101" s="185" t="s">
        <v>2436</v>
      </c>
      <c r="C101" s="186">
        <v>9.8000000000000004E-2</v>
      </c>
      <c r="D101" s="186">
        <v>9.7000000000000003E-2</v>
      </c>
      <c r="E101" s="195"/>
      <c r="F101" s="194"/>
    </row>
    <row r="102" spans="1:6">
      <c r="A102" s="181" t="s">
        <v>269</v>
      </c>
      <c r="B102" s="185" t="s">
        <v>2443</v>
      </c>
      <c r="C102" s="195"/>
      <c r="D102" s="195"/>
      <c r="E102" s="195"/>
      <c r="F102" s="187">
        <v>0.05</v>
      </c>
    </row>
    <row r="103" spans="1:6" ht="24">
      <c r="A103" s="181" t="s">
        <v>269</v>
      </c>
      <c r="B103" s="185" t="s">
        <v>2448</v>
      </c>
      <c r="C103" s="195"/>
      <c r="D103" s="195"/>
      <c r="E103" s="195"/>
      <c r="F103" s="187">
        <v>0.05</v>
      </c>
    </row>
    <row r="104" spans="1:6">
      <c r="A104" s="181" t="s">
        <v>269</v>
      </c>
      <c r="B104" s="185" t="s">
        <v>2453</v>
      </c>
      <c r="C104" s="195"/>
      <c r="D104" s="195"/>
      <c r="E104" s="195"/>
      <c r="F104" s="187">
        <v>0.05</v>
      </c>
    </row>
    <row r="105" spans="1:6">
      <c r="A105" s="181" t="s">
        <v>269</v>
      </c>
      <c r="B105" s="185" t="s">
        <v>2458</v>
      </c>
      <c r="C105" s="195"/>
      <c r="D105" s="195"/>
      <c r="E105" s="195"/>
      <c r="F105" s="187">
        <v>0.05</v>
      </c>
    </row>
    <row r="106" spans="1:6">
      <c r="A106" s="181" t="s">
        <v>269</v>
      </c>
      <c r="B106" s="185" t="s">
        <v>2463</v>
      </c>
      <c r="C106" s="195"/>
      <c r="D106" s="195"/>
      <c r="E106" s="195"/>
      <c r="F106" s="187">
        <v>0.05</v>
      </c>
    </row>
    <row r="107" spans="1:6" ht="24">
      <c r="A107" s="181" t="s">
        <v>269</v>
      </c>
      <c r="B107" s="185" t="s">
        <v>2468</v>
      </c>
      <c r="C107" s="195"/>
      <c r="D107" s="195"/>
      <c r="E107" s="195"/>
      <c r="F107" s="187">
        <v>0.05</v>
      </c>
    </row>
    <row r="108" spans="1:6" ht="24">
      <c r="A108" s="181" t="s">
        <v>269</v>
      </c>
      <c r="B108" s="185" t="s">
        <v>2473</v>
      </c>
      <c r="C108" s="195"/>
      <c r="D108" s="195"/>
      <c r="E108" s="195"/>
      <c r="F108" s="187">
        <v>0.05</v>
      </c>
    </row>
    <row r="109" spans="1:6" ht="24">
      <c r="A109" s="189" t="s">
        <v>269</v>
      </c>
      <c r="B109" s="196" t="s">
        <v>2478</v>
      </c>
      <c r="C109" s="192"/>
      <c r="D109" s="192"/>
      <c r="E109" s="192"/>
      <c r="F109" s="197">
        <v>0.05</v>
      </c>
    </row>
    <row r="110" spans="1:6">
      <c r="A110" s="181" t="s">
        <v>275</v>
      </c>
      <c r="B110" s="182" t="s">
        <v>2191</v>
      </c>
      <c r="C110" s="183">
        <v>0.129</v>
      </c>
      <c r="D110" s="183">
        <v>0.129</v>
      </c>
      <c r="E110" s="183">
        <v>0.126</v>
      </c>
      <c r="F110" s="184">
        <v>0.13</v>
      </c>
    </row>
    <row r="111" spans="1:6">
      <c r="A111" s="181" t="s">
        <v>275</v>
      </c>
      <c r="B111" s="185" t="s">
        <v>2204</v>
      </c>
      <c r="C111" s="186">
        <v>0.11</v>
      </c>
      <c r="D111" s="186">
        <v>0.11</v>
      </c>
      <c r="E111" s="186">
        <v>9.9000000000000005E-2</v>
      </c>
      <c r="F111" s="187">
        <v>0.128</v>
      </c>
    </row>
    <row r="112" spans="1:6">
      <c r="A112" s="181" t="s">
        <v>275</v>
      </c>
      <c r="B112" s="185" t="s">
        <v>2217</v>
      </c>
      <c r="C112" s="186">
        <v>0.125</v>
      </c>
      <c r="D112" s="186">
        <v>0.125</v>
      </c>
      <c r="E112" s="186">
        <v>0.12</v>
      </c>
      <c r="F112" s="187">
        <v>0.125</v>
      </c>
    </row>
    <row r="113" spans="1:6">
      <c r="A113" s="181" t="s">
        <v>275</v>
      </c>
      <c r="B113" s="185" t="s">
        <v>2229</v>
      </c>
      <c r="C113" s="186">
        <v>0.13</v>
      </c>
      <c r="D113" s="186">
        <v>0.13</v>
      </c>
      <c r="E113" s="186">
        <v>0.13</v>
      </c>
      <c r="F113" s="187">
        <v>0.13</v>
      </c>
    </row>
    <row r="114" spans="1:6">
      <c r="A114" s="181" t="s">
        <v>275</v>
      </c>
      <c r="B114" s="185" t="s">
        <v>2241</v>
      </c>
      <c r="C114" s="186">
        <v>0.123</v>
      </c>
      <c r="D114" s="186">
        <v>0.123</v>
      </c>
      <c r="E114" s="186">
        <v>0.12</v>
      </c>
      <c r="F114" s="187">
        <v>0.13</v>
      </c>
    </row>
    <row r="115" spans="1:6">
      <c r="A115" s="181" t="s">
        <v>275</v>
      </c>
      <c r="B115" s="185" t="s">
        <v>2252</v>
      </c>
      <c r="C115" s="186">
        <v>0.125</v>
      </c>
      <c r="D115" s="186">
        <v>0.125</v>
      </c>
      <c r="E115" s="186">
        <v>0.11700000000000001</v>
      </c>
      <c r="F115" s="187">
        <v>0.13</v>
      </c>
    </row>
    <row r="116" spans="1:6">
      <c r="A116" s="181" t="s">
        <v>275</v>
      </c>
      <c r="B116" s="185" t="s">
        <v>2263</v>
      </c>
      <c r="C116" s="186">
        <v>0.11700000000000001</v>
      </c>
      <c r="D116" s="186">
        <v>0.11700000000000001</v>
      </c>
      <c r="E116" s="186">
        <v>8.7999999999999995E-2</v>
      </c>
      <c r="F116" s="187">
        <v>0.13</v>
      </c>
    </row>
    <row r="117" spans="1:6">
      <c r="A117" s="181" t="s">
        <v>275</v>
      </c>
      <c r="B117" s="185" t="s">
        <v>2274</v>
      </c>
      <c r="C117" s="186">
        <v>0.13</v>
      </c>
      <c r="D117" s="186">
        <v>0.13</v>
      </c>
      <c r="E117" s="186">
        <v>0.129</v>
      </c>
      <c r="F117" s="187">
        <v>0.13</v>
      </c>
    </row>
    <row r="118" spans="1:6">
      <c r="A118" s="181" t="s">
        <v>275</v>
      </c>
      <c r="B118" s="185" t="s">
        <v>2284</v>
      </c>
      <c r="C118" s="186">
        <v>0.123</v>
      </c>
      <c r="D118" s="186">
        <v>0.123</v>
      </c>
      <c r="E118" s="186">
        <v>0.11600000000000001</v>
      </c>
      <c r="F118" s="187">
        <v>0.13</v>
      </c>
    </row>
    <row r="119" spans="1:6">
      <c r="A119" s="181" t="s">
        <v>275</v>
      </c>
      <c r="B119" s="185" t="s">
        <v>2294</v>
      </c>
      <c r="C119" s="186">
        <v>0.127</v>
      </c>
      <c r="D119" s="186">
        <v>0.127</v>
      </c>
      <c r="E119" s="186">
        <v>0.124</v>
      </c>
      <c r="F119" s="187">
        <v>0.13</v>
      </c>
    </row>
    <row r="120" spans="1:6">
      <c r="A120" s="181" t="s">
        <v>275</v>
      </c>
      <c r="B120" s="185" t="s">
        <v>2304</v>
      </c>
      <c r="C120" s="186">
        <v>0.125</v>
      </c>
      <c r="D120" s="186">
        <v>0.125</v>
      </c>
      <c r="E120" s="186">
        <v>0.122</v>
      </c>
      <c r="F120" s="187">
        <v>0.13</v>
      </c>
    </row>
    <row r="121" spans="1:6">
      <c r="A121" s="181" t="s">
        <v>275</v>
      </c>
      <c r="B121" s="185" t="s">
        <v>2314</v>
      </c>
      <c r="C121" s="186">
        <v>0.13</v>
      </c>
      <c r="D121" s="186">
        <v>0.13</v>
      </c>
      <c r="E121" s="186">
        <v>0.13</v>
      </c>
      <c r="F121" s="187">
        <v>0.13</v>
      </c>
    </row>
    <row r="122" spans="1:6">
      <c r="A122" s="181" t="s">
        <v>275</v>
      </c>
      <c r="B122" s="185" t="s">
        <v>2324</v>
      </c>
      <c r="C122" s="186">
        <v>0.13</v>
      </c>
      <c r="D122" s="186">
        <v>0.13</v>
      </c>
      <c r="E122" s="186">
        <v>0.125</v>
      </c>
      <c r="F122" s="187">
        <v>0.13</v>
      </c>
    </row>
    <row r="123" spans="1:6">
      <c r="A123" s="181" t="s">
        <v>275</v>
      </c>
      <c r="B123" s="185" t="s">
        <v>2334</v>
      </c>
      <c r="C123" s="186">
        <v>0.129</v>
      </c>
      <c r="D123" s="186">
        <v>0.129</v>
      </c>
      <c r="E123" s="186">
        <v>0.123</v>
      </c>
      <c r="F123" s="187">
        <v>0.13</v>
      </c>
    </row>
    <row r="124" spans="1:6">
      <c r="A124" s="181" t="s">
        <v>275</v>
      </c>
      <c r="B124" s="185" t="s">
        <v>2344</v>
      </c>
      <c r="C124" s="186">
        <v>0.10199999999999999</v>
      </c>
      <c r="D124" s="186">
        <v>0.10100000000000001</v>
      </c>
      <c r="E124" s="186">
        <v>0.08</v>
      </c>
      <c r="F124" s="194"/>
    </row>
    <row r="125" spans="1:6">
      <c r="A125" s="181" t="s">
        <v>275</v>
      </c>
      <c r="B125" s="185" t="s">
        <v>2354</v>
      </c>
      <c r="C125" s="186">
        <v>0.13</v>
      </c>
      <c r="D125" s="186">
        <v>0.13</v>
      </c>
      <c r="E125" s="186">
        <v>0.129</v>
      </c>
      <c r="F125" s="194"/>
    </row>
    <row r="126" spans="1:6">
      <c r="A126" s="181" t="s">
        <v>275</v>
      </c>
      <c r="B126" s="185" t="s">
        <v>2364</v>
      </c>
      <c r="C126" s="186">
        <v>0.13</v>
      </c>
      <c r="D126" s="186">
        <v>0.13</v>
      </c>
      <c r="E126" s="186">
        <v>0.126</v>
      </c>
      <c r="F126" s="194"/>
    </row>
    <row r="127" spans="1:6">
      <c r="A127" s="181" t="s">
        <v>275</v>
      </c>
      <c r="B127" s="185" t="s">
        <v>2374</v>
      </c>
      <c r="C127" s="186">
        <v>0.125</v>
      </c>
      <c r="D127" s="186">
        <v>0.125</v>
      </c>
      <c r="E127" s="186">
        <v>0.121</v>
      </c>
      <c r="F127" s="194"/>
    </row>
    <row r="128" spans="1:6">
      <c r="A128" s="181" t="s">
        <v>275</v>
      </c>
      <c r="B128" s="185" t="s">
        <v>2384</v>
      </c>
      <c r="C128" s="186">
        <v>0.12</v>
      </c>
      <c r="D128" s="186">
        <v>0.12</v>
      </c>
      <c r="E128" s="186">
        <v>0.105</v>
      </c>
      <c r="F128" s="194"/>
    </row>
    <row r="129" spans="1:6">
      <c r="A129" s="181" t="s">
        <v>275</v>
      </c>
      <c r="B129" s="185" t="s">
        <v>2393</v>
      </c>
      <c r="C129" s="186">
        <v>0.13</v>
      </c>
      <c r="D129" s="186">
        <v>0.13</v>
      </c>
      <c r="E129" s="186">
        <v>0.126</v>
      </c>
      <c r="F129" s="194"/>
    </row>
    <row r="130" spans="1:6">
      <c r="A130" s="181" t="s">
        <v>275</v>
      </c>
      <c r="B130" s="185" t="s">
        <v>2401</v>
      </c>
      <c r="C130" s="186">
        <v>0.125</v>
      </c>
      <c r="D130" s="186">
        <v>0.125</v>
      </c>
      <c r="E130" s="186">
        <v>0.122</v>
      </c>
      <c r="F130" s="194"/>
    </row>
    <row r="131" spans="1:6">
      <c r="A131" s="181" t="s">
        <v>275</v>
      </c>
      <c r="B131" s="185" t="s">
        <v>2409</v>
      </c>
      <c r="C131" s="186">
        <v>0.127</v>
      </c>
      <c r="D131" s="186">
        <v>0.126</v>
      </c>
      <c r="E131" s="186">
        <v>0.123</v>
      </c>
      <c r="F131" s="194"/>
    </row>
    <row r="132" spans="1:6">
      <c r="A132" s="181" t="s">
        <v>275</v>
      </c>
      <c r="B132" s="185" t="s">
        <v>2416</v>
      </c>
      <c r="C132" s="186">
        <v>9.0999999999999998E-2</v>
      </c>
      <c r="D132" s="186">
        <v>0.121</v>
      </c>
      <c r="E132" s="186">
        <v>9.9000000000000005E-2</v>
      </c>
      <c r="F132" s="194"/>
    </row>
    <row r="133" spans="1:6">
      <c r="A133" s="181" t="s">
        <v>275</v>
      </c>
      <c r="B133" s="185" t="s">
        <v>2423</v>
      </c>
      <c r="C133" s="186">
        <v>0.13</v>
      </c>
      <c r="D133" s="186">
        <v>0.13</v>
      </c>
      <c r="E133" s="186">
        <v>0.129</v>
      </c>
      <c r="F133" s="194"/>
    </row>
    <row r="134" spans="1:6">
      <c r="A134" s="181" t="s">
        <v>275</v>
      </c>
      <c r="B134" s="185" t="s">
        <v>2430</v>
      </c>
      <c r="C134" s="186">
        <v>6.8000000000000005E-2</v>
      </c>
      <c r="D134" s="186">
        <v>6.5000000000000002E-2</v>
      </c>
      <c r="E134" s="186">
        <v>6.5000000000000002E-2</v>
      </c>
      <c r="F134" s="187">
        <v>0.13</v>
      </c>
    </row>
    <row r="135" spans="1:6">
      <c r="A135" s="181" t="s">
        <v>275</v>
      </c>
      <c r="B135" s="185" t="s">
        <v>2437</v>
      </c>
      <c r="C135" s="186">
        <v>0.123</v>
      </c>
      <c r="D135" s="186">
        <v>0.123</v>
      </c>
      <c r="E135" s="186">
        <v>0.11</v>
      </c>
      <c r="F135" s="194"/>
    </row>
    <row r="136" spans="1:6">
      <c r="A136" s="181" t="s">
        <v>275</v>
      </c>
      <c r="B136" s="185" t="s">
        <v>2444</v>
      </c>
      <c r="C136" s="186">
        <v>0.13</v>
      </c>
      <c r="D136" s="186">
        <v>0.13</v>
      </c>
      <c r="E136" s="186">
        <v>0.125</v>
      </c>
      <c r="F136" s="194"/>
    </row>
    <row r="137" spans="1:6">
      <c r="A137" s="181" t="s">
        <v>275</v>
      </c>
      <c r="B137" s="185" t="s">
        <v>2449</v>
      </c>
      <c r="C137" s="186">
        <v>0.121</v>
      </c>
      <c r="D137" s="186">
        <v>0.122</v>
      </c>
      <c r="E137" s="186">
        <v>0.115</v>
      </c>
      <c r="F137" s="194"/>
    </row>
    <row r="138" spans="1:6">
      <c r="A138" s="181" t="s">
        <v>275</v>
      </c>
      <c r="B138" s="185" t="s">
        <v>2454</v>
      </c>
      <c r="C138" s="186">
        <v>0.105</v>
      </c>
      <c r="D138" s="186">
        <v>0.125</v>
      </c>
      <c r="E138" s="186">
        <v>0.112</v>
      </c>
      <c r="F138" s="194"/>
    </row>
    <row r="139" spans="1:6">
      <c r="A139" s="181" t="s">
        <v>275</v>
      </c>
      <c r="B139" s="185" t="s">
        <v>2459</v>
      </c>
      <c r="C139" s="186">
        <v>0.127</v>
      </c>
      <c r="D139" s="186">
        <v>0.127</v>
      </c>
      <c r="E139" s="186">
        <v>0.122</v>
      </c>
      <c r="F139" s="187">
        <v>0.13</v>
      </c>
    </row>
    <row r="140" spans="1:6">
      <c r="A140" s="181" t="s">
        <v>275</v>
      </c>
      <c r="B140" s="185" t="s">
        <v>2464</v>
      </c>
      <c r="C140" s="186">
        <v>0.125</v>
      </c>
      <c r="D140" s="186">
        <v>0.125</v>
      </c>
      <c r="E140" s="186">
        <v>0.11899999999999999</v>
      </c>
      <c r="F140" s="187">
        <v>0.13</v>
      </c>
    </row>
    <row r="141" spans="1:6">
      <c r="A141" s="181" t="s">
        <v>275</v>
      </c>
      <c r="B141" s="185" t="s">
        <v>2469</v>
      </c>
      <c r="C141" s="186">
        <v>0.125</v>
      </c>
      <c r="D141" s="186">
        <v>0.125</v>
      </c>
      <c r="E141" s="186">
        <v>0.11700000000000001</v>
      </c>
      <c r="F141" s="194"/>
    </row>
    <row r="142" spans="1:6">
      <c r="A142" s="181" t="s">
        <v>275</v>
      </c>
      <c r="B142" s="185" t="s">
        <v>2474</v>
      </c>
      <c r="C142" s="186">
        <v>0.125</v>
      </c>
      <c r="D142" s="186">
        <v>0.125</v>
      </c>
      <c r="E142" s="186">
        <v>0.115</v>
      </c>
      <c r="F142" s="194"/>
    </row>
    <row r="143" spans="1:6">
      <c r="A143" s="181" t="s">
        <v>275</v>
      </c>
      <c r="B143" s="185" t="s">
        <v>2479</v>
      </c>
      <c r="C143" s="186">
        <v>0.121</v>
      </c>
      <c r="D143" s="186">
        <v>0.121</v>
      </c>
      <c r="E143" s="186">
        <v>0.108</v>
      </c>
      <c r="F143" s="194"/>
    </row>
    <row r="144" spans="1:6">
      <c r="A144" s="181" t="s">
        <v>275</v>
      </c>
      <c r="B144" s="198" t="s">
        <v>2483</v>
      </c>
      <c r="C144" s="199">
        <v>0.126</v>
      </c>
      <c r="D144" s="199">
        <v>0.126</v>
      </c>
      <c r="E144" s="199">
        <v>0.121</v>
      </c>
      <c r="F144" s="194"/>
    </row>
    <row r="145" spans="1:6">
      <c r="A145" s="189" t="s">
        <v>275</v>
      </c>
      <c r="B145" s="200" t="s">
        <v>2487</v>
      </c>
      <c r="C145" s="201"/>
      <c r="D145" s="201"/>
      <c r="E145" s="201"/>
      <c r="F145" s="202">
        <v>0.05</v>
      </c>
    </row>
    <row r="146" spans="1:6" ht="24">
      <c r="A146" s="203" t="s">
        <v>275</v>
      </c>
      <c r="B146" s="188" t="s">
        <v>2491</v>
      </c>
      <c r="C146" s="195"/>
      <c r="D146" s="195"/>
      <c r="E146" s="195"/>
      <c r="F146" s="204">
        <v>0.05</v>
      </c>
    </row>
    <row r="147" spans="1:6" ht="24">
      <c r="A147" s="181" t="s">
        <v>275</v>
      </c>
      <c r="B147" s="185" t="s">
        <v>2495</v>
      </c>
      <c r="C147" s="195"/>
      <c r="D147" s="195"/>
      <c r="E147" s="195"/>
      <c r="F147" s="187">
        <v>0.05</v>
      </c>
    </row>
    <row r="148" spans="1:6" ht="24">
      <c r="A148" s="181" t="s">
        <v>275</v>
      </c>
      <c r="B148" s="185" t="s">
        <v>2499</v>
      </c>
      <c r="C148" s="195"/>
      <c r="D148" s="195"/>
      <c r="E148" s="195"/>
      <c r="F148" s="187">
        <v>0.05</v>
      </c>
    </row>
    <row r="149" spans="1:6" ht="24">
      <c r="A149" s="181" t="s">
        <v>275</v>
      </c>
      <c r="B149" s="185" t="s">
        <v>2503</v>
      </c>
      <c r="C149" s="195"/>
      <c r="D149" s="195"/>
      <c r="E149" s="195"/>
      <c r="F149" s="187">
        <v>0.05</v>
      </c>
    </row>
    <row r="150" spans="1:6" ht="24">
      <c r="A150" s="181" t="s">
        <v>275</v>
      </c>
      <c r="B150" s="185" t="s">
        <v>2506</v>
      </c>
      <c r="C150" s="195"/>
      <c r="D150" s="195"/>
      <c r="E150" s="195"/>
      <c r="F150" s="187">
        <v>0.05</v>
      </c>
    </row>
    <row r="151" spans="1:6" ht="24">
      <c r="A151" s="181" t="s">
        <v>275</v>
      </c>
      <c r="B151" s="185" t="s">
        <v>2509</v>
      </c>
      <c r="C151" s="195"/>
      <c r="D151" s="195"/>
      <c r="E151" s="195"/>
      <c r="F151" s="187">
        <v>0.05</v>
      </c>
    </row>
    <row r="152" spans="1:6" ht="24">
      <c r="A152" s="181" t="s">
        <v>275</v>
      </c>
      <c r="B152" s="185" t="s">
        <v>2512</v>
      </c>
      <c r="C152" s="195"/>
      <c r="D152" s="195"/>
      <c r="E152" s="195"/>
      <c r="F152" s="187">
        <v>0.05</v>
      </c>
    </row>
    <row r="153" spans="1:6">
      <c r="A153" s="181" t="s">
        <v>275</v>
      </c>
      <c r="B153" s="185" t="s">
        <v>2515</v>
      </c>
      <c r="C153" s="195"/>
      <c r="D153" s="195"/>
      <c r="E153" s="195"/>
      <c r="F153" s="187">
        <v>0.05</v>
      </c>
    </row>
    <row r="154" spans="1:6">
      <c r="A154" s="181" t="s">
        <v>275</v>
      </c>
      <c r="B154" s="185" t="s">
        <v>2518</v>
      </c>
      <c r="C154" s="195"/>
      <c r="D154" s="195"/>
      <c r="E154" s="195"/>
      <c r="F154" s="187">
        <v>0.05</v>
      </c>
    </row>
    <row r="155" spans="1:6" ht="24">
      <c r="A155" s="181" t="s">
        <v>275</v>
      </c>
      <c r="B155" s="185" t="s">
        <v>2521</v>
      </c>
      <c r="C155" s="195"/>
      <c r="D155" s="195"/>
      <c r="E155" s="195"/>
      <c r="F155" s="187">
        <v>0.05</v>
      </c>
    </row>
    <row r="156" spans="1:6" ht="24">
      <c r="A156" s="181" t="s">
        <v>275</v>
      </c>
      <c r="B156" s="185" t="s">
        <v>2523</v>
      </c>
      <c r="C156" s="195"/>
      <c r="D156" s="195"/>
      <c r="E156" s="195"/>
      <c r="F156" s="187">
        <v>0.05</v>
      </c>
    </row>
    <row r="157" spans="1:6">
      <c r="A157" s="189" t="s">
        <v>275</v>
      </c>
      <c r="B157" s="196" t="s">
        <v>2525</v>
      </c>
      <c r="C157" s="192"/>
      <c r="D157" s="192"/>
      <c r="E157" s="192"/>
      <c r="F157" s="197">
        <v>0.05</v>
      </c>
    </row>
    <row r="158" spans="1:6">
      <c r="A158" s="181" t="s">
        <v>280</v>
      </c>
      <c r="B158" s="182" t="s">
        <v>2192</v>
      </c>
      <c r="C158" s="183">
        <v>0.13</v>
      </c>
      <c r="D158" s="183">
        <v>0.13</v>
      </c>
      <c r="E158" s="183">
        <v>0.13</v>
      </c>
      <c r="F158" s="184">
        <v>0.13</v>
      </c>
    </row>
    <row r="159" spans="1:6">
      <c r="A159" s="181" t="s">
        <v>280</v>
      </c>
      <c r="B159" s="185" t="s">
        <v>408</v>
      </c>
      <c r="C159" s="186">
        <v>0.13</v>
      </c>
      <c r="D159" s="186">
        <v>0.13</v>
      </c>
      <c r="E159" s="186">
        <v>0.13</v>
      </c>
      <c r="F159" s="187">
        <v>0.13</v>
      </c>
    </row>
    <row r="160" spans="1:6">
      <c r="A160" s="181" t="s">
        <v>280</v>
      </c>
      <c r="B160" s="185" t="s">
        <v>2218</v>
      </c>
      <c r="C160" s="186">
        <v>0.13</v>
      </c>
      <c r="D160" s="186">
        <v>0.13</v>
      </c>
      <c r="E160" s="186">
        <v>0.129</v>
      </c>
      <c r="F160" s="187">
        <v>0.13</v>
      </c>
    </row>
    <row r="161" spans="1:6">
      <c r="A161" s="181" t="s">
        <v>280</v>
      </c>
      <c r="B161" s="185" t="s">
        <v>2230</v>
      </c>
      <c r="C161" s="186">
        <v>0.128</v>
      </c>
      <c r="D161" s="186">
        <v>0.128</v>
      </c>
      <c r="E161" s="186">
        <v>0.125</v>
      </c>
      <c r="F161" s="187">
        <v>0.13</v>
      </c>
    </row>
    <row r="162" spans="1:6">
      <c r="A162" s="181" t="s">
        <v>280</v>
      </c>
      <c r="B162" s="185" t="s">
        <v>2242</v>
      </c>
      <c r="C162" s="186">
        <v>0.122</v>
      </c>
      <c r="D162" s="186">
        <v>0.122</v>
      </c>
      <c r="E162" s="186">
        <v>0.126</v>
      </c>
      <c r="F162" s="187">
        <v>0.122</v>
      </c>
    </row>
    <row r="163" spans="1:6">
      <c r="A163" s="181" t="s">
        <v>280</v>
      </c>
      <c r="B163" s="185" t="s">
        <v>2253</v>
      </c>
      <c r="C163" s="186">
        <v>0.13</v>
      </c>
      <c r="D163" s="186">
        <v>0.13</v>
      </c>
      <c r="E163" s="186">
        <v>0.125</v>
      </c>
      <c r="F163" s="187">
        <v>0.13</v>
      </c>
    </row>
    <row r="164" spans="1:6">
      <c r="A164" s="181" t="s">
        <v>280</v>
      </c>
      <c r="B164" s="185" t="s">
        <v>2264</v>
      </c>
      <c r="C164" s="186">
        <v>0.13</v>
      </c>
      <c r="D164" s="186">
        <v>0.13</v>
      </c>
      <c r="E164" s="186">
        <v>0.13</v>
      </c>
      <c r="F164" s="187">
        <v>0.13</v>
      </c>
    </row>
    <row r="165" spans="1:6">
      <c r="A165" s="181" t="s">
        <v>280</v>
      </c>
      <c r="B165" s="185" t="s">
        <v>2275</v>
      </c>
      <c r="C165" s="186">
        <v>0.13</v>
      </c>
      <c r="D165" s="186">
        <v>0.13</v>
      </c>
      <c r="E165" s="186">
        <v>0.124</v>
      </c>
      <c r="F165" s="187">
        <v>0.13</v>
      </c>
    </row>
    <row r="166" spans="1:6">
      <c r="A166" s="181" t="s">
        <v>280</v>
      </c>
      <c r="B166" s="185" t="s">
        <v>2285</v>
      </c>
      <c r="C166" s="186">
        <v>0.13</v>
      </c>
      <c r="D166" s="186">
        <v>0.13</v>
      </c>
      <c r="E166" s="186">
        <v>0.13</v>
      </c>
      <c r="F166" s="187">
        <v>0.13</v>
      </c>
    </row>
    <row r="167" spans="1:6">
      <c r="A167" s="181" t="s">
        <v>280</v>
      </c>
      <c r="B167" s="185" t="s">
        <v>2295</v>
      </c>
      <c r="C167" s="186">
        <v>0.125</v>
      </c>
      <c r="D167" s="186">
        <v>0.125</v>
      </c>
      <c r="E167" s="186">
        <v>0.121</v>
      </c>
      <c r="F167" s="194"/>
    </row>
    <row r="168" spans="1:6">
      <c r="A168" s="181" t="s">
        <v>280</v>
      </c>
      <c r="B168" s="185" t="s">
        <v>2305</v>
      </c>
      <c r="C168" s="186">
        <v>0.13</v>
      </c>
      <c r="D168" s="186">
        <v>0.13</v>
      </c>
      <c r="E168" s="186">
        <v>0.126</v>
      </c>
      <c r="F168" s="194"/>
    </row>
    <row r="169" spans="1:6">
      <c r="A169" s="181" t="s">
        <v>280</v>
      </c>
      <c r="B169" s="185" t="s">
        <v>2315</v>
      </c>
      <c r="C169" s="186">
        <v>0.128</v>
      </c>
      <c r="D169" s="186">
        <v>0.129</v>
      </c>
      <c r="E169" s="186">
        <v>0.13</v>
      </c>
      <c r="F169" s="194"/>
    </row>
    <row r="170" spans="1:6">
      <c r="A170" s="181" t="s">
        <v>280</v>
      </c>
      <c r="B170" s="185" t="s">
        <v>2325</v>
      </c>
      <c r="C170" s="186">
        <v>0.14099999999999999</v>
      </c>
      <c r="D170" s="186">
        <v>0.13</v>
      </c>
      <c r="E170" s="186">
        <v>0.125</v>
      </c>
      <c r="F170" s="194"/>
    </row>
    <row r="171" spans="1:6">
      <c r="A171" s="181" t="s">
        <v>280</v>
      </c>
      <c r="B171" s="185" t="s">
        <v>2335</v>
      </c>
      <c r="C171" s="186">
        <v>0.127</v>
      </c>
      <c r="D171" s="186">
        <v>0.126</v>
      </c>
      <c r="E171" s="186">
        <v>0.126</v>
      </c>
      <c r="F171" s="187">
        <v>0.11799999999999999</v>
      </c>
    </row>
    <row r="172" spans="1:6">
      <c r="A172" s="181" t="s">
        <v>280</v>
      </c>
      <c r="B172" s="185" t="s">
        <v>2345</v>
      </c>
      <c r="C172" s="186">
        <v>0.13</v>
      </c>
      <c r="D172" s="186">
        <v>0.13</v>
      </c>
      <c r="E172" s="186">
        <v>0.13</v>
      </c>
      <c r="F172" s="194"/>
    </row>
    <row r="173" spans="1:6">
      <c r="A173" s="181" t="s">
        <v>280</v>
      </c>
      <c r="B173" s="185" t="s">
        <v>2355</v>
      </c>
      <c r="C173" s="186">
        <v>0.13</v>
      </c>
      <c r="D173" s="186">
        <v>0.13</v>
      </c>
      <c r="E173" s="186">
        <v>0.13</v>
      </c>
      <c r="F173" s="194"/>
    </row>
    <row r="174" spans="1:6">
      <c r="A174" s="181" t="s">
        <v>280</v>
      </c>
      <c r="B174" s="185" t="s">
        <v>2365</v>
      </c>
      <c r="C174" s="186">
        <v>0.13</v>
      </c>
      <c r="D174" s="186">
        <v>0.13</v>
      </c>
      <c r="E174" s="186">
        <v>0.13</v>
      </c>
      <c r="F174" s="187">
        <v>0.13</v>
      </c>
    </row>
    <row r="175" spans="1:6">
      <c r="A175" s="181" t="s">
        <v>280</v>
      </c>
      <c r="B175" s="185" t="s">
        <v>2375</v>
      </c>
      <c r="C175" s="186">
        <v>0.13</v>
      </c>
      <c r="D175" s="186">
        <v>0.13</v>
      </c>
      <c r="E175" s="186">
        <v>0.13</v>
      </c>
      <c r="F175" s="187">
        <v>0.13</v>
      </c>
    </row>
    <row r="176" spans="1:6">
      <c r="A176" s="181" t="s">
        <v>280</v>
      </c>
      <c r="B176" s="185" t="s">
        <v>2385</v>
      </c>
      <c r="C176" s="186">
        <v>0.13</v>
      </c>
      <c r="D176" s="186">
        <v>0.13</v>
      </c>
      <c r="E176" s="186">
        <v>0.13</v>
      </c>
      <c r="F176" s="187">
        <v>0.13</v>
      </c>
    </row>
    <row r="177" spans="1:6">
      <c r="A177" s="181" t="s">
        <v>280</v>
      </c>
      <c r="B177" s="185" t="s">
        <v>2394</v>
      </c>
      <c r="C177" s="186">
        <v>0.13</v>
      </c>
      <c r="D177" s="186">
        <v>0.13</v>
      </c>
      <c r="E177" s="186">
        <v>0.13</v>
      </c>
      <c r="F177" s="187">
        <v>0.13</v>
      </c>
    </row>
    <row r="178" spans="1:6">
      <c r="A178" s="181" t="s">
        <v>280</v>
      </c>
      <c r="B178" s="185" t="s">
        <v>2402</v>
      </c>
      <c r="C178" s="186">
        <v>0.13</v>
      </c>
      <c r="D178" s="186">
        <v>0.13</v>
      </c>
      <c r="E178" s="186">
        <v>0.13</v>
      </c>
      <c r="F178" s="187">
        <v>0.127</v>
      </c>
    </row>
    <row r="179" spans="1:6">
      <c r="A179" s="181" t="s">
        <v>280</v>
      </c>
      <c r="B179" s="185" t="s">
        <v>2410</v>
      </c>
      <c r="C179" s="186">
        <v>0.13</v>
      </c>
      <c r="D179" s="186">
        <v>0.13</v>
      </c>
      <c r="E179" s="186">
        <v>0.13</v>
      </c>
      <c r="F179" s="194"/>
    </row>
    <row r="180" spans="1:6">
      <c r="A180" s="181" t="s">
        <v>280</v>
      </c>
      <c r="B180" s="185" t="s">
        <v>2417</v>
      </c>
      <c r="C180" s="186">
        <v>0.13</v>
      </c>
      <c r="D180" s="186">
        <v>0.13</v>
      </c>
      <c r="E180" s="186">
        <v>0.125</v>
      </c>
      <c r="F180" s="187">
        <v>0.13</v>
      </c>
    </row>
    <row r="181" spans="1:6">
      <c r="A181" s="181" t="s">
        <v>280</v>
      </c>
      <c r="B181" s="185" t="s">
        <v>2424</v>
      </c>
      <c r="C181" s="186">
        <v>0.122</v>
      </c>
      <c r="D181" s="186">
        <v>0.123</v>
      </c>
      <c r="E181" s="186">
        <v>0.126</v>
      </c>
      <c r="F181" s="187">
        <v>0.121</v>
      </c>
    </row>
    <row r="182" spans="1:6">
      <c r="A182" s="181" t="s">
        <v>280</v>
      </c>
      <c r="B182" s="185" t="s">
        <v>2431</v>
      </c>
      <c r="C182" s="186">
        <v>0.125</v>
      </c>
      <c r="D182" s="186">
        <v>0.125</v>
      </c>
      <c r="E182" s="186">
        <v>0.11700000000000001</v>
      </c>
      <c r="F182" s="187">
        <v>0.13</v>
      </c>
    </row>
    <row r="183" spans="1:6">
      <c r="A183" s="181" t="s">
        <v>280</v>
      </c>
      <c r="B183" s="185" t="s">
        <v>2438</v>
      </c>
      <c r="C183" s="186">
        <v>0.127</v>
      </c>
      <c r="D183" s="186">
        <v>0.127</v>
      </c>
      <c r="E183" s="186">
        <v>0.128</v>
      </c>
      <c r="F183" s="194"/>
    </row>
    <row r="184" spans="1:6">
      <c r="A184" s="181" t="s">
        <v>280</v>
      </c>
      <c r="B184" s="185" t="s">
        <v>2445</v>
      </c>
      <c r="C184" s="186">
        <v>0.125</v>
      </c>
      <c r="D184" s="186">
        <v>0.125</v>
      </c>
      <c r="E184" s="186">
        <v>0.127</v>
      </c>
      <c r="F184" s="194"/>
    </row>
    <row r="185" spans="1:6">
      <c r="A185" s="181" t="s">
        <v>280</v>
      </c>
      <c r="B185" s="185" t="s">
        <v>2450</v>
      </c>
      <c r="C185" s="186">
        <v>0.127</v>
      </c>
      <c r="D185" s="186">
        <v>0.127</v>
      </c>
      <c r="E185" s="186">
        <v>0.128</v>
      </c>
      <c r="F185" s="187">
        <v>0.13</v>
      </c>
    </row>
    <row r="186" spans="1:6" ht="24">
      <c r="A186" s="181" t="s">
        <v>280</v>
      </c>
      <c r="B186" s="185" t="s">
        <v>2455</v>
      </c>
      <c r="C186" s="195"/>
      <c r="D186" s="195"/>
      <c r="E186" s="195"/>
      <c r="F186" s="187">
        <v>0.05</v>
      </c>
    </row>
    <row r="187" spans="1:6">
      <c r="A187" s="181" t="s">
        <v>280</v>
      </c>
      <c r="B187" s="185" t="s">
        <v>2460</v>
      </c>
      <c r="C187" s="195"/>
      <c r="D187" s="195"/>
      <c r="E187" s="195"/>
      <c r="F187" s="187">
        <v>0.05</v>
      </c>
    </row>
    <row r="188" spans="1:6">
      <c r="A188" s="181" t="s">
        <v>280</v>
      </c>
      <c r="B188" s="185" t="s">
        <v>2465</v>
      </c>
      <c r="C188" s="195"/>
      <c r="D188" s="195"/>
      <c r="E188" s="195"/>
      <c r="F188" s="187">
        <v>0.05</v>
      </c>
    </row>
    <row r="189" spans="1:6" ht="24">
      <c r="A189" s="181" t="s">
        <v>280</v>
      </c>
      <c r="B189" s="185" t="s">
        <v>2470</v>
      </c>
      <c r="C189" s="195"/>
      <c r="D189" s="195"/>
      <c r="E189" s="195"/>
      <c r="F189" s="187">
        <v>0.05</v>
      </c>
    </row>
    <row r="190" spans="1:6" ht="24">
      <c r="A190" s="181" t="s">
        <v>280</v>
      </c>
      <c r="B190" s="185" t="s">
        <v>2475</v>
      </c>
      <c r="C190" s="195"/>
      <c r="D190" s="195"/>
      <c r="E190" s="195"/>
      <c r="F190" s="187">
        <v>0.05</v>
      </c>
    </row>
    <row r="191" spans="1:6" ht="24">
      <c r="A191" s="181" t="s">
        <v>280</v>
      </c>
      <c r="B191" s="185" t="s">
        <v>2480</v>
      </c>
      <c r="C191" s="195"/>
      <c r="D191" s="195"/>
      <c r="E191" s="195"/>
      <c r="F191" s="187">
        <v>0.05</v>
      </c>
    </row>
    <row r="192" spans="1:6" ht="24">
      <c r="A192" s="181" t="s">
        <v>280</v>
      </c>
      <c r="B192" s="185" t="s">
        <v>2484</v>
      </c>
      <c r="C192" s="195"/>
      <c r="D192" s="195"/>
      <c r="E192" s="195"/>
      <c r="F192" s="187">
        <v>0.05</v>
      </c>
    </row>
    <row r="193" spans="1:6" ht="24">
      <c r="A193" s="181" t="s">
        <v>280</v>
      </c>
      <c r="B193" s="185" t="s">
        <v>2488</v>
      </c>
      <c r="C193" s="195"/>
      <c r="D193" s="195"/>
      <c r="E193" s="195"/>
      <c r="F193" s="187">
        <v>0.05</v>
      </c>
    </row>
    <row r="194" spans="1:6" ht="24">
      <c r="A194" s="181" t="s">
        <v>280</v>
      </c>
      <c r="B194" s="185" t="s">
        <v>2492</v>
      </c>
      <c r="C194" s="195"/>
      <c r="D194" s="195"/>
      <c r="E194" s="195"/>
      <c r="F194" s="187">
        <v>0.05</v>
      </c>
    </row>
    <row r="195" spans="1:6">
      <c r="A195" s="181" t="s">
        <v>280</v>
      </c>
      <c r="B195" s="185" t="s">
        <v>2496</v>
      </c>
      <c r="C195" s="195"/>
      <c r="D195" s="195"/>
      <c r="E195" s="195"/>
      <c r="F195" s="187">
        <v>0.05</v>
      </c>
    </row>
    <row r="196" spans="1:6" ht="24">
      <c r="A196" s="181" t="s">
        <v>280</v>
      </c>
      <c r="B196" s="185" t="s">
        <v>2500</v>
      </c>
      <c r="C196" s="195"/>
      <c r="D196" s="195"/>
      <c r="E196" s="195"/>
      <c r="F196" s="187">
        <v>0.05</v>
      </c>
    </row>
    <row r="197" spans="1:6" ht="24">
      <c r="A197" s="181" t="s">
        <v>280</v>
      </c>
      <c r="B197" s="185" t="s">
        <v>2504</v>
      </c>
      <c r="C197" s="195"/>
      <c r="D197" s="195"/>
      <c r="E197" s="195"/>
      <c r="F197" s="187">
        <v>0.05</v>
      </c>
    </row>
    <row r="198" spans="1:6" ht="24">
      <c r="A198" s="181" t="s">
        <v>280</v>
      </c>
      <c r="B198" s="185" t="s">
        <v>2507</v>
      </c>
      <c r="C198" s="195"/>
      <c r="D198" s="195"/>
      <c r="E198" s="195"/>
      <c r="F198" s="187">
        <v>0.05</v>
      </c>
    </row>
    <row r="199" spans="1:6" ht="24">
      <c r="A199" s="181" t="s">
        <v>280</v>
      </c>
      <c r="B199" s="185" t="s">
        <v>2510</v>
      </c>
      <c r="C199" s="195"/>
      <c r="D199" s="195"/>
      <c r="E199" s="195"/>
      <c r="F199" s="187">
        <v>0.05</v>
      </c>
    </row>
    <row r="200" spans="1:6" ht="24">
      <c r="A200" s="181" t="s">
        <v>280</v>
      </c>
      <c r="B200" s="185" t="s">
        <v>2513</v>
      </c>
      <c r="C200" s="195"/>
      <c r="D200" s="195"/>
      <c r="E200" s="195"/>
      <c r="F200" s="187">
        <v>0.05</v>
      </c>
    </row>
    <row r="201" spans="1:6" ht="24">
      <c r="A201" s="181" t="s">
        <v>280</v>
      </c>
      <c r="B201" s="185" t="s">
        <v>2516</v>
      </c>
      <c r="C201" s="195"/>
      <c r="D201" s="195"/>
      <c r="E201" s="195"/>
      <c r="F201" s="187">
        <v>0.05</v>
      </c>
    </row>
    <row r="202" spans="1:6" ht="24">
      <c r="A202" s="181" t="s">
        <v>280</v>
      </c>
      <c r="B202" s="185" t="s">
        <v>2519</v>
      </c>
      <c r="C202" s="195"/>
      <c r="D202" s="195"/>
      <c r="E202" s="195"/>
      <c r="F202" s="187">
        <v>0.05</v>
      </c>
    </row>
    <row r="203" spans="1:6" ht="24">
      <c r="A203" s="181" t="s">
        <v>280</v>
      </c>
      <c r="B203" s="185" t="s">
        <v>2522</v>
      </c>
      <c r="C203" s="195"/>
      <c r="D203" s="195"/>
      <c r="E203" s="195"/>
      <c r="F203" s="187">
        <v>0.05</v>
      </c>
    </row>
    <row r="204" spans="1:6">
      <c r="A204" s="181" t="s">
        <v>280</v>
      </c>
      <c r="B204" s="185" t="s">
        <v>2524</v>
      </c>
      <c r="C204" s="195"/>
      <c r="D204" s="195"/>
      <c r="E204" s="195"/>
      <c r="F204" s="187">
        <v>0.05</v>
      </c>
    </row>
    <row r="205" spans="1:6">
      <c r="A205" s="189" t="s">
        <v>280</v>
      </c>
      <c r="B205" s="196" t="s">
        <v>2526</v>
      </c>
      <c r="C205" s="192"/>
      <c r="D205" s="192"/>
      <c r="E205" s="192"/>
      <c r="F205" s="197">
        <v>0.05</v>
      </c>
    </row>
    <row r="206" spans="1:6">
      <c r="A206" s="181" t="s">
        <v>285</v>
      </c>
      <c r="B206" s="182" t="s">
        <v>2193</v>
      </c>
      <c r="C206" s="183">
        <v>0.15</v>
      </c>
      <c r="D206" s="183">
        <v>0.15</v>
      </c>
      <c r="E206" s="183">
        <v>0.15</v>
      </c>
      <c r="F206" s="184">
        <v>0.15</v>
      </c>
    </row>
    <row r="207" spans="1:6">
      <c r="A207" s="181" t="s">
        <v>285</v>
      </c>
      <c r="B207" s="185" t="s">
        <v>2205</v>
      </c>
      <c r="C207" s="186">
        <v>0.15</v>
      </c>
      <c r="D207" s="186">
        <v>0.15</v>
      </c>
      <c r="E207" s="186">
        <v>0.15</v>
      </c>
      <c r="F207" s="187">
        <v>0.14399999999999999</v>
      </c>
    </row>
    <row r="208" spans="1:6">
      <c r="A208" s="181" t="s">
        <v>285</v>
      </c>
      <c r="B208" s="185" t="s">
        <v>2219</v>
      </c>
      <c r="C208" s="186">
        <v>0.15</v>
      </c>
      <c r="D208" s="186">
        <v>0.15</v>
      </c>
      <c r="E208" s="186">
        <v>0.15</v>
      </c>
      <c r="F208" s="187">
        <v>0.15</v>
      </c>
    </row>
    <row r="209" spans="1:6">
      <c r="A209" s="181" t="s">
        <v>285</v>
      </c>
      <c r="B209" s="185" t="s">
        <v>2231</v>
      </c>
      <c r="C209" s="186">
        <v>0.13700000000000001</v>
      </c>
      <c r="D209" s="186">
        <v>0.13700000000000001</v>
      </c>
      <c r="E209" s="186">
        <v>0.14000000000000001</v>
      </c>
      <c r="F209" s="187">
        <v>0.11700000000000001</v>
      </c>
    </row>
    <row r="210" spans="1:6">
      <c r="A210" s="181" t="s">
        <v>285</v>
      </c>
      <c r="B210" s="185" t="s">
        <v>2243</v>
      </c>
      <c r="C210" s="186">
        <v>0.15</v>
      </c>
      <c r="D210" s="186">
        <v>0.15</v>
      </c>
      <c r="E210" s="186">
        <v>0.15</v>
      </c>
      <c r="F210" s="187">
        <v>0.13800000000000001</v>
      </c>
    </row>
    <row r="211" spans="1:6">
      <c r="A211" s="181" t="s">
        <v>285</v>
      </c>
      <c r="B211" s="185" t="s">
        <v>2254</v>
      </c>
      <c r="C211" s="186">
        <v>0.13700000000000001</v>
      </c>
      <c r="D211" s="186">
        <v>0.13500000000000001</v>
      </c>
      <c r="E211" s="186">
        <v>0.13600000000000001</v>
      </c>
      <c r="F211" s="187">
        <v>0.1</v>
      </c>
    </row>
    <row r="212" spans="1:6">
      <c r="A212" s="181" t="s">
        <v>285</v>
      </c>
      <c r="B212" s="185" t="s">
        <v>2265</v>
      </c>
      <c r="C212" s="186">
        <v>0.15</v>
      </c>
      <c r="D212" s="186">
        <v>0.15</v>
      </c>
      <c r="E212" s="186">
        <v>0.14799999999999999</v>
      </c>
      <c r="F212" s="187">
        <v>0.13600000000000001</v>
      </c>
    </row>
    <row r="213" spans="1:6">
      <c r="A213" s="181" t="s">
        <v>285</v>
      </c>
      <c r="B213" s="185" t="s">
        <v>2276</v>
      </c>
      <c r="C213" s="186">
        <v>0.15</v>
      </c>
      <c r="D213" s="186">
        <v>0.15</v>
      </c>
      <c r="E213" s="186">
        <v>0.15</v>
      </c>
      <c r="F213" s="187">
        <v>0.13800000000000001</v>
      </c>
    </row>
    <row r="214" spans="1:6">
      <c r="A214" s="181" t="s">
        <v>285</v>
      </c>
      <c r="B214" s="185" t="s">
        <v>2286</v>
      </c>
      <c r="C214" s="186">
        <v>9.0999999999999998E-2</v>
      </c>
      <c r="D214" s="186">
        <v>0.09</v>
      </c>
      <c r="E214" s="186">
        <v>9.1999999999999998E-2</v>
      </c>
      <c r="F214" s="194"/>
    </row>
    <row r="215" spans="1:6">
      <c r="A215" s="181" t="s">
        <v>285</v>
      </c>
      <c r="B215" s="185" t="s">
        <v>2296</v>
      </c>
      <c r="C215" s="186">
        <v>0.15</v>
      </c>
      <c r="D215" s="186">
        <v>0.15</v>
      </c>
      <c r="E215" s="186">
        <v>0.15</v>
      </c>
      <c r="F215" s="187">
        <v>0.15</v>
      </c>
    </row>
    <row r="216" spans="1:6">
      <c r="A216" s="181" t="s">
        <v>285</v>
      </c>
      <c r="B216" s="185" t="s">
        <v>2306</v>
      </c>
      <c r="C216" s="186">
        <v>0.14699999999999999</v>
      </c>
      <c r="D216" s="186">
        <v>0.14699999999999999</v>
      </c>
      <c r="E216" s="186">
        <v>0.15</v>
      </c>
      <c r="F216" s="187">
        <v>0.14000000000000001</v>
      </c>
    </row>
    <row r="217" spans="1:6">
      <c r="A217" s="181" t="s">
        <v>285</v>
      </c>
      <c r="B217" s="185" t="s">
        <v>2316</v>
      </c>
      <c r="C217" s="186">
        <v>0.15</v>
      </c>
      <c r="D217" s="186">
        <v>0.15</v>
      </c>
      <c r="E217" s="186">
        <v>0.15</v>
      </c>
      <c r="F217" s="187">
        <v>0.15</v>
      </c>
    </row>
    <row r="218" spans="1:6">
      <c r="A218" s="181" t="s">
        <v>285</v>
      </c>
      <c r="B218" s="185" t="s">
        <v>2326</v>
      </c>
      <c r="C218" s="186">
        <v>0.15</v>
      </c>
      <c r="D218" s="186">
        <v>0.15</v>
      </c>
      <c r="E218" s="186">
        <v>0.15</v>
      </c>
      <c r="F218" s="187">
        <v>0.15</v>
      </c>
    </row>
    <row r="219" spans="1:6">
      <c r="A219" s="181" t="s">
        <v>285</v>
      </c>
      <c r="B219" s="185" t="s">
        <v>2336</v>
      </c>
      <c r="C219" s="186">
        <v>0.15</v>
      </c>
      <c r="D219" s="186">
        <v>0.15</v>
      </c>
      <c r="E219" s="186">
        <v>0.15</v>
      </c>
      <c r="F219" s="187">
        <v>0.14799999999999999</v>
      </c>
    </row>
    <row r="220" spans="1:6">
      <c r="A220" s="181" t="s">
        <v>285</v>
      </c>
      <c r="B220" s="185" t="s">
        <v>2346</v>
      </c>
      <c r="C220" s="186">
        <v>0.15</v>
      </c>
      <c r="D220" s="186">
        <v>0.15</v>
      </c>
      <c r="E220" s="186">
        <v>0.15</v>
      </c>
      <c r="F220" s="187">
        <v>0.15</v>
      </c>
    </row>
    <row r="221" spans="1:6">
      <c r="A221" s="181" t="s">
        <v>285</v>
      </c>
      <c r="B221" s="185" t="s">
        <v>2356</v>
      </c>
      <c r="C221" s="186"/>
      <c r="D221" s="195"/>
      <c r="E221" s="195"/>
      <c r="F221" s="187">
        <v>0.14799999999999999</v>
      </c>
    </row>
    <row r="222" spans="1:6">
      <c r="A222" s="181" t="s">
        <v>285</v>
      </c>
      <c r="B222" s="185" t="s">
        <v>2366</v>
      </c>
      <c r="C222" s="186"/>
      <c r="D222" s="195"/>
      <c r="E222" s="195"/>
      <c r="F222" s="187">
        <v>0.1</v>
      </c>
    </row>
    <row r="223" spans="1:6">
      <c r="A223" s="181" t="s">
        <v>285</v>
      </c>
      <c r="B223" s="185" t="s">
        <v>2376</v>
      </c>
      <c r="C223" s="186"/>
      <c r="D223" s="195"/>
      <c r="E223" s="195"/>
      <c r="F223" s="187">
        <v>0.15</v>
      </c>
    </row>
    <row r="224" spans="1:6">
      <c r="A224" s="181" t="s">
        <v>285</v>
      </c>
      <c r="B224" s="185" t="s">
        <v>2386</v>
      </c>
      <c r="C224" s="186"/>
      <c r="D224" s="195"/>
      <c r="E224" s="195"/>
      <c r="F224" s="187">
        <v>0.15</v>
      </c>
    </row>
    <row r="225" spans="1:6">
      <c r="A225" s="181" t="s">
        <v>285</v>
      </c>
      <c r="B225" s="185" t="s">
        <v>2395</v>
      </c>
      <c r="C225" s="186">
        <v>0.15</v>
      </c>
      <c r="D225" s="186">
        <v>0.15</v>
      </c>
      <c r="E225" s="186">
        <v>0.15</v>
      </c>
      <c r="F225" s="187">
        <v>0.15</v>
      </c>
    </row>
    <row r="226" spans="1:6">
      <c r="A226" s="181" t="s">
        <v>285</v>
      </c>
      <c r="B226" s="185" t="s">
        <v>2403</v>
      </c>
      <c r="C226" s="186">
        <v>0.15</v>
      </c>
      <c r="D226" s="186">
        <v>0.15</v>
      </c>
      <c r="E226" s="186">
        <v>0.15</v>
      </c>
      <c r="F226" s="187">
        <v>0.14799999999999999</v>
      </c>
    </row>
    <row r="227" spans="1:6">
      <c r="A227" s="181" t="s">
        <v>285</v>
      </c>
      <c r="B227" s="185" t="s">
        <v>2411</v>
      </c>
      <c r="C227" s="186">
        <v>0.15</v>
      </c>
      <c r="D227" s="186">
        <v>0.15</v>
      </c>
      <c r="E227" s="186">
        <v>0.15</v>
      </c>
      <c r="F227" s="187">
        <v>0.15</v>
      </c>
    </row>
    <row r="228" spans="1:6">
      <c r="A228" s="181" t="s">
        <v>285</v>
      </c>
      <c r="B228" s="185" t="s">
        <v>2418</v>
      </c>
      <c r="C228" s="186">
        <v>0.15</v>
      </c>
      <c r="D228" s="186">
        <v>0.15</v>
      </c>
      <c r="E228" s="186">
        <v>0.15</v>
      </c>
      <c r="F228" s="187">
        <v>0.15</v>
      </c>
    </row>
    <row r="229" spans="1:6">
      <c r="A229" s="181" t="s">
        <v>285</v>
      </c>
      <c r="B229" s="185" t="s">
        <v>2425</v>
      </c>
      <c r="C229" s="186">
        <v>0.15</v>
      </c>
      <c r="D229" s="186">
        <v>0.15</v>
      </c>
      <c r="E229" s="186">
        <v>0.15</v>
      </c>
      <c r="F229" s="194"/>
    </row>
    <row r="230" spans="1:6">
      <c r="A230" s="181" t="s">
        <v>285</v>
      </c>
      <c r="B230" s="185" t="s">
        <v>2432</v>
      </c>
      <c r="C230" s="186">
        <v>0.14499999999999999</v>
      </c>
      <c r="D230" s="186">
        <v>0.14499999999999999</v>
      </c>
      <c r="E230" s="186">
        <v>0.14399999999999999</v>
      </c>
      <c r="F230" s="194"/>
    </row>
    <row r="231" spans="1:6">
      <c r="A231" s="181" t="s">
        <v>285</v>
      </c>
      <c r="B231" s="185" t="s">
        <v>2439</v>
      </c>
      <c r="C231" s="186">
        <v>0.128</v>
      </c>
      <c r="D231" s="186">
        <v>0.125</v>
      </c>
      <c r="E231" s="186">
        <v>0.13200000000000001</v>
      </c>
      <c r="F231" s="194"/>
    </row>
    <row r="232" spans="1:6">
      <c r="A232" s="181" t="s">
        <v>285</v>
      </c>
      <c r="B232" s="185" t="s">
        <v>2446</v>
      </c>
      <c r="C232" s="186">
        <v>0.14499999999999999</v>
      </c>
      <c r="D232" s="186">
        <v>0.14399999999999999</v>
      </c>
      <c r="E232" s="186">
        <v>0.14599999999999999</v>
      </c>
      <c r="F232" s="187">
        <v>0.13800000000000001</v>
      </c>
    </row>
    <row r="233" spans="1:6">
      <c r="A233" s="181" t="s">
        <v>285</v>
      </c>
      <c r="B233" s="185" t="s">
        <v>2451</v>
      </c>
      <c r="C233" s="186">
        <v>0.14499999999999999</v>
      </c>
      <c r="D233" s="186">
        <v>0.14299999999999999</v>
      </c>
      <c r="E233" s="186">
        <v>0.14199999999999999</v>
      </c>
      <c r="F233" s="194"/>
    </row>
    <row r="234" spans="1:6">
      <c r="A234" s="181" t="s">
        <v>285</v>
      </c>
      <c r="B234" s="185" t="s">
        <v>2529</v>
      </c>
      <c r="C234" s="186">
        <v>0.14000000000000001</v>
      </c>
      <c r="D234" s="186">
        <v>0.14000000000000001</v>
      </c>
      <c r="E234" s="186">
        <v>0.14399999999999999</v>
      </c>
      <c r="F234" s="194"/>
    </row>
    <row r="235" spans="1:6">
      <c r="A235" s="181" t="s">
        <v>285</v>
      </c>
      <c r="B235" s="185" t="s">
        <v>2461</v>
      </c>
      <c r="C235" s="186">
        <v>0.14099999999999999</v>
      </c>
      <c r="D235" s="186">
        <v>0.14199999999999999</v>
      </c>
      <c r="E235" s="186">
        <v>0.14499999999999999</v>
      </c>
      <c r="F235" s="187">
        <v>0.15</v>
      </c>
    </row>
    <row r="236" spans="1:6">
      <c r="A236" s="181" t="s">
        <v>285</v>
      </c>
      <c r="B236" s="185" t="s">
        <v>2466</v>
      </c>
      <c r="C236" s="195"/>
      <c r="D236" s="195"/>
      <c r="E236" s="195"/>
      <c r="F236" s="187">
        <v>0.14299999999999999</v>
      </c>
    </row>
    <row r="237" spans="1:6" ht="24">
      <c r="A237" s="181" t="s">
        <v>285</v>
      </c>
      <c r="B237" s="185" t="s">
        <v>2471</v>
      </c>
      <c r="C237" s="195"/>
      <c r="D237" s="195"/>
      <c r="E237" s="195"/>
      <c r="F237" s="187">
        <v>0.05</v>
      </c>
    </row>
    <row r="238" spans="1:6" ht="24">
      <c r="A238" s="181" t="s">
        <v>285</v>
      </c>
      <c r="B238" s="185" t="s">
        <v>2476</v>
      </c>
      <c r="C238" s="195"/>
      <c r="D238" s="195"/>
      <c r="E238" s="195"/>
      <c r="F238" s="187">
        <v>0.05</v>
      </c>
    </row>
    <row r="239" spans="1:6" ht="24">
      <c r="A239" s="181" t="s">
        <v>285</v>
      </c>
      <c r="B239" s="185" t="s">
        <v>2481</v>
      </c>
      <c r="C239" s="195"/>
      <c r="D239" s="195"/>
      <c r="E239" s="195"/>
      <c r="F239" s="187">
        <v>0.05</v>
      </c>
    </row>
    <row r="240" spans="1:6" ht="24">
      <c r="A240" s="181" t="s">
        <v>285</v>
      </c>
      <c r="B240" s="185" t="s">
        <v>2485</v>
      </c>
      <c r="C240" s="195"/>
      <c r="D240" s="195"/>
      <c r="E240" s="195"/>
      <c r="F240" s="187">
        <v>0.05</v>
      </c>
    </row>
    <row r="241" spans="1:6" ht="24">
      <c r="A241" s="181" t="s">
        <v>285</v>
      </c>
      <c r="B241" s="185" t="s">
        <v>2489</v>
      </c>
      <c r="C241" s="195"/>
      <c r="D241" s="195"/>
      <c r="E241" s="195"/>
      <c r="F241" s="187">
        <v>0.05</v>
      </c>
    </row>
    <row r="242" spans="1:6" ht="24">
      <c r="A242" s="181" t="s">
        <v>285</v>
      </c>
      <c r="B242" s="185" t="s">
        <v>2493</v>
      </c>
      <c r="C242" s="195"/>
      <c r="D242" s="195"/>
      <c r="E242" s="195"/>
      <c r="F242" s="187">
        <v>0.05</v>
      </c>
    </row>
    <row r="243" spans="1:6" ht="24">
      <c r="A243" s="181" t="s">
        <v>285</v>
      </c>
      <c r="B243" s="185" t="s">
        <v>2497</v>
      </c>
      <c r="C243" s="195"/>
      <c r="D243" s="195"/>
      <c r="E243" s="195"/>
      <c r="F243" s="187">
        <v>0.05</v>
      </c>
    </row>
    <row r="244" spans="1:6" ht="24">
      <c r="A244" s="189" t="s">
        <v>285</v>
      </c>
      <c r="B244" s="196" t="s">
        <v>2501</v>
      </c>
      <c r="C244" s="192"/>
      <c r="D244" s="192"/>
      <c r="E244" s="192"/>
      <c r="F244" s="197">
        <v>0.05</v>
      </c>
    </row>
    <row r="245" spans="1:6">
      <c r="A245" s="181" t="s">
        <v>288</v>
      </c>
      <c r="B245" s="182" t="s">
        <v>2194</v>
      </c>
      <c r="C245" s="183">
        <v>0.15</v>
      </c>
      <c r="D245" s="183">
        <v>0.15</v>
      </c>
      <c r="E245" s="183">
        <v>0.15</v>
      </c>
      <c r="F245" s="184">
        <v>0.14299999999999999</v>
      </c>
    </row>
    <row r="246" spans="1:6">
      <c r="A246" s="181" t="s">
        <v>288</v>
      </c>
      <c r="B246" s="185" t="s">
        <v>2206</v>
      </c>
      <c r="C246" s="186">
        <v>0.15</v>
      </c>
      <c r="D246" s="186">
        <v>0.15</v>
      </c>
      <c r="E246" s="186">
        <v>0.15</v>
      </c>
      <c r="F246" s="187">
        <v>0.114</v>
      </c>
    </row>
    <row r="247" spans="1:6">
      <c r="A247" s="181" t="s">
        <v>288</v>
      </c>
      <c r="B247" s="185" t="s">
        <v>2220</v>
      </c>
      <c r="C247" s="186">
        <v>0.15</v>
      </c>
      <c r="D247" s="186">
        <v>0.15</v>
      </c>
      <c r="E247" s="186">
        <v>0.15</v>
      </c>
      <c r="F247" s="187">
        <v>0.15</v>
      </c>
    </row>
    <row r="248" spans="1:6">
      <c r="A248" s="181" t="s">
        <v>288</v>
      </c>
      <c r="B248" s="185" t="s">
        <v>2232</v>
      </c>
      <c r="C248" s="186">
        <v>0.15</v>
      </c>
      <c r="D248" s="186">
        <v>0.15</v>
      </c>
      <c r="E248" s="186">
        <v>0.15</v>
      </c>
      <c r="F248" s="187">
        <v>0.14000000000000001</v>
      </c>
    </row>
    <row r="249" spans="1:6">
      <c r="A249" s="181" t="s">
        <v>288</v>
      </c>
      <c r="B249" s="185" t="s">
        <v>2244</v>
      </c>
      <c r="C249" s="186">
        <v>0.15</v>
      </c>
      <c r="D249" s="186">
        <v>0.14899999999999999</v>
      </c>
      <c r="E249" s="186">
        <v>0.15</v>
      </c>
      <c r="F249" s="187">
        <v>0.1</v>
      </c>
    </row>
    <row r="250" spans="1:6">
      <c r="A250" s="181" t="s">
        <v>288</v>
      </c>
      <c r="B250" s="185" t="s">
        <v>2255</v>
      </c>
      <c r="C250" s="186">
        <v>0.15</v>
      </c>
      <c r="D250" s="186">
        <v>0.15</v>
      </c>
      <c r="E250" s="186">
        <v>0.15</v>
      </c>
      <c r="F250" s="187">
        <v>0.14399999999999999</v>
      </c>
    </row>
    <row r="251" spans="1:6">
      <c r="A251" s="181" t="s">
        <v>288</v>
      </c>
      <c r="B251" s="185" t="s">
        <v>2266</v>
      </c>
      <c r="C251" s="186">
        <v>0.15</v>
      </c>
      <c r="D251" s="186">
        <v>0.15</v>
      </c>
      <c r="E251" s="186">
        <v>0.15</v>
      </c>
      <c r="F251" s="187">
        <v>0.14299999999999999</v>
      </c>
    </row>
    <row r="252" spans="1:6">
      <c r="A252" s="181" t="s">
        <v>288</v>
      </c>
      <c r="B252" s="185" t="s">
        <v>2277</v>
      </c>
      <c r="C252" s="186">
        <v>0.15</v>
      </c>
      <c r="D252" s="186">
        <v>0.15</v>
      </c>
      <c r="E252" s="186">
        <v>0.15</v>
      </c>
      <c r="F252" s="187">
        <v>0.1</v>
      </c>
    </row>
    <row r="253" spans="1:6">
      <c r="A253" s="181" t="s">
        <v>288</v>
      </c>
      <c r="B253" s="185" t="s">
        <v>2287</v>
      </c>
      <c r="C253" s="186">
        <v>0.15</v>
      </c>
      <c r="D253" s="186">
        <v>0.15</v>
      </c>
      <c r="E253" s="186">
        <v>0.15</v>
      </c>
      <c r="F253" s="187">
        <v>0.1</v>
      </c>
    </row>
    <row r="254" spans="1:6">
      <c r="A254" s="181" t="s">
        <v>288</v>
      </c>
      <c r="B254" s="185" t="s">
        <v>2297</v>
      </c>
      <c r="C254" s="195"/>
      <c r="D254" s="195"/>
      <c r="E254" s="195"/>
      <c r="F254" s="187">
        <v>0.15</v>
      </c>
    </row>
    <row r="255" spans="1:6">
      <c r="A255" s="181" t="s">
        <v>288</v>
      </c>
      <c r="B255" s="185" t="s">
        <v>2307</v>
      </c>
      <c r="C255" s="195"/>
      <c r="D255" s="195"/>
      <c r="E255" s="195"/>
      <c r="F255" s="187">
        <v>0.14299999999999999</v>
      </c>
    </row>
    <row r="256" spans="1:6">
      <c r="A256" s="181" t="s">
        <v>288</v>
      </c>
      <c r="B256" s="185" t="s">
        <v>2317</v>
      </c>
      <c r="C256" s="186">
        <v>0.14599999999999999</v>
      </c>
      <c r="D256" s="186">
        <v>0.14699999999999999</v>
      </c>
      <c r="E256" s="186">
        <v>0.15</v>
      </c>
      <c r="F256" s="187">
        <v>0.13200000000000001</v>
      </c>
    </row>
    <row r="257" spans="1:6">
      <c r="A257" s="181" t="s">
        <v>288</v>
      </c>
      <c r="B257" s="185" t="s">
        <v>2327</v>
      </c>
      <c r="C257" s="186">
        <v>0.15</v>
      </c>
      <c r="D257" s="186">
        <v>0.15</v>
      </c>
      <c r="E257" s="186">
        <v>0.15</v>
      </c>
      <c r="F257" s="187">
        <v>0.13900000000000001</v>
      </c>
    </row>
    <row r="258" spans="1:6">
      <c r="A258" s="181" t="s">
        <v>288</v>
      </c>
      <c r="B258" s="185" t="s">
        <v>2337</v>
      </c>
      <c r="C258" s="186">
        <v>0.15</v>
      </c>
      <c r="D258" s="186">
        <v>0.15</v>
      </c>
      <c r="E258" s="186">
        <v>0.15</v>
      </c>
      <c r="F258" s="187">
        <v>0.13</v>
      </c>
    </row>
    <row r="259" spans="1:6">
      <c r="A259" s="181" t="s">
        <v>288</v>
      </c>
      <c r="B259" s="185" t="s">
        <v>2347</v>
      </c>
      <c r="C259" s="186">
        <v>0.14799999999999999</v>
      </c>
      <c r="D259" s="186">
        <v>0.14899999999999999</v>
      </c>
      <c r="E259" s="186">
        <v>0.15</v>
      </c>
      <c r="F259" s="187">
        <v>0.13700000000000001</v>
      </c>
    </row>
    <row r="260" spans="1:6">
      <c r="A260" s="181" t="s">
        <v>288</v>
      </c>
      <c r="B260" s="185" t="s">
        <v>2357</v>
      </c>
      <c r="C260" s="186">
        <v>0.15</v>
      </c>
      <c r="D260" s="186">
        <v>0.15</v>
      </c>
      <c r="E260" s="186">
        <v>0.15</v>
      </c>
      <c r="F260" s="187">
        <v>0.14199999999999999</v>
      </c>
    </row>
    <row r="261" spans="1:6">
      <c r="A261" s="181" t="s">
        <v>288</v>
      </c>
      <c r="B261" s="185" t="s">
        <v>2367</v>
      </c>
      <c r="C261" s="186">
        <v>0.15</v>
      </c>
      <c r="D261" s="186">
        <v>0.15</v>
      </c>
      <c r="E261" s="186">
        <v>0.14899999999999999</v>
      </c>
      <c r="F261" s="187">
        <v>0.14799999999999999</v>
      </c>
    </row>
    <row r="262" spans="1:6">
      <c r="A262" s="181" t="s">
        <v>288</v>
      </c>
      <c r="B262" s="185" t="s">
        <v>2377</v>
      </c>
      <c r="C262" s="186">
        <v>0.15</v>
      </c>
      <c r="D262" s="186">
        <v>0.15</v>
      </c>
      <c r="E262" s="186">
        <v>0.15</v>
      </c>
      <c r="F262" s="194"/>
    </row>
    <row r="263" spans="1:6">
      <c r="A263" s="181" t="s">
        <v>288</v>
      </c>
      <c r="B263" s="185" t="s">
        <v>2387</v>
      </c>
      <c r="C263" s="186">
        <v>0.14899999999999999</v>
      </c>
      <c r="D263" s="186">
        <v>0.14899999999999999</v>
      </c>
      <c r="E263" s="186">
        <v>0.15</v>
      </c>
      <c r="F263" s="187">
        <v>0.13</v>
      </c>
    </row>
    <row r="264" spans="1:6">
      <c r="A264" s="181" t="s">
        <v>288</v>
      </c>
      <c r="B264" s="185" t="s">
        <v>2396</v>
      </c>
      <c r="C264" s="186">
        <v>0.14799999999999999</v>
      </c>
      <c r="D264" s="186">
        <v>0.14699999999999999</v>
      </c>
      <c r="E264" s="186">
        <v>0.15</v>
      </c>
      <c r="F264" s="187">
        <v>7.8E-2</v>
      </c>
    </row>
    <row r="265" spans="1:6">
      <c r="A265" s="181" t="s">
        <v>288</v>
      </c>
      <c r="B265" s="185" t="s">
        <v>2404</v>
      </c>
      <c r="C265" s="186">
        <v>0.15</v>
      </c>
      <c r="D265" s="186">
        <v>0.15</v>
      </c>
      <c r="E265" s="186">
        <v>0.15</v>
      </c>
      <c r="F265" s="187">
        <v>7.3999999999999996E-2</v>
      </c>
    </row>
    <row r="266" spans="1:6">
      <c r="A266" s="181" t="s">
        <v>288</v>
      </c>
      <c r="B266" s="185" t="s">
        <v>2412</v>
      </c>
      <c r="C266" s="186">
        <v>0.14699999999999999</v>
      </c>
      <c r="D266" s="186">
        <v>0.14699999999999999</v>
      </c>
      <c r="E266" s="186">
        <v>0.15</v>
      </c>
      <c r="F266" s="187">
        <v>0.14299999999999999</v>
      </c>
    </row>
    <row r="267" spans="1:6">
      <c r="A267" s="181" t="s">
        <v>288</v>
      </c>
      <c r="B267" s="185" t="s">
        <v>2419</v>
      </c>
      <c r="C267" s="186">
        <v>0.14199999999999999</v>
      </c>
      <c r="D267" s="186">
        <v>0.14299999999999999</v>
      </c>
      <c r="E267" s="186">
        <v>0.15</v>
      </c>
      <c r="F267" s="194"/>
    </row>
    <row r="268" spans="1:6">
      <c r="A268" s="181" t="s">
        <v>288</v>
      </c>
      <c r="B268" s="185" t="s">
        <v>2426</v>
      </c>
      <c r="C268" s="186">
        <v>0.15</v>
      </c>
      <c r="D268" s="186">
        <v>0.15</v>
      </c>
      <c r="E268" s="186">
        <v>0.15</v>
      </c>
      <c r="F268" s="187">
        <v>0.13</v>
      </c>
    </row>
    <row r="269" spans="1:6">
      <c r="A269" s="181" t="s">
        <v>288</v>
      </c>
      <c r="B269" s="185" t="s">
        <v>2433</v>
      </c>
      <c r="C269" s="186">
        <v>0.15</v>
      </c>
      <c r="D269" s="186">
        <v>0.15</v>
      </c>
      <c r="E269" s="186">
        <v>0.15</v>
      </c>
      <c r="F269" s="187">
        <v>0.14299999999999999</v>
      </c>
    </row>
    <row r="270" spans="1:6">
      <c r="A270" s="181" t="s">
        <v>288</v>
      </c>
      <c r="B270" s="185" t="s">
        <v>2440</v>
      </c>
      <c r="C270" s="186">
        <v>0.14499999999999999</v>
      </c>
      <c r="D270" s="186">
        <v>0.14499999999999999</v>
      </c>
      <c r="E270" s="186">
        <v>0.15</v>
      </c>
      <c r="F270" s="187">
        <v>0.14699999999999999</v>
      </c>
    </row>
    <row r="271" spans="1:6">
      <c r="A271" s="181" t="s">
        <v>288</v>
      </c>
      <c r="B271" s="185" t="s">
        <v>2447</v>
      </c>
      <c r="C271" s="186">
        <v>0.15</v>
      </c>
      <c r="D271" s="186">
        <v>0.15</v>
      </c>
      <c r="E271" s="186">
        <v>0.15</v>
      </c>
      <c r="F271" s="187">
        <v>0.13800000000000001</v>
      </c>
    </row>
    <row r="272" spans="1:6">
      <c r="A272" s="181" t="s">
        <v>288</v>
      </c>
      <c r="B272" s="185" t="s">
        <v>2452</v>
      </c>
      <c r="C272" s="195"/>
      <c r="D272" s="195"/>
      <c r="E272" s="195"/>
      <c r="F272" s="187">
        <v>0.14000000000000001</v>
      </c>
    </row>
    <row r="273" spans="1:6">
      <c r="A273" s="181" t="s">
        <v>288</v>
      </c>
      <c r="B273" s="185" t="s">
        <v>2457</v>
      </c>
      <c r="C273" s="186">
        <v>0.14199999999999999</v>
      </c>
      <c r="D273" s="186">
        <v>0.14299999999999999</v>
      </c>
      <c r="E273" s="186">
        <v>0.15</v>
      </c>
      <c r="F273" s="187">
        <v>0.1</v>
      </c>
    </row>
    <row r="274" spans="1:6">
      <c r="A274" s="181" t="s">
        <v>288</v>
      </c>
      <c r="B274" s="185" t="s">
        <v>2462</v>
      </c>
      <c r="C274" s="186">
        <v>0.14799999999999999</v>
      </c>
      <c r="D274" s="186">
        <v>0.14799999999999999</v>
      </c>
      <c r="E274" s="186">
        <v>0.15</v>
      </c>
      <c r="F274" s="187">
        <v>6.7000000000000004E-2</v>
      </c>
    </row>
    <row r="275" spans="1:6">
      <c r="A275" s="181" t="s">
        <v>288</v>
      </c>
      <c r="B275" s="185" t="s">
        <v>2467</v>
      </c>
      <c r="C275" s="186">
        <v>0.15</v>
      </c>
      <c r="D275" s="186">
        <v>0.15</v>
      </c>
      <c r="E275" s="186">
        <v>0.15</v>
      </c>
      <c r="F275" s="187">
        <v>0.15</v>
      </c>
    </row>
    <row r="276" spans="1:6">
      <c r="A276" s="181" t="s">
        <v>288</v>
      </c>
      <c r="B276" s="185" t="s">
        <v>2472</v>
      </c>
      <c r="C276" s="186">
        <v>0.14499999999999999</v>
      </c>
      <c r="D276" s="186">
        <v>0.14299999999999999</v>
      </c>
      <c r="E276" s="186">
        <v>0.15</v>
      </c>
      <c r="F276" s="187">
        <v>5.8999999999999997E-2</v>
      </c>
    </row>
    <row r="277" spans="1:6">
      <c r="A277" s="181" t="s">
        <v>288</v>
      </c>
      <c r="B277" s="185" t="s">
        <v>2477</v>
      </c>
      <c r="C277" s="186">
        <v>0.15</v>
      </c>
      <c r="D277" s="186">
        <v>0.15</v>
      </c>
      <c r="E277" s="186">
        <v>0.15</v>
      </c>
      <c r="F277" s="187">
        <v>0.121</v>
      </c>
    </row>
    <row r="278" spans="1:6">
      <c r="A278" s="181" t="s">
        <v>288</v>
      </c>
      <c r="B278" s="185" t="s">
        <v>2482</v>
      </c>
      <c r="C278" s="186">
        <v>0.15</v>
      </c>
      <c r="D278" s="186">
        <v>0.15</v>
      </c>
      <c r="E278" s="186">
        <v>0.15</v>
      </c>
      <c r="F278" s="187">
        <v>0.13800000000000001</v>
      </c>
    </row>
    <row r="279" spans="1:6" ht="24">
      <c r="A279" s="181" t="s">
        <v>288</v>
      </c>
      <c r="B279" s="185" t="s">
        <v>2486</v>
      </c>
      <c r="C279" s="195"/>
      <c r="D279" s="195"/>
      <c r="E279" s="195"/>
      <c r="F279" s="187">
        <v>0.05</v>
      </c>
    </row>
    <row r="280" spans="1:6" ht="24">
      <c r="A280" s="181" t="s">
        <v>288</v>
      </c>
      <c r="B280" s="185" t="s">
        <v>2490</v>
      </c>
      <c r="C280" s="195"/>
      <c r="D280" s="195"/>
      <c r="E280" s="195"/>
      <c r="F280" s="187">
        <v>0.05</v>
      </c>
    </row>
    <row r="281" spans="1:6" ht="24">
      <c r="A281" s="181" t="s">
        <v>288</v>
      </c>
      <c r="B281" s="185" t="s">
        <v>2494</v>
      </c>
      <c r="C281" s="195"/>
      <c r="D281" s="195"/>
      <c r="E281" s="195"/>
      <c r="F281" s="187">
        <v>0.05</v>
      </c>
    </row>
    <row r="282" spans="1:6" ht="24">
      <c r="A282" s="181" t="s">
        <v>288</v>
      </c>
      <c r="B282" s="185" t="s">
        <v>2498</v>
      </c>
      <c r="C282" s="195"/>
      <c r="D282" s="195"/>
      <c r="E282" s="195"/>
      <c r="F282" s="187">
        <v>0.05</v>
      </c>
    </row>
    <row r="283" spans="1:6" ht="24">
      <c r="A283" s="181" t="s">
        <v>288</v>
      </c>
      <c r="B283" s="185" t="s">
        <v>2502</v>
      </c>
      <c r="C283" s="195"/>
      <c r="D283" s="195"/>
      <c r="E283" s="195"/>
      <c r="F283" s="187">
        <v>0.05</v>
      </c>
    </row>
    <row r="284" spans="1:6" ht="24">
      <c r="A284" s="181" t="s">
        <v>288</v>
      </c>
      <c r="B284" s="185" t="s">
        <v>2505</v>
      </c>
      <c r="C284" s="195"/>
      <c r="D284" s="195"/>
      <c r="E284" s="195"/>
      <c r="F284" s="187">
        <v>0.05</v>
      </c>
    </row>
    <row r="285" spans="1:6" ht="24">
      <c r="A285" s="181" t="s">
        <v>288</v>
      </c>
      <c r="B285" s="185" t="s">
        <v>2508</v>
      </c>
      <c r="C285" s="195"/>
      <c r="D285" s="195"/>
      <c r="E285" s="195"/>
      <c r="F285" s="187">
        <v>0.05</v>
      </c>
    </row>
    <row r="286" spans="1:6" ht="24">
      <c r="A286" s="181" t="s">
        <v>288</v>
      </c>
      <c r="B286" s="185" t="s">
        <v>2511</v>
      </c>
      <c r="C286" s="195"/>
      <c r="D286" s="195"/>
      <c r="E286" s="195"/>
      <c r="F286" s="187">
        <v>0.05</v>
      </c>
    </row>
    <row r="287" spans="1:6" ht="24">
      <c r="A287" s="181" t="s">
        <v>288</v>
      </c>
      <c r="B287" s="185" t="s">
        <v>2514</v>
      </c>
      <c r="C287" s="195"/>
      <c r="D287" s="195"/>
      <c r="E287" s="195"/>
      <c r="F287" s="187">
        <v>0.05</v>
      </c>
    </row>
    <row r="288" spans="1:6" ht="24">
      <c r="A288" s="181" t="s">
        <v>288</v>
      </c>
      <c r="B288" s="185" t="s">
        <v>2517</v>
      </c>
      <c r="C288" s="195"/>
      <c r="D288" s="195"/>
      <c r="E288" s="195"/>
      <c r="F288" s="187">
        <v>0.05</v>
      </c>
    </row>
    <row r="289" spans="1:6" ht="24">
      <c r="A289" s="189" t="s">
        <v>288</v>
      </c>
      <c r="B289" s="196" t="s">
        <v>2520</v>
      </c>
      <c r="C289" s="192"/>
      <c r="D289" s="192"/>
      <c r="E289" s="192"/>
      <c r="F289" s="197">
        <v>0.05</v>
      </c>
    </row>
    <row r="290" spans="1:6">
      <c r="A290" s="181" t="s">
        <v>291</v>
      </c>
      <c r="B290" s="182" t="s">
        <v>2195</v>
      </c>
      <c r="C290" s="183">
        <v>0.15</v>
      </c>
      <c r="D290" s="183">
        <v>0.15</v>
      </c>
      <c r="E290" s="183">
        <v>0.15</v>
      </c>
      <c r="F290" s="205"/>
    </row>
    <row r="291" spans="1:6">
      <c r="A291" s="181" t="s">
        <v>291</v>
      </c>
      <c r="B291" s="185" t="s">
        <v>2207</v>
      </c>
      <c r="C291" s="186">
        <v>0.15</v>
      </c>
      <c r="D291" s="186">
        <v>0.15</v>
      </c>
      <c r="E291" s="186">
        <v>0.15</v>
      </c>
      <c r="F291" s="194"/>
    </row>
    <row r="292" spans="1:6">
      <c r="A292" s="181" t="s">
        <v>291</v>
      </c>
      <c r="B292" s="185" t="s">
        <v>2221</v>
      </c>
      <c r="C292" s="186">
        <v>0.15</v>
      </c>
      <c r="D292" s="186">
        <v>0.15</v>
      </c>
      <c r="E292" s="186">
        <v>0.15</v>
      </c>
      <c r="F292" s="187">
        <v>0.14699999999999999</v>
      </c>
    </row>
    <row r="293" spans="1:6">
      <c r="A293" s="181" t="s">
        <v>291</v>
      </c>
      <c r="B293" s="185" t="s">
        <v>2527</v>
      </c>
      <c r="C293" s="195"/>
      <c r="D293" s="195"/>
      <c r="E293" s="195"/>
      <c r="F293" s="187">
        <v>0.1</v>
      </c>
    </row>
    <row r="294" spans="1:6">
      <c r="A294" s="181" t="s">
        <v>291</v>
      </c>
      <c r="B294" s="185" t="s">
        <v>2233</v>
      </c>
      <c r="C294" s="186">
        <v>0.15</v>
      </c>
      <c r="D294" s="186">
        <v>0.15</v>
      </c>
      <c r="E294" s="186">
        <v>0.15</v>
      </c>
      <c r="F294" s="187">
        <v>0.15</v>
      </c>
    </row>
    <row r="295" spans="1:6">
      <c r="A295" s="181" t="s">
        <v>291</v>
      </c>
      <c r="B295" s="185" t="s">
        <v>2245</v>
      </c>
      <c r="C295" s="186">
        <v>0.15</v>
      </c>
      <c r="D295" s="186">
        <v>0.15</v>
      </c>
      <c r="E295" s="186">
        <v>0.15</v>
      </c>
      <c r="F295" s="187">
        <v>0.15</v>
      </c>
    </row>
    <row r="296" spans="1:6">
      <c r="A296" s="181" t="s">
        <v>291</v>
      </c>
      <c r="B296" s="185" t="s">
        <v>2256</v>
      </c>
      <c r="C296" s="186">
        <v>0.15</v>
      </c>
      <c r="D296" s="186">
        <v>0.15</v>
      </c>
      <c r="E296" s="186">
        <v>0.15</v>
      </c>
      <c r="F296" s="187">
        <v>0.15</v>
      </c>
    </row>
    <row r="297" spans="1:6">
      <c r="A297" s="181" t="s">
        <v>291</v>
      </c>
      <c r="B297" s="185" t="s">
        <v>2267</v>
      </c>
      <c r="C297" s="186">
        <v>0.14799999999999999</v>
      </c>
      <c r="D297" s="186">
        <v>0.14899999999999999</v>
      </c>
      <c r="E297" s="186">
        <v>0.15</v>
      </c>
      <c r="F297" s="187">
        <v>0.13700000000000001</v>
      </c>
    </row>
    <row r="298" spans="1:6">
      <c r="A298" s="181" t="s">
        <v>291</v>
      </c>
      <c r="B298" s="185" t="s">
        <v>2278</v>
      </c>
      <c r="C298" s="186">
        <v>0.13400000000000001</v>
      </c>
      <c r="D298" s="186">
        <v>0.13400000000000001</v>
      </c>
      <c r="E298" s="186">
        <v>0.14499999999999999</v>
      </c>
      <c r="F298" s="187">
        <v>0.14799999999999999</v>
      </c>
    </row>
    <row r="299" spans="1:6">
      <c r="A299" s="181" t="s">
        <v>291</v>
      </c>
      <c r="B299" s="185" t="s">
        <v>2288</v>
      </c>
      <c r="C299" s="186">
        <v>0.15</v>
      </c>
      <c r="D299" s="186">
        <v>0.15</v>
      </c>
      <c r="E299" s="186">
        <v>0.15</v>
      </c>
      <c r="F299" s="194"/>
    </row>
    <row r="300" spans="1:6">
      <c r="A300" s="181" t="s">
        <v>291</v>
      </c>
      <c r="B300" s="185" t="s">
        <v>2298</v>
      </c>
      <c r="C300" s="186">
        <v>0.15</v>
      </c>
      <c r="D300" s="186">
        <v>0.15</v>
      </c>
      <c r="E300" s="186">
        <v>0.15</v>
      </c>
      <c r="F300" s="187">
        <v>0.15</v>
      </c>
    </row>
    <row r="301" spans="1:6">
      <c r="A301" s="181" t="s">
        <v>291</v>
      </c>
      <c r="B301" s="185" t="s">
        <v>2308</v>
      </c>
      <c r="C301" s="186">
        <v>0.15</v>
      </c>
      <c r="D301" s="186">
        <v>0.15</v>
      </c>
      <c r="E301" s="186">
        <v>0.15</v>
      </c>
      <c r="F301" s="194"/>
    </row>
    <row r="302" spans="1:6">
      <c r="A302" s="181" t="s">
        <v>291</v>
      </c>
      <c r="B302" s="185" t="s">
        <v>2318</v>
      </c>
      <c r="C302" s="186">
        <v>0.15</v>
      </c>
      <c r="D302" s="186">
        <v>0.15</v>
      </c>
      <c r="E302" s="186">
        <v>0.15</v>
      </c>
      <c r="F302" s="187">
        <v>0.15</v>
      </c>
    </row>
    <row r="303" spans="1:6">
      <c r="A303" s="181" t="s">
        <v>291</v>
      </c>
      <c r="B303" s="185" t="s">
        <v>2328</v>
      </c>
      <c r="C303" s="186">
        <v>0.15</v>
      </c>
      <c r="D303" s="186">
        <v>0.15</v>
      </c>
      <c r="E303" s="186">
        <v>0.15</v>
      </c>
      <c r="F303" s="187">
        <v>0.15</v>
      </c>
    </row>
    <row r="304" spans="1:6">
      <c r="A304" s="181" t="s">
        <v>291</v>
      </c>
      <c r="B304" s="185" t="s">
        <v>2338</v>
      </c>
      <c r="C304" s="186">
        <v>0.15</v>
      </c>
      <c r="D304" s="186">
        <v>0.15</v>
      </c>
      <c r="E304" s="186">
        <v>0.15</v>
      </c>
      <c r="F304" s="194"/>
    </row>
    <row r="305" spans="1:6">
      <c r="A305" s="181" t="s">
        <v>291</v>
      </c>
      <c r="B305" s="185" t="s">
        <v>2348</v>
      </c>
      <c r="C305" s="186">
        <v>0.15</v>
      </c>
      <c r="D305" s="186">
        <v>0.15</v>
      </c>
      <c r="E305" s="186">
        <v>0.15</v>
      </c>
      <c r="F305" s="187">
        <v>0.14000000000000001</v>
      </c>
    </row>
    <row r="306" spans="1:6">
      <c r="A306" s="181" t="s">
        <v>291</v>
      </c>
      <c r="B306" s="185" t="s">
        <v>2358</v>
      </c>
      <c r="C306" s="186">
        <v>0.15</v>
      </c>
      <c r="D306" s="186">
        <v>0.15</v>
      </c>
      <c r="E306" s="186">
        <v>0.15</v>
      </c>
      <c r="F306" s="194"/>
    </row>
    <row r="307" spans="1:6">
      <c r="A307" s="181" t="s">
        <v>291</v>
      </c>
      <c r="B307" s="185" t="s">
        <v>2368</v>
      </c>
      <c r="C307" s="186">
        <v>0.15</v>
      </c>
      <c r="D307" s="186">
        <v>0.15</v>
      </c>
      <c r="E307" s="186">
        <v>0.15</v>
      </c>
      <c r="F307" s="187">
        <v>0.14299999999999999</v>
      </c>
    </row>
    <row r="308" spans="1:6">
      <c r="A308" s="181" t="s">
        <v>291</v>
      </c>
      <c r="B308" s="185" t="s">
        <v>2378</v>
      </c>
      <c r="C308" s="186">
        <v>0.15</v>
      </c>
      <c r="D308" s="186">
        <v>0.15</v>
      </c>
      <c r="E308" s="186">
        <v>0.15</v>
      </c>
      <c r="F308" s="187">
        <v>0.15</v>
      </c>
    </row>
    <row r="309" spans="1:6">
      <c r="A309" s="181" t="s">
        <v>291</v>
      </c>
      <c r="B309" s="185" t="s">
        <v>2388</v>
      </c>
      <c r="C309" s="186">
        <v>0.15</v>
      </c>
      <c r="D309" s="186">
        <v>0.15</v>
      </c>
      <c r="E309" s="186">
        <v>0.15</v>
      </c>
      <c r="F309" s="194"/>
    </row>
    <row r="310" spans="1:6">
      <c r="A310" s="181" t="s">
        <v>291</v>
      </c>
      <c r="B310" s="185" t="s">
        <v>2397</v>
      </c>
      <c r="C310" s="186">
        <v>0.15</v>
      </c>
      <c r="D310" s="186">
        <v>0.15</v>
      </c>
      <c r="E310" s="186">
        <v>0.15</v>
      </c>
      <c r="F310" s="187">
        <v>0.13700000000000001</v>
      </c>
    </row>
    <row r="311" spans="1:6">
      <c r="A311" s="181" t="s">
        <v>291</v>
      </c>
      <c r="B311" s="185" t="s">
        <v>2405</v>
      </c>
      <c r="C311" s="186">
        <v>0.15</v>
      </c>
      <c r="D311" s="186">
        <v>0.15</v>
      </c>
      <c r="E311" s="186">
        <v>0.15</v>
      </c>
      <c r="F311" s="187">
        <v>0.15</v>
      </c>
    </row>
    <row r="312" spans="1:6">
      <c r="A312" s="181" t="s">
        <v>291</v>
      </c>
      <c r="B312" s="185" t="s">
        <v>2413</v>
      </c>
      <c r="C312" s="186">
        <v>0.15</v>
      </c>
      <c r="D312" s="186">
        <v>0.15</v>
      </c>
      <c r="E312" s="186">
        <v>0.15</v>
      </c>
      <c r="F312" s="187">
        <v>0.1</v>
      </c>
    </row>
    <row r="313" spans="1:6">
      <c r="A313" s="181" t="s">
        <v>291</v>
      </c>
      <c r="B313" s="185" t="s">
        <v>2420</v>
      </c>
      <c r="C313" s="186">
        <v>0.15</v>
      </c>
      <c r="D313" s="186">
        <v>0.15</v>
      </c>
      <c r="E313" s="186">
        <v>0.15</v>
      </c>
      <c r="F313" s="187">
        <v>0.15</v>
      </c>
    </row>
    <row r="314" spans="1:6" ht="24">
      <c r="A314" s="181" t="s">
        <v>291</v>
      </c>
      <c r="B314" s="185" t="s">
        <v>2427</v>
      </c>
      <c r="C314" s="195"/>
      <c r="D314" s="195"/>
      <c r="E314" s="195"/>
      <c r="F314" s="187">
        <v>0.05</v>
      </c>
    </row>
    <row r="315" spans="1:6" ht="24">
      <c r="A315" s="181" t="s">
        <v>291</v>
      </c>
      <c r="B315" s="185" t="s">
        <v>2434</v>
      </c>
      <c r="C315" s="195"/>
      <c r="D315" s="195"/>
      <c r="E315" s="195"/>
      <c r="F315" s="187">
        <v>0.05</v>
      </c>
    </row>
    <row r="316" spans="1:6" ht="24">
      <c r="A316" s="189" t="s">
        <v>291</v>
      </c>
      <c r="B316" s="196" t="s">
        <v>2441</v>
      </c>
      <c r="C316" s="192"/>
      <c r="D316" s="192"/>
      <c r="E316" s="192"/>
      <c r="F316" s="197">
        <v>0.05</v>
      </c>
    </row>
    <row r="317" spans="1:6">
      <c r="A317" s="181" t="s">
        <v>294</v>
      </c>
      <c r="B317" s="182" t="s">
        <v>2196</v>
      </c>
      <c r="C317" s="183">
        <v>0.15</v>
      </c>
      <c r="D317" s="183">
        <v>0.15</v>
      </c>
      <c r="E317" s="183">
        <v>0.15</v>
      </c>
      <c r="F317" s="184">
        <v>0.15</v>
      </c>
    </row>
    <row r="318" spans="1:6">
      <c r="A318" s="181" t="s">
        <v>294</v>
      </c>
      <c r="B318" s="185" t="s">
        <v>2208</v>
      </c>
      <c r="C318" s="186">
        <v>0.107</v>
      </c>
      <c r="D318" s="186">
        <v>0.11</v>
      </c>
      <c r="E318" s="186">
        <v>0.112</v>
      </c>
      <c r="F318" s="194"/>
    </row>
    <row r="319" spans="1:6">
      <c r="A319" s="181" t="s">
        <v>294</v>
      </c>
      <c r="B319" s="185" t="s">
        <v>2222</v>
      </c>
      <c r="C319" s="186">
        <v>0.15</v>
      </c>
      <c r="D319" s="186">
        <v>0.15</v>
      </c>
      <c r="E319" s="186">
        <v>0.15</v>
      </c>
      <c r="F319" s="187">
        <v>0.15</v>
      </c>
    </row>
    <row r="320" spans="1:6">
      <c r="A320" s="181" t="s">
        <v>294</v>
      </c>
      <c r="B320" s="185" t="s">
        <v>2234</v>
      </c>
      <c r="C320" s="186">
        <v>0.15</v>
      </c>
      <c r="D320" s="186">
        <v>0.15</v>
      </c>
      <c r="E320" s="186">
        <v>0.15</v>
      </c>
      <c r="F320" s="194"/>
    </row>
    <row r="321" spans="1:6">
      <c r="A321" s="181" t="s">
        <v>294</v>
      </c>
      <c r="B321" s="185" t="s">
        <v>2246</v>
      </c>
      <c r="C321" s="186">
        <v>0.15</v>
      </c>
      <c r="D321" s="186">
        <v>0.15</v>
      </c>
      <c r="E321" s="186">
        <v>0.15</v>
      </c>
      <c r="F321" s="194"/>
    </row>
    <row r="322" spans="1:6">
      <c r="A322" s="181" t="s">
        <v>294</v>
      </c>
      <c r="B322" s="185" t="s">
        <v>2257</v>
      </c>
      <c r="C322" s="186">
        <v>0.15</v>
      </c>
      <c r="D322" s="186">
        <v>0.15</v>
      </c>
      <c r="E322" s="186">
        <v>0.15</v>
      </c>
      <c r="F322" s="187">
        <v>0.15</v>
      </c>
    </row>
    <row r="323" spans="1:6">
      <c r="A323" s="181" t="s">
        <v>294</v>
      </c>
      <c r="B323" s="185" t="s">
        <v>2268</v>
      </c>
      <c r="C323" s="186">
        <v>0.15</v>
      </c>
      <c r="D323" s="186">
        <v>0.15</v>
      </c>
      <c r="E323" s="186">
        <v>0.15</v>
      </c>
      <c r="F323" s="194"/>
    </row>
    <row r="324" spans="1:6">
      <c r="A324" s="181" t="s">
        <v>294</v>
      </c>
      <c r="B324" s="185" t="s">
        <v>2279</v>
      </c>
      <c r="C324" s="186">
        <v>0.15</v>
      </c>
      <c r="D324" s="186">
        <v>0.15</v>
      </c>
      <c r="E324" s="186">
        <v>0.15</v>
      </c>
      <c r="F324" s="194"/>
    </row>
    <row r="325" spans="1:6">
      <c r="A325" s="181" t="s">
        <v>294</v>
      </c>
      <c r="B325" s="185" t="s">
        <v>2289</v>
      </c>
      <c r="C325" s="186">
        <v>0.15</v>
      </c>
      <c r="D325" s="186">
        <v>0.15</v>
      </c>
      <c r="E325" s="186">
        <v>0.15</v>
      </c>
      <c r="F325" s="187">
        <v>0.14699999999999999</v>
      </c>
    </row>
    <row r="326" spans="1:6">
      <c r="A326" s="181" t="s">
        <v>294</v>
      </c>
      <c r="B326" s="185" t="s">
        <v>2299</v>
      </c>
      <c r="C326" s="186">
        <v>0.15</v>
      </c>
      <c r="D326" s="186">
        <v>0.15</v>
      </c>
      <c r="E326" s="186">
        <v>0.15</v>
      </c>
      <c r="F326" s="194"/>
    </row>
    <row r="327" spans="1:6">
      <c r="A327" s="181" t="s">
        <v>294</v>
      </c>
      <c r="B327" s="185" t="s">
        <v>2309</v>
      </c>
      <c r="C327" s="186">
        <v>0.15</v>
      </c>
      <c r="D327" s="186">
        <v>0.15</v>
      </c>
      <c r="E327" s="186">
        <v>0.15</v>
      </c>
      <c r="F327" s="187">
        <v>0.15</v>
      </c>
    </row>
    <row r="328" spans="1:6">
      <c r="A328" s="181" t="s">
        <v>294</v>
      </c>
      <c r="B328" s="185" t="s">
        <v>2319</v>
      </c>
      <c r="C328" s="186">
        <v>0.15</v>
      </c>
      <c r="D328" s="186">
        <v>0.15</v>
      </c>
      <c r="E328" s="186">
        <v>0.15</v>
      </c>
      <c r="F328" s="187">
        <v>0.14099999999999999</v>
      </c>
    </row>
    <row r="329" spans="1:6">
      <c r="A329" s="181" t="s">
        <v>294</v>
      </c>
      <c r="B329" s="185" t="s">
        <v>2329</v>
      </c>
      <c r="C329" s="186">
        <v>0.15</v>
      </c>
      <c r="D329" s="186">
        <v>0.15</v>
      </c>
      <c r="E329" s="186">
        <v>0.15</v>
      </c>
      <c r="F329" s="187">
        <v>0.15</v>
      </c>
    </row>
    <row r="330" spans="1:6">
      <c r="A330" s="181" t="s">
        <v>294</v>
      </c>
      <c r="B330" s="185" t="s">
        <v>2339</v>
      </c>
      <c r="C330" s="186">
        <v>0.15</v>
      </c>
      <c r="D330" s="186">
        <v>0.15</v>
      </c>
      <c r="E330" s="186">
        <v>0.15</v>
      </c>
      <c r="F330" s="194"/>
    </row>
    <row r="331" spans="1:6">
      <c r="A331" s="181" t="s">
        <v>294</v>
      </c>
      <c r="B331" s="185" t="s">
        <v>2349</v>
      </c>
      <c r="C331" s="186">
        <v>0.15</v>
      </c>
      <c r="D331" s="186">
        <v>0.15</v>
      </c>
      <c r="E331" s="186">
        <v>0.15</v>
      </c>
      <c r="F331" s="187">
        <v>0.15</v>
      </c>
    </row>
    <row r="332" spans="1:6">
      <c r="A332" s="181" t="s">
        <v>294</v>
      </c>
      <c r="B332" s="185" t="s">
        <v>2359</v>
      </c>
      <c r="C332" s="186">
        <v>0.15</v>
      </c>
      <c r="D332" s="186">
        <v>0.15</v>
      </c>
      <c r="E332" s="186">
        <v>0.15</v>
      </c>
      <c r="F332" s="187">
        <v>0.15</v>
      </c>
    </row>
    <row r="333" spans="1:6">
      <c r="A333" s="181" t="s">
        <v>294</v>
      </c>
      <c r="B333" s="185" t="s">
        <v>2369</v>
      </c>
      <c r="C333" s="186">
        <v>0.15</v>
      </c>
      <c r="D333" s="186">
        <v>0.15</v>
      </c>
      <c r="E333" s="186">
        <v>0.15</v>
      </c>
      <c r="F333" s="187">
        <v>0.14099999999999999</v>
      </c>
    </row>
    <row r="334" spans="1:6">
      <c r="A334" s="181" t="s">
        <v>294</v>
      </c>
      <c r="B334" s="185" t="s">
        <v>2379</v>
      </c>
      <c r="C334" s="186">
        <v>0.15</v>
      </c>
      <c r="D334" s="186">
        <v>0.15</v>
      </c>
      <c r="E334" s="186">
        <v>0.15</v>
      </c>
      <c r="F334" s="187">
        <v>0.15</v>
      </c>
    </row>
    <row r="335" spans="1:6">
      <c r="A335" s="181" t="s">
        <v>294</v>
      </c>
      <c r="B335" s="185" t="s">
        <v>2389</v>
      </c>
      <c r="C335" s="186">
        <v>0.15</v>
      </c>
      <c r="D335" s="186">
        <v>0.15</v>
      </c>
      <c r="E335" s="186">
        <v>0.15</v>
      </c>
      <c r="F335" s="194"/>
    </row>
    <row r="336" spans="1:6">
      <c r="A336" s="181" t="s">
        <v>294</v>
      </c>
      <c r="B336" s="185" t="s">
        <v>2398</v>
      </c>
      <c r="C336" s="186">
        <v>0.15</v>
      </c>
      <c r="D336" s="186">
        <v>0.15</v>
      </c>
      <c r="E336" s="186">
        <v>0.15</v>
      </c>
      <c r="F336" s="187">
        <v>0.11799999999999999</v>
      </c>
    </row>
    <row r="337" spans="1:6">
      <c r="A337" s="189" t="s">
        <v>294</v>
      </c>
      <c r="B337" s="196" t="s">
        <v>2406</v>
      </c>
      <c r="C337" s="192"/>
      <c r="D337" s="192"/>
      <c r="E337" s="192"/>
      <c r="F337" s="197">
        <v>0.14299999999999999</v>
      </c>
    </row>
    <row r="338" spans="1:6">
      <c r="A338" s="181" t="s">
        <v>297</v>
      </c>
      <c r="B338" s="182" t="s">
        <v>2197</v>
      </c>
      <c r="C338" s="183">
        <v>0.15</v>
      </c>
      <c r="D338" s="183">
        <v>0.15</v>
      </c>
      <c r="E338" s="183">
        <v>0.15</v>
      </c>
      <c r="F338" s="205"/>
    </row>
    <row r="339" spans="1:6">
      <c r="A339" s="181" t="s">
        <v>297</v>
      </c>
      <c r="B339" s="185" t="s">
        <v>2209</v>
      </c>
      <c r="C339" s="186">
        <v>0.15</v>
      </c>
      <c r="D339" s="186">
        <v>0.15</v>
      </c>
      <c r="E339" s="186">
        <v>0.15</v>
      </c>
      <c r="F339" s="194"/>
    </row>
    <row r="340" spans="1:6">
      <c r="A340" s="181" t="s">
        <v>297</v>
      </c>
      <c r="B340" s="185" t="s">
        <v>2223</v>
      </c>
      <c r="C340" s="186">
        <v>0.15</v>
      </c>
      <c r="D340" s="186">
        <v>0.15</v>
      </c>
      <c r="E340" s="186">
        <v>0.15</v>
      </c>
      <c r="F340" s="194"/>
    </row>
    <row r="341" spans="1:6">
      <c r="A341" s="181" t="s">
        <v>297</v>
      </c>
      <c r="B341" s="185" t="s">
        <v>2235</v>
      </c>
      <c r="C341" s="186">
        <v>0.15</v>
      </c>
      <c r="D341" s="186">
        <v>0.15</v>
      </c>
      <c r="E341" s="186">
        <v>0.15</v>
      </c>
      <c r="F341" s="187">
        <v>0.15</v>
      </c>
    </row>
    <row r="342" spans="1:6">
      <c r="A342" s="181" t="s">
        <v>297</v>
      </c>
      <c r="B342" s="185" t="s">
        <v>2247</v>
      </c>
      <c r="C342" s="186">
        <v>0.15</v>
      </c>
      <c r="D342" s="186">
        <v>0.15</v>
      </c>
      <c r="E342" s="186">
        <v>0.15</v>
      </c>
      <c r="F342" s="187">
        <v>0.15</v>
      </c>
    </row>
    <row r="343" spans="1:6">
      <c r="A343" s="181" t="s">
        <v>297</v>
      </c>
      <c r="B343" s="185" t="s">
        <v>2258</v>
      </c>
      <c r="C343" s="186">
        <v>0.15</v>
      </c>
      <c r="D343" s="186">
        <v>0.15</v>
      </c>
      <c r="E343" s="186">
        <v>0.15</v>
      </c>
      <c r="F343" s="187">
        <v>0.15</v>
      </c>
    </row>
    <row r="344" spans="1:6">
      <c r="A344" s="189" t="s">
        <v>297</v>
      </c>
      <c r="B344" s="196" t="s">
        <v>2269</v>
      </c>
      <c r="C344" s="191">
        <v>0.15</v>
      </c>
      <c r="D344" s="191">
        <v>0.15</v>
      </c>
      <c r="E344" s="191">
        <v>0.15</v>
      </c>
      <c r="F344" s="197">
        <v>0.15</v>
      </c>
    </row>
  </sheetData>
  <sheetProtection password="C66D"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05" customWidth="1"/>
    <col min="2" max="2" width="13.25" style="106" customWidth="1"/>
    <col min="3" max="3" width="15.625" style="106" customWidth="1"/>
    <col min="4" max="4" width="9.375" style="106" customWidth="1"/>
    <col min="5" max="5" width="13.5" style="106" customWidth="1"/>
    <col min="6" max="6" width="9" style="106"/>
    <col min="7" max="7" width="9.375" style="106" customWidth="1"/>
    <col min="8" max="8" width="12.25" style="106" customWidth="1"/>
    <col min="9" max="9" width="9" style="106"/>
    <col min="10" max="10" width="9.375" style="106" customWidth="1"/>
    <col min="11" max="11" width="4" style="105" customWidth="1"/>
    <col min="12" max="12" width="5.125" style="106" customWidth="1"/>
    <col min="13" max="13" width="13.75" style="106" customWidth="1"/>
    <col min="14" max="256" width="9" style="106"/>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03" customFormat="1">
      <c r="A1" s="107"/>
      <c r="B1" s="108" t="s">
        <v>2530</v>
      </c>
      <c r="C1" s="109">
        <f>项目基本情况!D3</f>
        <v>44347</v>
      </c>
      <c r="D1" s="108" t="s">
        <v>2531</v>
      </c>
      <c r="E1" s="110">
        <f>'数据-取费表'!B22</f>
        <v>3</v>
      </c>
      <c r="F1" s="108" t="s">
        <v>2532</v>
      </c>
      <c r="G1" s="111">
        <f ca="1">INDIRECT("d"&amp;$K$1)/100</f>
        <v>3.85E-2</v>
      </c>
      <c r="H1" s="108" t="s">
        <v>2533</v>
      </c>
      <c r="I1" s="111">
        <f ca="1">F4/100</f>
        <v>1.4999999999999999E-2</v>
      </c>
      <c r="J1" s="162">
        <f>IF(C1&gt;C13,0,MATCH(C1,C$13:C$105,-1))+IF(SUMIF(C13:C105,C1,D13:D105)=0,13,12)</f>
        <v>13</v>
      </c>
      <c r="K1" s="162">
        <f ca="1">MATCH(E1,C3:C7,1)+IF(SUMIF(C3:C7,E1,D3:D7)=0,2,1)</f>
        <v>5</v>
      </c>
      <c r="L1" s="162">
        <f>IF(C1&gt;M13,0,MATCH(C1,M$13:M$100,-1))+IF(SUMIF(M13:M100,C1,N13:N100)=0,13,12)</f>
        <v>13</v>
      </c>
      <c r="M1" s="107"/>
      <c r="N1" s="107"/>
      <c r="O1" s="107"/>
      <c r="P1" s="107"/>
      <c r="Q1" s="107"/>
      <c r="R1" s="107"/>
      <c r="S1" s="107"/>
      <c r="T1" s="107"/>
      <c r="U1" s="107"/>
      <c r="V1" s="107"/>
      <c r="W1" s="107"/>
      <c r="X1" s="107"/>
      <c r="Y1" s="107"/>
      <c r="Z1" s="107"/>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c r="GQ1" s="166"/>
      <c r="GR1" s="166"/>
      <c r="GS1" s="166"/>
      <c r="GT1" s="166"/>
      <c r="GU1" s="166"/>
      <c r="GV1" s="166"/>
      <c r="GW1" s="166"/>
      <c r="GX1" s="166"/>
      <c r="GY1" s="166"/>
      <c r="GZ1" s="166"/>
      <c r="HA1" s="166"/>
      <c r="HB1" s="166"/>
      <c r="HC1" s="166"/>
      <c r="HD1" s="166"/>
      <c r="HE1" s="166"/>
      <c r="HF1" s="166"/>
      <c r="HG1" s="166"/>
      <c r="HH1" s="166"/>
      <c r="HI1" s="166"/>
      <c r="HJ1" s="166"/>
      <c r="HK1" s="166"/>
      <c r="HL1" s="166"/>
      <c r="HM1" s="166"/>
      <c r="HN1" s="166"/>
      <c r="HO1" s="166"/>
      <c r="HP1" s="166"/>
      <c r="HQ1" s="166"/>
      <c r="HR1" s="166"/>
      <c r="HS1" s="166"/>
      <c r="HT1" s="166"/>
      <c r="HU1" s="166"/>
      <c r="HV1" s="166"/>
      <c r="HW1" s="166"/>
      <c r="HX1" s="166"/>
      <c r="HY1" s="166"/>
      <c r="HZ1" s="166"/>
      <c r="IA1" s="166"/>
      <c r="IB1" s="166"/>
      <c r="IC1" s="166"/>
      <c r="ID1" s="166"/>
      <c r="IE1" s="166"/>
      <c r="IF1" s="166"/>
      <c r="IG1" s="166"/>
      <c r="IH1" s="166"/>
      <c r="II1" s="166"/>
      <c r="IJ1" s="166"/>
      <c r="IK1" s="166"/>
      <c r="IL1" s="166"/>
      <c r="IM1" s="166"/>
      <c r="IN1" s="166"/>
      <c r="IO1" s="166"/>
      <c r="IP1" s="166"/>
      <c r="IQ1" s="166"/>
      <c r="IR1" s="166"/>
      <c r="IS1" s="166"/>
      <c r="IT1" s="166"/>
      <c r="IU1" s="166"/>
      <c r="IV1" s="166"/>
      <c r="IW1" s="172"/>
    </row>
    <row r="2" spans="1:257">
      <c r="A2" s="112"/>
      <c r="B2" s="112"/>
      <c r="C2" s="112"/>
      <c r="D2" s="112" t="s">
        <v>2532</v>
      </c>
      <c r="E2" s="112"/>
      <c r="F2" s="112" t="s">
        <v>2534</v>
      </c>
      <c r="G2" s="113"/>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112"/>
      <c r="IS2" s="112"/>
      <c r="IT2" s="112"/>
      <c r="IU2" s="112"/>
      <c r="IV2" s="112"/>
      <c r="IW2" s="112"/>
    </row>
    <row r="3" spans="1:257">
      <c r="B3" s="114" t="s">
        <v>2535</v>
      </c>
      <c r="C3" s="115">
        <v>0</v>
      </c>
      <c r="D3" s="116">
        <f ca="1">INDIRECT("d"&amp;$J$1)</f>
        <v>3.85</v>
      </c>
      <c r="E3" s="117">
        <v>0.5</v>
      </c>
      <c r="F3" s="118">
        <f ca="1">INDIRECT("p"&amp;$L$1)</f>
        <v>1.3</v>
      </c>
      <c r="G3" s="105"/>
      <c r="H3" s="105"/>
      <c r="I3" s="105"/>
      <c r="J3" s="105"/>
      <c r="L3" s="105"/>
      <c r="M3" s="105"/>
      <c r="N3" s="105"/>
      <c r="O3" s="105"/>
      <c r="P3" s="105"/>
      <c r="Q3" s="105"/>
      <c r="R3" s="105"/>
      <c r="S3" s="105"/>
      <c r="T3" s="105"/>
      <c r="U3" s="105"/>
      <c r="V3" s="105"/>
      <c r="W3" s="105"/>
      <c r="X3" s="105"/>
      <c r="Y3" s="105"/>
      <c r="Z3" s="105"/>
    </row>
    <row r="4" spans="1:257">
      <c r="B4" s="119" t="s">
        <v>2536</v>
      </c>
      <c r="C4" s="120">
        <v>0.5</v>
      </c>
      <c r="D4" s="121">
        <f ca="1">INDIRECT("e"&amp;$J$1)</f>
        <v>3.85</v>
      </c>
      <c r="E4" s="122">
        <v>1</v>
      </c>
      <c r="F4" s="123">
        <f ca="1">INDIRECT("q"&amp;$L$1)</f>
        <v>1.5</v>
      </c>
      <c r="G4" s="105"/>
      <c r="H4" s="105"/>
      <c r="I4" s="105"/>
      <c r="J4" s="105"/>
      <c r="L4" s="105"/>
      <c r="M4" s="105"/>
      <c r="N4" s="105"/>
      <c r="O4" s="105"/>
      <c r="P4" s="105"/>
      <c r="Q4" s="105"/>
      <c r="R4" s="105"/>
      <c r="S4" s="105"/>
      <c r="T4" s="105"/>
      <c r="U4" s="105"/>
      <c r="V4" s="105"/>
      <c r="W4" s="105"/>
      <c r="X4" s="105"/>
      <c r="Y4" s="105"/>
      <c r="Z4" s="105"/>
    </row>
    <row r="5" spans="1:257">
      <c r="B5" s="119" t="s">
        <v>2537</v>
      </c>
      <c r="C5" s="120">
        <v>1</v>
      </c>
      <c r="D5" s="121">
        <f ca="1">INDIRECT("f"&amp;$J$1)</f>
        <v>3.85</v>
      </c>
      <c r="E5" s="122">
        <v>2</v>
      </c>
      <c r="F5" s="123">
        <f ca="1">INDIRECT("r"&amp;$L$1)</f>
        <v>2.1</v>
      </c>
      <c r="G5" s="105"/>
      <c r="H5" s="105"/>
      <c r="I5" s="105"/>
      <c r="J5" s="105"/>
      <c r="L5" s="105"/>
      <c r="M5" s="105"/>
      <c r="N5" s="105"/>
      <c r="O5" s="105"/>
      <c r="P5" s="105"/>
      <c r="Q5" s="105"/>
      <c r="R5" s="105"/>
      <c r="S5" s="105"/>
      <c r="T5" s="105"/>
      <c r="U5" s="105"/>
      <c r="V5" s="105"/>
      <c r="W5" s="105"/>
      <c r="X5" s="105"/>
      <c r="Y5" s="105"/>
      <c r="Z5" s="105"/>
    </row>
    <row r="6" spans="1:257">
      <c r="B6" s="119" t="s">
        <v>2538</v>
      </c>
      <c r="C6" s="120">
        <v>3</v>
      </c>
      <c r="D6" s="121">
        <f ca="1">INDIRECT("g"&amp;$J$1)</f>
        <v>3.85</v>
      </c>
      <c r="E6" s="122">
        <v>3</v>
      </c>
      <c r="F6" s="123">
        <f ca="1">INDIRECT("s"&amp;$L$1)</f>
        <v>2.75</v>
      </c>
      <c r="G6" s="105"/>
      <c r="H6" s="105"/>
      <c r="I6" s="105"/>
      <c r="J6" s="105"/>
      <c r="L6" s="105"/>
      <c r="M6" s="105"/>
      <c r="N6" s="105"/>
      <c r="O6" s="105"/>
      <c r="P6" s="105"/>
      <c r="Q6" s="105"/>
      <c r="R6" s="105"/>
      <c r="S6" s="105"/>
      <c r="T6" s="105"/>
      <c r="U6" s="105"/>
      <c r="V6" s="105"/>
      <c r="W6" s="105"/>
      <c r="X6" s="105"/>
      <c r="Y6" s="105"/>
      <c r="Z6" s="105"/>
    </row>
    <row r="7" spans="1:257">
      <c r="B7" s="124" t="s">
        <v>2539</v>
      </c>
      <c r="C7" s="125">
        <v>5</v>
      </c>
      <c r="D7" s="126">
        <f ca="1">INDIRECT("h"&amp;$J$1)</f>
        <v>4.6500000000000004</v>
      </c>
      <c r="E7" s="127">
        <v>5</v>
      </c>
      <c r="F7" s="128">
        <f ca="1">INDIRECT("t"&amp;$L$1)</f>
        <v>0</v>
      </c>
      <c r="G7" s="105"/>
      <c r="H7" s="105"/>
      <c r="I7" s="105"/>
      <c r="J7" s="105"/>
      <c r="L7" s="105"/>
      <c r="M7" s="105"/>
      <c r="N7" s="105"/>
      <c r="O7" s="105"/>
      <c r="P7" s="105"/>
      <c r="Q7" s="105"/>
      <c r="R7" s="105"/>
      <c r="S7" s="105"/>
      <c r="T7" s="105"/>
      <c r="U7" s="105"/>
      <c r="V7" s="105"/>
      <c r="W7" s="105"/>
      <c r="X7" s="105"/>
      <c r="Y7" s="105"/>
      <c r="Z7" s="105"/>
    </row>
    <row r="8" spans="1:257">
      <c r="A8" s="129"/>
      <c r="B8" s="130"/>
      <c r="C8" s="131"/>
      <c r="D8" s="105"/>
      <c r="E8" s="105"/>
      <c r="F8" s="105"/>
      <c r="G8" s="105"/>
      <c r="H8" s="105"/>
      <c r="I8" s="105"/>
      <c r="J8" s="105"/>
      <c r="L8" s="105"/>
      <c r="M8" s="105"/>
      <c r="N8" s="105"/>
      <c r="O8" s="105"/>
      <c r="P8" s="105"/>
      <c r="Q8" s="105"/>
      <c r="R8" s="105"/>
      <c r="S8" s="105"/>
      <c r="T8" s="105"/>
      <c r="U8" s="105"/>
      <c r="V8" s="105"/>
      <c r="W8" s="105"/>
      <c r="X8" s="105"/>
      <c r="Y8" s="105"/>
      <c r="Z8" s="105"/>
    </row>
    <row r="9" spans="1:257" ht="20.25">
      <c r="A9" s="132"/>
      <c r="B9" s="133" t="s">
        <v>2540</v>
      </c>
      <c r="C9" s="134"/>
      <c r="D9" s="135"/>
      <c r="E9" s="135"/>
      <c r="F9" s="135"/>
      <c r="G9" s="135"/>
      <c r="H9" s="135"/>
      <c r="I9" s="135"/>
      <c r="J9" s="135"/>
      <c r="K9" s="135"/>
      <c r="L9" s="135"/>
      <c r="M9" s="135"/>
      <c r="N9" s="135"/>
      <c r="O9" s="135"/>
      <c r="P9" s="135"/>
      <c r="Q9" s="135"/>
      <c r="R9" s="135"/>
      <c r="S9" s="135"/>
      <c r="T9" s="135"/>
      <c r="U9" s="135"/>
      <c r="V9" s="135"/>
      <c r="W9" s="135"/>
      <c r="X9" s="135"/>
      <c r="Y9" s="135"/>
      <c r="Z9" s="135"/>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c r="IV9" s="167"/>
      <c r="IW9" s="173"/>
    </row>
    <row r="10" spans="1:257" ht="22.5">
      <c r="A10" s="136"/>
      <c r="B10" s="137" t="s">
        <v>2541</v>
      </c>
      <c r="C10" s="136"/>
      <c r="D10" s="136"/>
      <c r="E10" s="136"/>
      <c r="F10" s="136"/>
      <c r="G10" s="136"/>
      <c r="H10" s="136"/>
      <c r="I10" s="105"/>
      <c r="J10" s="105"/>
      <c r="K10" s="136"/>
      <c r="L10" s="137" t="s">
        <v>2542</v>
      </c>
      <c r="M10" s="136"/>
      <c r="N10" s="136"/>
      <c r="O10" s="136"/>
      <c r="P10" s="136"/>
      <c r="Q10" s="136"/>
      <c r="R10" s="136"/>
      <c r="S10" s="136"/>
      <c r="T10" s="136"/>
      <c r="U10" s="136"/>
      <c r="V10" s="136"/>
      <c r="W10" s="136"/>
      <c r="X10" s="136"/>
      <c r="Y10" s="136"/>
      <c r="Z10" s="136"/>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row>
    <row r="11" spans="1:257">
      <c r="A11" s="138"/>
      <c r="B11" s="139" t="s">
        <v>2543</v>
      </c>
      <c r="C11" s="140" t="s">
        <v>2544</v>
      </c>
      <c r="D11" s="141" t="s">
        <v>2545</v>
      </c>
      <c r="E11" s="142"/>
      <c r="F11" s="141" t="s">
        <v>2546</v>
      </c>
      <c r="G11" s="143"/>
      <c r="H11" s="142"/>
      <c r="I11" s="141" t="s">
        <v>2547</v>
      </c>
      <c r="J11" s="142"/>
      <c r="K11" s="138"/>
      <c r="L11" s="139" t="s">
        <v>2543</v>
      </c>
      <c r="M11" s="140" t="s">
        <v>2544</v>
      </c>
      <c r="N11" s="139" t="s">
        <v>2548</v>
      </c>
      <c r="O11" s="141" t="s">
        <v>2549</v>
      </c>
      <c r="P11" s="143"/>
      <c r="Q11" s="143"/>
      <c r="R11" s="143"/>
      <c r="S11" s="143"/>
      <c r="T11" s="142"/>
      <c r="U11" s="141" t="s">
        <v>2550</v>
      </c>
      <c r="V11" s="143"/>
      <c r="W11" s="142"/>
      <c r="X11" s="139" t="s">
        <v>2551</v>
      </c>
      <c r="Y11" s="139" t="s">
        <v>2552</v>
      </c>
      <c r="Z11" s="139" t="s">
        <v>2553</v>
      </c>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c r="HA11" s="169"/>
      <c r="HB11" s="169"/>
      <c r="HC11" s="169"/>
      <c r="HD11" s="169"/>
      <c r="HE11" s="169"/>
      <c r="HF11" s="169"/>
      <c r="HG11" s="169"/>
      <c r="HH11" s="169"/>
      <c r="HI11" s="169"/>
      <c r="HJ11" s="169"/>
      <c r="HK11" s="169"/>
      <c r="HL11" s="169"/>
      <c r="HM11" s="169"/>
      <c r="HN11" s="169"/>
      <c r="HO11" s="169"/>
      <c r="HP11" s="169"/>
      <c r="HQ11" s="169"/>
      <c r="HR11" s="169"/>
      <c r="HS11" s="169"/>
      <c r="HT11" s="169"/>
      <c r="HU11" s="169"/>
      <c r="HV11" s="169"/>
      <c r="HW11" s="169"/>
      <c r="HX11" s="169"/>
      <c r="HY11" s="169"/>
      <c r="HZ11" s="169"/>
      <c r="IA11" s="169"/>
      <c r="IB11" s="169"/>
      <c r="IC11" s="169"/>
      <c r="ID11" s="169"/>
      <c r="IE11" s="169"/>
      <c r="IF11" s="169"/>
      <c r="IG11" s="169"/>
      <c r="IH11" s="169"/>
      <c r="II11" s="169"/>
      <c r="IJ11" s="169"/>
      <c r="IK11" s="169"/>
      <c r="IL11" s="169"/>
      <c r="IM11" s="169"/>
      <c r="IN11" s="169"/>
      <c r="IO11" s="169"/>
      <c r="IP11" s="169"/>
      <c r="IQ11" s="169"/>
      <c r="IR11" s="169"/>
      <c r="IS11" s="169"/>
      <c r="IT11" s="169"/>
      <c r="IU11" s="169"/>
      <c r="IV11" s="169"/>
    </row>
    <row r="12" spans="1:257">
      <c r="A12" s="144"/>
      <c r="B12" s="145"/>
      <c r="C12" s="146"/>
      <c r="D12" s="147" t="s">
        <v>2554</v>
      </c>
      <c r="E12" s="147" t="s">
        <v>2536</v>
      </c>
      <c r="F12" s="147" t="s">
        <v>2537</v>
      </c>
      <c r="G12" s="147" t="s">
        <v>2538</v>
      </c>
      <c r="H12" s="147" t="s">
        <v>2539</v>
      </c>
      <c r="I12" s="163" t="s">
        <v>2555</v>
      </c>
      <c r="J12" s="163" t="s">
        <v>2555</v>
      </c>
      <c r="K12" s="144"/>
      <c r="L12" s="145"/>
      <c r="M12" s="146"/>
      <c r="N12" s="145"/>
      <c r="O12" s="163" t="s">
        <v>2556</v>
      </c>
      <c r="P12" s="163">
        <v>0.5</v>
      </c>
      <c r="Q12" s="163">
        <v>1</v>
      </c>
      <c r="R12" s="163">
        <v>2</v>
      </c>
      <c r="S12" s="163">
        <v>3</v>
      </c>
      <c r="T12" s="163">
        <v>5</v>
      </c>
      <c r="U12" s="163">
        <v>1</v>
      </c>
      <c r="V12" s="163">
        <v>3</v>
      </c>
      <c r="W12" s="163">
        <v>5</v>
      </c>
      <c r="X12" s="145"/>
      <c r="Y12" s="145"/>
      <c r="Z12" s="145"/>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c r="FL12" s="170"/>
      <c r="FM12" s="170"/>
      <c r="FN12" s="170"/>
      <c r="FO12" s="170"/>
      <c r="FP12" s="170"/>
      <c r="FQ12" s="170"/>
      <c r="FR12" s="170"/>
      <c r="FS12" s="170"/>
      <c r="FT12" s="170"/>
      <c r="FU12" s="170"/>
      <c r="FV12" s="170"/>
      <c r="FW12" s="170"/>
      <c r="FX12" s="170"/>
      <c r="FY12" s="170"/>
      <c r="FZ12" s="170"/>
      <c r="GA12" s="170"/>
      <c r="GB12" s="170"/>
      <c r="GC12" s="170"/>
      <c r="GD12" s="170"/>
      <c r="GE12" s="170"/>
      <c r="GF12" s="170"/>
      <c r="GG12" s="170"/>
      <c r="GH12" s="170"/>
      <c r="GI12" s="170"/>
      <c r="GJ12" s="170"/>
      <c r="GK12" s="170"/>
      <c r="GL12" s="170"/>
      <c r="GM12" s="170"/>
      <c r="GN12" s="170"/>
      <c r="GO12" s="170"/>
      <c r="GP12" s="170"/>
      <c r="GQ12" s="170"/>
      <c r="GR12" s="170"/>
      <c r="GS12" s="170"/>
      <c r="GT12" s="170"/>
      <c r="GU12" s="170"/>
      <c r="GV12" s="170"/>
      <c r="GW12" s="170"/>
      <c r="GX12" s="170"/>
      <c r="GY12" s="170"/>
      <c r="GZ12" s="170"/>
      <c r="HA12" s="170"/>
      <c r="HB12" s="170"/>
      <c r="HC12" s="170"/>
      <c r="HD12" s="170"/>
      <c r="HE12" s="170"/>
      <c r="HF12" s="170"/>
      <c r="HG12" s="170"/>
      <c r="HH12" s="170"/>
      <c r="HI12" s="170"/>
      <c r="HJ12" s="170"/>
      <c r="HK12" s="170"/>
      <c r="HL12" s="170"/>
      <c r="HM12" s="170"/>
      <c r="HN12" s="170"/>
      <c r="HO12" s="170"/>
      <c r="HP12" s="170"/>
      <c r="HQ12" s="170"/>
      <c r="HR12" s="170"/>
      <c r="HS12" s="170"/>
      <c r="HT12" s="170"/>
      <c r="HU12" s="170"/>
      <c r="HV12" s="170"/>
      <c r="HW12" s="170"/>
      <c r="HX12" s="170"/>
      <c r="HY12" s="170"/>
      <c r="HZ12" s="170"/>
      <c r="IA12" s="170"/>
      <c r="IB12" s="170"/>
      <c r="IC12" s="170"/>
      <c r="ID12" s="170"/>
      <c r="IE12" s="170"/>
      <c r="IF12" s="170"/>
      <c r="IG12" s="170"/>
      <c r="IH12" s="170"/>
      <c r="II12" s="170"/>
      <c r="IJ12" s="170"/>
      <c r="IK12" s="170"/>
      <c r="IL12" s="170"/>
      <c r="IM12" s="170"/>
      <c r="IN12" s="170"/>
      <c r="IO12" s="170"/>
      <c r="IP12" s="170"/>
      <c r="IQ12" s="170"/>
      <c r="IR12" s="170"/>
      <c r="IS12" s="170"/>
      <c r="IT12" s="170"/>
      <c r="IU12" s="170"/>
      <c r="IV12" s="170"/>
    </row>
    <row r="13" spans="1:257" ht="14.25">
      <c r="A13" s="148"/>
      <c r="B13" s="149" t="s">
        <v>2557</v>
      </c>
      <c r="C13" s="150">
        <v>43941</v>
      </c>
      <c r="D13" s="151">
        <v>3.85</v>
      </c>
      <c r="E13" s="151">
        <v>3.85</v>
      </c>
      <c r="F13" s="151">
        <v>3.85</v>
      </c>
      <c r="G13" s="151">
        <v>3.85</v>
      </c>
      <c r="H13" s="151">
        <v>4.6500000000000004</v>
      </c>
      <c r="I13" s="151"/>
      <c r="J13" s="151"/>
      <c r="K13" s="148"/>
      <c r="L13" s="149" t="s">
        <v>2557</v>
      </c>
      <c r="M13" s="164">
        <v>42301</v>
      </c>
      <c r="N13" s="151">
        <v>0.35</v>
      </c>
      <c r="O13" s="151">
        <v>1.1000000000000001</v>
      </c>
      <c r="P13" s="151">
        <v>1.3</v>
      </c>
      <c r="Q13" s="151">
        <v>1.5</v>
      </c>
      <c r="R13" s="151">
        <v>2.1</v>
      </c>
      <c r="S13" s="151">
        <v>2.75</v>
      </c>
      <c r="T13" s="151"/>
      <c r="U13" s="151"/>
      <c r="V13" s="151"/>
      <c r="W13" s="151"/>
      <c r="X13" s="151"/>
      <c r="Y13" s="151"/>
      <c r="Z13" s="15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c r="IW13" s="174"/>
    </row>
    <row r="14" spans="1:257" ht="14.25">
      <c r="A14" s="148"/>
      <c r="B14" s="152"/>
      <c r="C14" s="153">
        <v>43881</v>
      </c>
      <c r="D14" s="152">
        <v>4.05</v>
      </c>
      <c r="E14" s="152">
        <v>4.05</v>
      </c>
      <c r="F14" s="152">
        <v>4.05</v>
      </c>
      <c r="G14" s="152">
        <v>4.05</v>
      </c>
      <c r="H14" s="152">
        <v>4.75</v>
      </c>
      <c r="I14" s="152"/>
      <c r="J14" s="152"/>
      <c r="L14" s="152"/>
      <c r="M14" s="153">
        <v>42242</v>
      </c>
      <c r="N14" s="152">
        <v>0.35</v>
      </c>
      <c r="O14" s="152">
        <v>1.35</v>
      </c>
      <c r="P14" s="152">
        <v>1.55</v>
      </c>
      <c r="Q14" s="152">
        <v>1.75</v>
      </c>
      <c r="R14" s="152">
        <v>2.35</v>
      </c>
      <c r="S14" s="152">
        <v>3</v>
      </c>
      <c r="T14" s="152"/>
      <c r="U14" s="152"/>
      <c r="V14" s="152"/>
      <c r="W14" s="152"/>
      <c r="X14" s="152"/>
      <c r="Y14" s="152"/>
      <c r="Z14" s="152"/>
    </row>
    <row r="15" spans="1:257" ht="14.25">
      <c r="A15" s="148"/>
      <c r="B15" s="152"/>
      <c r="C15" s="153">
        <v>43789</v>
      </c>
      <c r="D15" s="152">
        <v>4.1500000000000004</v>
      </c>
      <c r="E15" s="152">
        <v>4.1500000000000004</v>
      </c>
      <c r="F15" s="152">
        <v>4.1500000000000004</v>
      </c>
      <c r="G15" s="152">
        <v>4.1500000000000004</v>
      </c>
      <c r="H15" s="152">
        <v>4.8</v>
      </c>
      <c r="I15" s="152"/>
      <c r="J15" s="152"/>
      <c r="L15" s="152"/>
      <c r="M15" s="153">
        <v>42183</v>
      </c>
      <c r="N15" s="152">
        <v>0.35</v>
      </c>
      <c r="O15" s="152">
        <v>1.6</v>
      </c>
      <c r="P15" s="152">
        <v>1.8</v>
      </c>
      <c r="Q15" s="152">
        <v>2</v>
      </c>
      <c r="R15" s="152">
        <v>2.6</v>
      </c>
      <c r="S15" s="152">
        <v>3.25</v>
      </c>
      <c r="T15" s="152"/>
      <c r="U15" s="152"/>
      <c r="V15" s="152"/>
      <c r="W15" s="152"/>
      <c r="X15" s="152"/>
      <c r="Y15" s="152"/>
      <c r="Z15" s="152"/>
    </row>
    <row r="16" spans="1:257" ht="14.25">
      <c r="A16" s="148"/>
      <c r="B16" s="152"/>
      <c r="C16" s="153">
        <v>43728</v>
      </c>
      <c r="D16" s="152">
        <v>4.2</v>
      </c>
      <c r="E16" s="152">
        <v>4.2</v>
      </c>
      <c r="F16" s="152">
        <v>4.2</v>
      </c>
      <c r="G16" s="152">
        <v>4.2</v>
      </c>
      <c r="H16" s="152">
        <v>4.8499999999999996</v>
      </c>
      <c r="I16" s="152"/>
      <c r="J16" s="152"/>
      <c r="L16" s="152"/>
      <c r="M16" s="153">
        <v>42135</v>
      </c>
      <c r="N16" s="152">
        <v>0.35</v>
      </c>
      <c r="O16" s="152">
        <v>1.85</v>
      </c>
      <c r="P16" s="152">
        <v>2.0499999999999998</v>
      </c>
      <c r="Q16" s="152">
        <v>2.25</v>
      </c>
      <c r="R16" s="152">
        <v>2.85</v>
      </c>
      <c r="S16" s="152">
        <v>3.5</v>
      </c>
      <c r="T16" s="152"/>
      <c r="U16" s="152"/>
      <c r="V16" s="152"/>
      <c r="W16" s="152"/>
      <c r="X16" s="152"/>
      <c r="Y16" s="152"/>
      <c r="Z16" s="152"/>
    </row>
    <row r="17" spans="1:256" ht="14.25">
      <c r="A17" s="148"/>
      <c r="B17" s="149" t="s">
        <v>2558</v>
      </c>
      <c r="C17" s="154">
        <v>43697</v>
      </c>
      <c r="D17" s="155">
        <v>4.25</v>
      </c>
      <c r="E17" s="155">
        <v>4.25</v>
      </c>
      <c r="F17" s="155">
        <v>4.25</v>
      </c>
      <c r="G17" s="155">
        <v>4.25</v>
      </c>
      <c r="H17" s="155">
        <v>4.8499999999999996</v>
      </c>
      <c r="I17" s="155"/>
      <c r="J17" s="155"/>
      <c r="L17" s="152"/>
      <c r="M17" s="153">
        <v>42064</v>
      </c>
      <c r="N17" s="152">
        <v>0.35</v>
      </c>
      <c r="O17" s="152">
        <v>2.1</v>
      </c>
      <c r="P17" s="152">
        <v>2.2999999999999998</v>
      </c>
      <c r="Q17" s="152">
        <v>2.5</v>
      </c>
      <c r="R17" s="152">
        <v>3.1</v>
      </c>
      <c r="S17" s="152">
        <v>3.75</v>
      </c>
      <c r="T17" s="152">
        <v>4.5</v>
      </c>
      <c r="U17" s="152">
        <v>2.35</v>
      </c>
      <c r="V17" s="152">
        <v>2.5499999999999998</v>
      </c>
      <c r="W17" s="152">
        <v>2.75</v>
      </c>
      <c r="X17" s="152"/>
      <c r="Y17" s="152">
        <v>0.8</v>
      </c>
      <c r="Z17" s="152">
        <v>1.35</v>
      </c>
    </row>
    <row r="18" spans="1:256" s="104" customFormat="1" ht="15">
      <c r="A18" s="156"/>
      <c r="B18" s="157"/>
      <c r="C18" s="158">
        <v>42301</v>
      </c>
      <c r="D18" s="159">
        <v>4.3499999999999996</v>
      </c>
      <c r="E18" s="159">
        <v>4.3499999999999996</v>
      </c>
      <c r="F18" s="159">
        <v>4.75</v>
      </c>
      <c r="G18" s="159">
        <v>4.75</v>
      </c>
      <c r="H18" s="159">
        <v>4.9000000000000004</v>
      </c>
      <c r="I18" s="159"/>
      <c r="J18" s="159"/>
      <c r="K18" s="144"/>
      <c r="L18" s="159"/>
      <c r="M18" s="158">
        <v>41965</v>
      </c>
      <c r="N18" s="159">
        <v>0.35</v>
      </c>
      <c r="O18" s="159">
        <v>2.35</v>
      </c>
      <c r="P18" s="159">
        <v>2.5499999999999998</v>
      </c>
      <c r="Q18" s="159">
        <v>2.75</v>
      </c>
      <c r="R18" s="159">
        <v>3.35</v>
      </c>
      <c r="S18" s="159">
        <v>4</v>
      </c>
      <c r="T18" s="159">
        <v>4.75</v>
      </c>
      <c r="U18" s="165">
        <v>2.35</v>
      </c>
      <c r="V18" s="165">
        <v>2.5499999999999998</v>
      </c>
      <c r="W18" s="165">
        <v>2.75</v>
      </c>
      <c r="X18" s="159"/>
      <c r="Y18" s="165">
        <v>0.8</v>
      </c>
      <c r="Z18" s="165">
        <v>1.35</v>
      </c>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70"/>
      <c r="ES18" s="170"/>
      <c r="ET18" s="170"/>
      <c r="EU18" s="170"/>
      <c r="EV18" s="170"/>
      <c r="EW18" s="170"/>
      <c r="EX18" s="170"/>
      <c r="EY18" s="170"/>
      <c r="EZ18" s="170"/>
      <c r="FA18" s="170"/>
      <c r="FB18" s="170"/>
      <c r="FC18" s="170"/>
      <c r="FD18" s="170"/>
      <c r="FE18" s="170"/>
      <c r="FF18" s="170"/>
      <c r="FG18" s="170"/>
      <c r="FH18" s="170"/>
      <c r="FI18" s="170"/>
      <c r="FJ18" s="170"/>
      <c r="FK18" s="170"/>
      <c r="FL18" s="170"/>
      <c r="FM18" s="170"/>
      <c r="FN18" s="170"/>
      <c r="FO18" s="170"/>
      <c r="FP18" s="170"/>
      <c r="FQ18" s="170"/>
      <c r="FR18" s="170"/>
      <c r="FS18" s="170"/>
      <c r="FT18" s="170"/>
      <c r="FU18" s="170"/>
      <c r="FV18" s="170"/>
      <c r="FW18" s="170"/>
      <c r="FX18" s="170"/>
      <c r="FY18" s="170"/>
      <c r="FZ18" s="170"/>
      <c r="GA18" s="170"/>
      <c r="GB18" s="170"/>
      <c r="GC18" s="170"/>
      <c r="GD18" s="170"/>
      <c r="GE18" s="170"/>
      <c r="GF18" s="170"/>
      <c r="GG18" s="170"/>
      <c r="GH18" s="170"/>
      <c r="GI18" s="170"/>
      <c r="GJ18" s="170"/>
      <c r="GK18" s="170"/>
      <c r="GL18" s="170"/>
      <c r="GM18" s="170"/>
      <c r="GN18" s="170"/>
      <c r="GO18" s="170"/>
      <c r="GP18" s="170"/>
      <c r="GQ18" s="170"/>
      <c r="GR18" s="170"/>
      <c r="GS18" s="170"/>
      <c r="GT18" s="170"/>
      <c r="GU18" s="170"/>
      <c r="GV18" s="170"/>
      <c r="GW18" s="170"/>
      <c r="GX18" s="170"/>
      <c r="GY18" s="170"/>
      <c r="GZ18" s="170"/>
      <c r="HA18" s="170"/>
      <c r="HB18" s="170"/>
      <c r="HC18" s="170"/>
      <c r="HD18" s="170"/>
      <c r="HE18" s="170"/>
      <c r="HF18" s="170"/>
      <c r="HG18" s="170"/>
      <c r="HH18" s="170"/>
      <c r="HI18" s="170"/>
      <c r="HJ18" s="170"/>
      <c r="HK18" s="170"/>
      <c r="HL18" s="170"/>
      <c r="HM18" s="170"/>
      <c r="HN18" s="170"/>
      <c r="HO18" s="170"/>
      <c r="HP18" s="170"/>
      <c r="HQ18" s="170"/>
      <c r="HR18" s="170"/>
      <c r="HS18" s="170"/>
      <c r="HT18" s="170"/>
      <c r="HU18" s="170"/>
      <c r="HV18" s="170"/>
      <c r="HW18" s="170"/>
      <c r="HX18" s="170"/>
      <c r="HY18" s="170"/>
      <c r="HZ18" s="170"/>
      <c r="IA18" s="170"/>
      <c r="IB18" s="170"/>
      <c r="IC18" s="170"/>
      <c r="ID18" s="170"/>
      <c r="IE18" s="170"/>
      <c r="IF18" s="170"/>
      <c r="IG18" s="170"/>
      <c r="IH18" s="170"/>
      <c r="II18" s="170"/>
      <c r="IJ18" s="170"/>
      <c r="IK18" s="170"/>
      <c r="IL18" s="170"/>
      <c r="IM18" s="170"/>
      <c r="IN18" s="170"/>
      <c r="IO18" s="170"/>
      <c r="IP18" s="170"/>
      <c r="IQ18" s="170"/>
      <c r="IR18" s="170"/>
      <c r="IS18" s="170"/>
      <c r="IT18" s="170"/>
      <c r="IU18" s="170"/>
      <c r="IV18" s="170"/>
    </row>
    <row r="19" spans="1:256">
      <c r="B19" s="152"/>
      <c r="C19" s="153">
        <v>42242</v>
      </c>
      <c r="D19" s="152">
        <v>4.5999999999999996</v>
      </c>
      <c r="E19" s="152">
        <v>4.5999999999999996</v>
      </c>
      <c r="F19" s="152">
        <v>5</v>
      </c>
      <c r="G19" s="152">
        <v>5</v>
      </c>
      <c r="H19" s="152">
        <v>5.15</v>
      </c>
      <c r="I19" s="152">
        <v>2.75</v>
      </c>
      <c r="J19" s="152">
        <v>3.25</v>
      </c>
      <c r="L19" s="152"/>
      <c r="M19" s="153">
        <v>41096</v>
      </c>
      <c r="N19" s="152">
        <v>0.35</v>
      </c>
      <c r="O19" s="152">
        <v>2.6</v>
      </c>
      <c r="P19" s="152">
        <v>2.8</v>
      </c>
      <c r="Q19" s="152">
        <v>3</v>
      </c>
      <c r="R19" s="152">
        <v>3.75</v>
      </c>
      <c r="S19" s="152">
        <v>4.25</v>
      </c>
      <c r="T19" s="152">
        <v>4.75</v>
      </c>
      <c r="U19" s="152">
        <v>2.85</v>
      </c>
      <c r="V19" s="152">
        <v>2.9</v>
      </c>
      <c r="W19" s="152">
        <v>3</v>
      </c>
      <c r="X19" s="152">
        <v>1.1499999999999999</v>
      </c>
      <c r="Y19" s="152">
        <v>0.8</v>
      </c>
      <c r="Z19" s="152">
        <v>1.35</v>
      </c>
    </row>
    <row r="20" spans="1:256">
      <c r="B20" s="152"/>
      <c r="C20" s="153">
        <v>42183</v>
      </c>
      <c r="D20" s="152">
        <v>4.8499999999999996</v>
      </c>
      <c r="E20" s="152">
        <v>4.8499999999999996</v>
      </c>
      <c r="F20" s="152">
        <v>5.25</v>
      </c>
      <c r="G20" s="152">
        <v>5.25</v>
      </c>
      <c r="H20" s="152">
        <v>5.4</v>
      </c>
      <c r="I20" s="152">
        <v>3</v>
      </c>
      <c r="J20" s="152">
        <v>3.5</v>
      </c>
      <c r="L20" s="152"/>
      <c r="M20" s="153">
        <v>41068</v>
      </c>
      <c r="N20" s="152">
        <v>0.4</v>
      </c>
      <c r="O20" s="152">
        <v>2.85</v>
      </c>
      <c r="P20" s="152">
        <v>3.05</v>
      </c>
      <c r="Q20" s="152">
        <v>3.25</v>
      </c>
      <c r="R20" s="152">
        <v>4.0999999999999996</v>
      </c>
      <c r="S20" s="152">
        <v>4.6500000000000004</v>
      </c>
      <c r="T20" s="152">
        <v>5.0999999999999996</v>
      </c>
      <c r="U20" s="152">
        <v>3.1</v>
      </c>
      <c r="V20" s="152">
        <v>3.15</v>
      </c>
      <c r="W20" s="152">
        <v>3.25</v>
      </c>
      <c r="X20" s="152">
        <v>1.31</v>
      </c>
      <c r="Y20" s="152">
        <v>0.94</v>
      </c>
      <c r="Z20" s="152">
        <v>1.49</v>
      </c>
    </row>
    <row r="21" spans="1:256">
      <c r="B21" s="152"/>
      <c r="C21" s="153">
        <v>42135</v>
      </c>
      <c r="D21" s="152">
        <v>5.0999999999999996</v>
      </c>
      <c r="E21" s="152">
        <v>5.0999999999999996</v>
      </c>
      <c r="F21" s="152">
        <v>5.5</v>
      </c>
      <c r="G21" s="152">
        <v>5.5</v>
      </c>
      <c r="H21" s="152">
        <v>5.65</v>
      </c>
      <c r="I21" s="152">
        <v>3.25</v>
      </c>
      <c r="J21" s="152">
        <v>3.75</v>
      </c>
      <c r="L21" s="152"/>
      <c r="M21" s="153">
        <v>40731</v>
      </c>
      <c r="N21" s="152">
        <v>0.5</v>
      </c>
      <c r="O21" s="152">
        <v>3.1</v>
      </c>
      <c r="P21" s="152">
        <v>3.3</v>
      </c>
      <c r="Q21" s="152">
        <v>3.5</v>
      </c>
      <c r="R21" s="152">
        <v>4.4000000000000004</v>
      </c>
      <c r="S21" s="152">
        <v>5</v>
      </c>
      <c r="T21" s="152">
        <v>5.5</v>
      </c>
      <c r="U21" s="152">
        <v>3.1</v>
      </c>
      <c r="V21" s="152">
        <v>3.3</v>
      </c>
      <c r="W21" s="152">
        <v>3.5</v>
      </c>
      <c r="X21" s="152">
        <v>1.31</v>
      </c>
      <c r="Y21" s="152">
        <v>0.95</v>
      </c>
      <c r="Z21" s="152">
        <v>1.49</v>
      </c>
    </row>
    <row r="22" spans="1:256">
      <c r="B22" s="152"/>
      <c r="C22" s="153">
        <v>42064</v>
      </c>
      <c r="D22" s="152">
        <v>5.35</v>
      </c>
      <c r="E22" s="152">
        <v>5.35</v>
      </c>
      <c r="F22" s="152">
        <v>5.75</v>
      </c>
      <c r="G22" s="152">
        <v>5.75</v>
      </c>
      <c r="H22" s="152">
        <v>5.9</v>
      </c>
      <c r="I22" s="152"/>
      <c r="J22" s="152"/>
      <c r="L22" s="152"/>
      <c r="M22" s="153">
        <v>40639</v>
      </c>
      <c r="N22" s="152">
        <v>0.5</v>
      </c>
      <c r="O22" s="152">
        <v>2.85</v>
      </c>
      <c r="P22" s="152">
        <v>3.05</v>
      </c>
      <c r="Q22" s="152">
        <v>3.25</v>
      </c>
      <c r="R22" s="152">
        <v>4.1500000000000004</v>
      </c>
      <c r="S22" s="152">
        <v>4.75</v>
      </c>
      <c r="T22" s="152">
        <v>5.25</v>
      </c>
      <c r="U22" s="152">
        <v>2.85</v>
      </c>
      <c r="V22" s="152">
        <v>3.05</v>
      </c>
      <c r="W22" s="152">
        <v>3.25</v>
      </c>
      <c r="X22" s="152">
        <v>1.31</v>
      </c>
      <c r="Y22" s="152">
        <v>0.95</v>
      </c>
      <c r="Z22" s="152">
        <v>1.49</v>
      </c>
    </row>
    <row r="23" spans="1:256">
      <c r="B23" s="152"/>
      <c r="C23" s="153">
        <v>41965</v>
      </c>
      <c r="D23" s="152">
        <v>5.6</v>
      </c>
      <c r="E23" s="152">
        <v>5.6</v>
      </c>
      <c r="F23" s="152">
        <v>6</v>
      </c>
      <c r="G23" s="152">
        <v>6</v>
      </c>
      <c r="H23" s="152">
        <v>6.15</v>
      </c>
      <c r="I23" s="152"/>
      <c r="J23" s="152"/>
      <c r="L23" s="152"/>
      <c r="M23" s="153">
        <v>40583</v>
      </c>
      <c r="N23" s="152">
        <v>0.4</v>
      </c>
      <c r="O23" s="152">
        <v>2.6</v>
      </c>
      <c r="P23" s="152">
        <v>2.8</v>
      </c>
      <c r="Q23" s="152">
        <v>3</v>
      </c>
      <c r="R23" s="152">
        <v>3.9</v>
      </c>
      <c r="S23" s="152">
        <v>4.5</v>
      </c>
      <c r="T23" s="152">
        <v>5</v>
      </c>
      <c r="U23" s="152">
        <v>2.6</v>
      </c>
      <c r="V23" s="152">
        <v>2.8</v>
      </c>
      <c r="W23" s="152">
        <v>3</v>
      </c>
      <c r="X23" s="152">
        <v>1.21</v>
      </c>
      <c r="Y23" s="152">
        <v>0.85</v>
      </c>
      <c r="Z23" s="152">
        <v>1.39</v>
      </c>
    </row>
    <row r="24" spans="1:256">
      <c r="B24" s="152"/>
      <c r="C24" s="153">
        <v>41096</v>
      </c>
      <c r="D24" s="152">
        <v>5.6</v>
      </c>
      <c r="E24" s="152">
        <v>6</v>
      </c>
      <c r="F24" s="152">
        <v>6.15</v>
      </c>
      <c r="G24" s="152">
        <v>6.4</v>
      </c>
      <c r="H24" s="152">
        <v>6.55</v>
      </c>
      <c r="I24" s="152">
        <v>4</v>
      </c>
      <c r="J24" s="152">
        <v>4.5</v>
      </c>
      <c r="L24" s="152"/>
      <c r="M24" s="153">
        <v>40538</v>
      </c>
      <c r="N24" s="152">
        <v>0.36</v>
      </c>
      <c r="O24" s="152">
        <v>2.25</v>
      </c>
      <c r="P24" s="152">
        <v>2.5</v>
      </c>
      <c r="Q24" s="152">
        <v>2.75</v>
      </c>
      <c r="R24" s="152">
        <v>3.55</v>
      </c>
      <c r="S24" s="152">
        <v>4.1500000000000004</v>
      </c>
      <c r="T24" s="152">
        <v>4.55</v>
      </c>
      <c r="U24" s="152">
        <v>2.16</v>
      </c>
      <c r="V24" s="152">
        <v>2.5</v>
      </c>
      <c r="W24" s="152">
        <v>2.85</v>
      </c>
      <c r="X24" s="152">
        <v>1.17</v>
      </c>
      <c r="Y24" s="152">
        <v>0.81</v>
      </c>
      <c r="Z24" s="152">
        <v>1.35</v>
      </c>
    </row>
    <row r="25" spans="1:256">
      <c r="B25" s="152"/>
      <c r="C25" s="153">
        <v>41068</v>
      </c>
      <c r="D25" s="152">
        <v>5.85</v>
      </c>
      <c r="E25" s="152">
        <v>6.31</v>
      </c>
      <c r="F25" s="152">
        <v>6.4</v>
      </c>
      <c r="G25" s="152">
        <v>6.65</v>
      </c>
      <c r="H25" s="152">
        <v>6.8</v>
      </c>
      <c r="I25" s="152">
        <v>4.2</v>
      </c>
      <c r="J25" s="152">
        <v>4.7</v>
      </c>
      <c r="L25" s="152"/>
      <c r="M25" s="153">
        <v>40471</v>
      </c>
      <c r="N25" s="152">
        <v>0.36</v>
      </c>
      <c r="O25" s="152">
        <v>1.91</v>
      </c>
      <c r="P25" s="152">
        <v>2.2000000000000002</v>
      </c>
      <c r="Q25" s="152">
        <v>2.5</v>
      </c>
      <c r="R25" s="152">
        <v>3.25</v>
      </c>
      <c r="S25" s="152">
        <v>3.85</v>
      </c>
      <c r="T25" s="152">
        <v>4.2</v>
      </c>
      <c r="U25" s="152">
        <v>1.91</v>
      </c>
      <c r="V25" s="152">
        <v>2.2000000000000002</v>
      </c>
      <c r="W25" s="152">
        <v>2.5</v>
      </c>
      <c r="X25" s="152">
        <v>1.17</v>
      </c>
      <c r="Y25" s="152">
        <v>0.81</v>
      </c>
      <c r="Z25" s="152">
        <v>1.35</v>
      </c>
    </row>
    <row r="26" spans="1:256">
      <c r="B26" s="152"/>
      <c r="C26" s="153">
        <v>40731</v>
      </c>
      <c r="D26" s="152">
        <v>6.1</v>
      </c>
      <c r="E26" s="152">
        <v>6.56</v>
      </c>
      <c r="F26" s="152">
        <v>6.65</v>
      </c>
      <c r="G26" s="152">
        <v>6.9</v>
      </c>
      <c r="H26" s="152">
        <v>7.05</v>
      </c>
      <c r="I26" s="152">
        <v>4.45</v>
      </c>
      <c r="J26" s="152">
        <v>4.9000000000000004</v>
      </c>
      <c r="L26" s="152"/>
      <c r="M26" s="153">
        <v>39805</v>
      </c>
      <c r="N26" s="152">
        <v>0.36</v>
      </c>
      <c r="O26" s="152">
        <v>1.71</v>
      </c>
      <c r="P26" s="152">
        <v>1.98</v>
      </c>
      <c r="Q26" s="152">
        <v>2.25</v>
      </c>
      <c r="R26" s="152">
        <v>2.79</v>
      </c>
      <c r="S26" s="152">
        <v>3.33</v>
      </c>
      <c r="T26" s="152">
        <v>3.6</v>
      </c>
      <c r="U26" s="152">
        <v>1.71</v>
      </c>
      <c r="V26" s="152">
        <v>1.98</v>
      </c>
      <c r="W26" s="152">
        <v>2.25</v>
      </c>
      <c r="X26" s="152">
        <v>1.17</v>
      </c>
      <c r="Y26" s="152">
        <v>0.81</v>
      </c>
      <c r="Z26" s="152">
        <v>1.35</v>
      </c>
    </row>
    <row r="27" spans="1:256">
      <c r="B27" s="152"/>
      <c r="C27" s="153">
        <v>40639</v>
      </c>
      <c r="D27" s="152">
        <v>5.85</v>
      </c>
      <c r="E27" s="152">
        <v>6.31</v>
      </c>
      <c r="F27" s="152">
        <v>6.4</v>
      </c>
      <c r="G27" s="152">
        <v>6.65</v>
      </c>
      <c r="H27" s="152">
        <v>6.8</v>
      </c>
      <c r="I27" s="152">
        <v>4.2</v>
      </c>
      <c r="J27" s="152">
        <v>4.7</v>
      </c>
      <c r="L27" s="152"/>
      <c r="M27" s="153">
        <v>39779</v>
      </c>
      <c r="N27" s="152">
        <v>0.36</v>
      </c>
      <c r="O27" s="152">
        <v>1.98</v>
      </c>
      <c r="P27" s="152">
        <v>2.25</v>
      </c>
      <c r="Q27" s="152">
        <v>2.52</v>
      </c>
      <c r="R27" s="152">
        <v>3.06</v>
      </c>
      <c r="S27" s="152">
        <v>3.6</v>
      </c>
      <c r="T27" s="152">
        <v>3.87</v>
      </c>
      <c r="U27" s="152">
        <v>1.98</v>
      </c>
      <c r="V27" s="152">
        <v>2.25</v>
      </c>
      <c r="W27" s="152">
        <v>2.52</v>
      </c>
      <c r="X27" s="152">
        <v>1.17</v>
      </c>
      <c r="Y27" s="152">
        <v>0.81</v>
      </c>
      <c r="Z27" s="152">
        <v>1.35</v>
      </c>
    </row>
    <row r="28" spans="1:256">
      <c r="B28" s="152"/>
      <c r="C28" s="153">
        <v>40583</v>
      </c>
      <c r="D28" s="152">
        <v>5.6</v>
      </c>
      <c r="E28" s="152">
        <v>6.06</v>
      </c>
      <c r="F28" s="152">
        <v>6.1</v>
      </c>
      <c r="G28" s="152">
        <v>6.45</v>
      </c>
      <c r="H28" s="152">
        <v>6.6</v>
      </c>
      <c r="I28" s="152">
        <v>4</v>
      </c>
      <c r="J28" s="152">
        <v>4.5</v>
      </c>
      <c r="L28" s="152"/>
      <c r="M28" s="153">
        <v>39751</v>
      </c>
      <c r="N28" s="152">
        <v>0.72</v>
      </c>
      <c r="O28" s="152">
        <v>2.88</v>
      </c>
      <c r="P28" s="152">
        <v>3.24</v>
      </c>
      <c r="Q28" s="152">
        <v>3.6</v>
      </c>
      <c r="R28" s="152">
        <v>4.1399999999999997</v>
      </c>
      <c r="S28" s="152">
        <v>4.7699999999999996</v>
      </c>
      <c r="T28" s="152">
        <v>5.13</v>
      </c>
      <c r="U28" s="152">
        <v>2.88</v>
      </c>
      <c r="V28" s="152">
        <v>3.24</v>
      </c>
      <c r="W28" s="152">
        <v>3.6</v>
      </c>
      <c r="X28" s="152">
        <v>1.53</v>
      </c>
      <c r="Y28" s="152">
        <v>1.17</v>
      </c>
      <c r="Z28" s="152">
        <v>1.71</v>
      </c>
    </row>
    <row r="29" spans="1:256">
      <c r="B29" s="152"/>
      <c r="C29" s="153">
        <v>40538</v>
      </c>
      <c r="D29" s="152">
        <v>5.35</v>
      </c>
      <c r="E29" s="152">
        <v>5.81</v>
      </c>
      <c r="F29" s="152">
        <v>5.85</v>
      </c>
      <c r="G29" s="152">
        <v>6.22</v>
      </c>
      <c r="H29" s="152">
        <v>6.4</v>
      </c>
      <c r="I29" s="152">
        <v>3.75</v>
      </c>
      <c r="J29" s="152">
        <v>4.3</v>
      </c>
      <c r="L29" s="152"/>
      <c r="M29" s="154">
        <v>39736</v>
      </c>
      <c r="N29" s="152">
        <v>0.72</v>
      </c>
      <c r="O29" s="152">
        <v>3.15</v>
      </c>
      <c r="P29" s="152">
        <v>3.51</v>
      </c>
      <c r="Q29" s="152">
        <v>3.87</v>
      </c>
      <c r="R29" s="152">
        <v>4.41</v>
      </c>
      <c r="S29" s="152">
        <v>5.13</v>
      </c>
      <c r="T29" s="152">
        <v>5.58</v>
      </c>
      <c r="U29" s="152">
        <v>3.15</v>
      </c>
      <c r="V29" s="152">
        <v>3.51</v>
      </c>
      <c r="W29" s="152">
        <v>3.87</v>
      </c>
      <c r="X29" s="152">
        <v>1.53</v>
      </c>
      <c r="Y29" s="152">
        <v>1.17</v>
      </c>
      <c r="Z29" s="152">
        <v>1.71</v>
      </c>
    </row>
    <row r="30" spans="1:256">
      <c r="B30" s="152"/>
      <c r="C30" s="153">
        <v>40471</v>
      </c>
      <c r="D30" s="152">
        <v>5.0999999999999996</v>
      </c>
      <c r="E30" s="152">
        <v>5.56</v>
      </c>
      <c r="F30" s="152">
        <v>5.6</v>
      </c>
      <c r="G30" s="152">
        <v>5.96</v>
      </c>
      <c r="H30" s="152">
        <v>6.14</v>
      </c>
      <c r="I30" s="152">
        <v>3.5</v>
      </c>
      <c r="J30" s="152">
        <v>4.05</v>
      </c>
      <c r="L30" s="152"/>
      <c r="M30" s="153">
        <v>39730</v>
      </c>
      <c r="N30" s="152">
        <v>0.72</v>
      </c>
      <c r="O30" s="152">
        <v>3.15</v>
      </c>
      <c r="P30" s="152">
        <v>3.51</v>
      </c>
      <c r="Q30" s="152">
        <v>3.87</v>
      </c>
      <c r="R30" s="152">
        <v>4.41</v>
      </c>
      <c r="S30" s="152">
        <v>5.13</v>
      </c>
      <c r="T30" s="152">
        <v>5.58</v>
      </c>
      <c r="U30" s="152">
        <v>3.15</v>
      </c>
      <c r="V30" s="152">
        <v>3.51</v>
      </c>
      <c r="W30" s="152">
        <v>3.87</v>
      </c>
      <c r="X30" s="152">
        <v>1.53</v>
      </c>
      <c r="Y30" s="152">
        <v>1.17</v>
      </c>
      <c r="Z30" s="152">
        <v>1.71</v>
      </c>
    </row>
    <row r="31" spans="1:256">
      <c r="B31" s="152"/>
      <c r="C31" s="153">
        <v>39805</v>
      </c>
      <c r="D31" s="152">
        <v>4.8600000000000003</v>
      </c>
      <c r="E31" s="152">
        <v>5.31</v>
      </c>
      <c r="F31" s="152">
        <v>5.4</v>
      </c>
      <c r="G31" s="152">
        <v>5.76</v>
      </c>
      <c r="H31" s="152">
        <v>5.94</v>
      </c>
      <c r="I31" s="152">
        <v>3.33</v>
      </c>
      <c r="J31" s="152">
        <v>3.87</v>
      </c>
      <c r="L31" s="152"/>
      <c r="M31" s="153">
        <v>39437</v>
      </c>
      <c r="N31" s="152">
        <v>0.72</v>
      </c>
      <c r="O31" s="152">
        <v>3.33</v>
      </c>
      <c r="P31" s="152">
        <v>3.78</v>
      </c>
      <c r="Q31" s="152">
        <v>4.1399999999999997</v>
      </c>
      <c r="R31" s="152">
        <v>4.68</v>
      </c>
      <c r="S31" s="152">
        <v>5.4</v>
      </c>
      <c r="T31" s="152">
        <v>5.85</v>
      </c>
      <c r="U31" s="152">
        <v>3.33</v>
      </c>
      <c r="V31" s="152">
        <v>3.78</v>
      </c>
      <c r="W31" s="152">
        <v>4.1399999999999997</v>
      </c>
      <c r="X31" s="152">
        <v>1.53</v>
      </c>
      <c r="Y31" s="152">
        <v>1.17</v>
      </c>
      <c r="Z31" s="152">
        <v>1.71</v>
      </c>
    </row>
    <row r="32" spans="1:256">
      <c r="B32" s="152"/>
      <c r="C32" s="153">
        <v>39779</v>
      </c>
      <c r="D32" s="152">
        <v>5.04</v>
      </c>
      <c r="E32" s="152">
        <v>5.58</v>
      </c>
      <c r="F32" s="152">
        <v>5.67</v>
      </c>
      <c r="G32" s="152">
        <v>5.94</v>
      </c>
      <c r="H32" s="152">
        <v>6.12</v>
      </c>
      <c r="I32" s="152">
        <v>3.51</v>
      </c>
      <c r="J32" s="152">
        <v>4.05</v>
      </c>
      <c r="L32" s="152"/>
      <c r="M32" s="153">
        <v>39340</v>
      </c>
      <c r="N32" s="152">
        <v>0.81</v>
      </c>
      <c r="O32" s="152">
        <v>2.88</v>
      </c>
      <c r="P32" s="152">
        <v>3.42</v>
      </c>
      <c r="Q32" s="152">
        <v>3.87</v>
      </c>
      <c r="R32" s="152">
        <v>4.5</v>
      </c>
      <c r="S32" s="152">
        <v>5.22</v>
      </c>
      <c r="T32" s="152">
        <v>5.76</v>
      </c>
      <c r="U32" s="152">
        <v>2.88</v>
      </c>
      <c r="V32" s="152">
        <v>3.42</v>
      </c>
      <c r="W32" s="152">
        <v>3.87</v>
      </c>
      <c r="X32" s="152">
        <v>1.53</v>
      </c>
      <c r="Y32" s="152">
        <v>1.17</v>
      </c>
      <c r="Z32" s="152">
        <v>1.71</v>
      </c>
    </row>
    <row r="33" spans="2:26">
      <c r="B33" s="152"/>
      <c r="C33" s="153">
        <v>39751</v>
      </c>
      <c r="D33" s="152">
        <v>6.03</v>
      </c>
      <c r="E33" s="152">
        <v>6.66</v>
      </c>
      <c r="F33" s="152">
        <v>6.75</v>
      </c>
      <c r="G33" s="152">
        <v>7.02</v>
      </c>
      <c r="H33" s="152">
        <v>7.2</v>
      </c>
      <c r="I33" s="152">
        <v>4.05</v>
      </c>
      <c r="J33" s="152">
        <v>4.59</v>
      </c>
      <c r="L33" s="152"/>
      <c r="M33" s="153">
        <v>39316</v>
      </c>
      <c r="N33" s="152">
        <v>0.81</v>
      </c>
      <c r="O33" s="152">
        <v>2.61</v>
      </c>
      <c r="P33" s="152">
        <v>3.15</v>
      </c>
      <c r="Q33" s="152">
        <v>3.6</v>
      </c>
      <c r="R33" s="152">
        <v>4.2300000000000004</v>
      </c>
      <c r="S33" s="152">
        <v>4.95</v>
      </c>
      <c r="T33" s="152">
        <v>5.49</v>
      </c>
      <c r="U33" s="152">
        <v>2.61</v>
      </c>
      <c r="V33" s="152">
        <v>3.15</v>
      </c>
      <c r="W33" s="152">
        <v>3.6</v>
      </c>
      <c r="X33" s="152">
        <v>1.53</v>
      </c>
      <c r="Y33" s="152">
        <v>1.17</v>
      </c>
      <c r="Z33" s="152">
        <v>1.71</v>
      </c>
    </row>
    <row r="34" spans="2:26">
      <c r="B34" s="152"/>
      <c r="C34" s="154">
        <v>39748</v>
      </c>
      <c r="D34" s="152">
        <v>6.12</v>
      </c>
      <c r="E34" s="152">
        <v>6.93</v>
      </c>
      <c r="F34" s="152">
        <v>7.02</v>
      </c>
      <c r="G34" s="152">
        <v>7.29</v>
      </c>
      <c r="H34" s="152">
        <v>7.47</v>
      </c>
      <c r="I34" s="152">
        <v>4.05</v>
      </c>
      <c r="J34" s="152">
        <v>4.59</v>
      </c>
      <c r="L34" s="152"/>
      <c r="M34" s="153">
        <v>39284</v>
      </c>
      <c r="N34" s="152">
        <v>0.81</v>
      </c>
      <c r="O34" s="152">
        <v>2.34</v>
      </c>
      <c r="P34" s="152">
        <v>2.88</v>
      </c>
      <c r="Q34" s="152">
        <v>3.33</v>
      </c>
      <c r="R34" s="152">
        <v>3.96</v>
      </c>
      <c r="S34" s="152">
        <v>4.68</v>
      </c>
      <c r="T34" s="152">
        <v>5.22</v>
      </c>
      <c r="U34" s="152">
        <v>2.34</v>
      </c>
      <c r="V34" s="152">
        <v>2.88</v>
      </c>
      <c r="W34" s="152">
        <v>3.33</v>
      </c>
      <c r="X34" s="152">
        <v>1.53</v>
      </c>
      <c r="Y34" s="152">
        <v>1.17</v>
      </c>
      <c r="Z34" s="152">
        <v>1.71</v>
      </c>
    </row>
    <row r="35" spans="2:26">
      <c r="B35" s="152"/>
      <c r="C35" s="153">
        <v>39730</v>
      </c>
      <c r="D35" s="152">
        <v>6.12</v>
      </c>
      <c r="E35" s="152">
        <v>6.93</v>
      </c>
      <c r="F35" s="152">
        <v>7.02</v>
      </c>
      <c r="G35" s="152">
        <v>7.29</v>
      </c>
      <c r="H35" s="152">
        <v>7.47</v>
      </c>
      <c r="I35" s="152">
        <v>4.32</v>
      </c>
      <c r="J35" s="152">
        <v>4.8600000000000003</v>
      </c>
      <c r="L35" s="152"/>
      <c r="M35" s="153">
        <v>39221</v>
      </c>
      <c r="N35" s="152">
        <v>0.72</v>
      </c>
      <c r="O35" s="152">
        <v>2.0699999999999998</v>
      </c>
      <c r="P35" s="152">
        <v>2.61</v>
      </c>
      <c r="Q35" s="152">
        <v>3.06</v>
      </c>
      <c r="R35" s="152">
        <v>3.69</v>
      </c>
      <c r="S35" s="152">
        <v>4.41</v>
      </c>
      <c r="T35" s="152">
        <v>4.95</v>
      </c>
      <c r="U35" s="152">
        <v>2.0699999999999998</v>
      </c>
      <c r="V35" s="152">
        <v>2.61</v>
      </c>
      <c r="W35" s="152">
        <v>3.06</v>
      </c>
      <c r="X35" s="152">
        <v>1.44</v>
      </c>
      <c r="Y35" s="152">
        <v>1.08</v>
      </c>
      <c r="Z35" s="152">
        <v>1.62</v>
      </c>
    </row>
    <row r="36" spans="2:26">
      <c r="B36" s="152"/>
      <c r="C36" s="153">
        <v>39707</v>
      </c>
      <c r="D36" s="152">
        <v>6.21</v>
      </c>
      <c r="E36" s="152">
        <v>7.2</v>
      </c>
      <c r="F36" s="152">
        <v>7.29</v>
      </c>
      <c r="G36" s="152">
        <v>7.56</v>
      </c>
      <c r="H36" s="152">
        <v>7.74</v>
      </c>
      <c r="I36" s="152">
        <v>4.59</v>
      </c>
      <c r="J36" s="152">
        <v>5.13</v>
      </c>
      <c r="L36" s="152"/>
      <c r="M36" s="153">
        <v>39159</v>
      </c>
      <c r="N36" s="152">
        <v>0.72</v>
      </c>
      <c r="O36" s="152">
        <v>1.98</v>
      </c>
      <c r="P36" s="152">
        <v>2.4300000000000002</v>
      </c>
      <c r="Q36" s="152">
        <v>2.79</v>
      </c>
      <c r="R36" s="152">
        <v>3.33</v>
      </c>
      <c r="S36" s="152">
        <v>3.96</v>
      </c>
      <c r="T36" s="152">
        <v>4.41</v>
      </c>
      <c r="U36" s="152">
        <v>1.98</v>
      </c>
      <c r="V36" s="152">
        <v>2.4300000000000002</v>
      </c>
      <c r="W36" s="152">
        <v>2.79</v>
      </c>
      <c r="X36" s="152">
        <v>1.44</v>
      </c>
      <c r="Y36" s="152">
        <v>1.08</v>
      </c>
      <c r="Z36" s="152">
        <v>1.62</v>
      </c>
    </row>
    <row r="37" spans="2:26">
      <c r="B37" s="152"/>
      <c r="C37" s="153">
        <v>39437</v>
      </c>
      <c r="D37" s="152">
        <v>6.57</v>
      </c>
      <c r="E37" s="152">
        <v>7.47</v>
      </c>
      <c r="F37" s="152">
        <v>7.56</v>
      </c>
      <c r="G37" s="152">
        <v>7.74</v>
      </c>
      <c r="H37" s="152">
        <v>7.83</v>
      </c>
      <c r="I37" s="152">
        <v>4.7699999999999996</v>
      </c>
      <c r="J37" s="152">
        <v>5.22</v>
      </c>
      <c r="L37" s="152"/>
      <c r="M37" s="153">
        <v>38948</v>
      </c>
      <c r="N37" s="152">
        <v>0.72</v>
      </c>
      <c r="O37" s="152">
        <v>1.8</v>
      </c>
      <c r="P37" s="152">
        <v>2.25</v>
      </c>
      <c r="Q37" s="152">
        <v>2.52</v>
      </c>
      <c r="R37" s="152">
        <v>3.06</v>
      </c>
      <c r="S37" s="152">
        <v>3.69</v>
      </c>
      <c r="T37" s="152">
        <v>4.1399999999999997</v>
      </c>
      <c r="U37" s="152">
        <v>1.8</v>
      </c>
      <c r="V37" s="152">
        <v>2.25</v>
      </c>
      <c r="W37" s="152">
        <v>2.52</v>
      </c>
      <c r="X37" s="152">
        <v>1.44</v>
      </c>
      <c r="Y37" s="152">
        <v>1.08</v>
      </c>
      <c r="Z37" s="152">
        <v>1.62</v>
      </c>
    </row>
    <row r="38" spans="2:26">
      <c r="B38" s="152"/>
      <c r="C38" s="153">
        <v>39340</v>
      </c>
      <c r="D38" s="152">
        <v>6.48</v>
      </c>
      <c r="E38" s="152">
        <v>7.29</v>
      </c>
      <c r="F38" s="152">
        <v>7.47</v>
      </c>
      <c r="G38" s="152">
        <v>7.65</v>
      </c>
      <c r="H38" s="152">
        <v>7.83</v>
      </c>
      <c r="I38" s="152">
        <v>4.7699999999999996</v>
      </c>
      <c r="J38" s="152">
        <v>5.22</v>
      </c>
      <c r="L38" s="152"/>
      <c r="M38" s="153">
        <v>38289</v>
      </c>
      <c r="N38" s="152">
        <v>0.72</v>
      </c>
      <c r="O38" s="152">
        <v>1.71</v>
      </c>
      <c r="P38" s="152">
        <v>2.0699999999999998</v>
      </c>
      <c r="Q38" s="152">
        <v>2.25</v>
      </c>
      <c r="R38" s="152">
        <v>2.7</v>
      </c>
      <c r="S38" s="152">
        <v>3.24</v>
      </c>
      <c r="T38" s="152">
        <v>3.6</v>
      </c>
      <c r="U38" s="152">
        <v>1.71</v>
      </c>
      <c r="V38" s="152">
        <v>2.0699999999999998</v>
      </c>
      <c r="W38" s="152">
        <v>2.25</v>
      </c>
      <c r="X38" s="152">
        <v>1.44</v>
      </c>
      <c r="Y38" s="152">
        <v>1.08</v>
      </c>
      <c r="Z38" s="152">
        <v>1.62</v>
      </c>
    </row>
    <row r="39" spans="2:26">
      <c r="B39" s="152"/>
      <c r="C39" s="153">
        <v>39316</v>
      </c>
      <c r="D39" s="152">
        <v>6.21</v>
      </c>
      <c r="E39" s="152">
        <v>7.02</v>
      </c>
      <c r="F39" s="152">
        <v>7.2</v>
      </c>
      <c r="G39" s="152">
        <v>7.38</v>
      </c>
      <c r="H39" s="152">
        <v>7.56</v>
      </c>
      <c r="I39" s="152">
        <v>4.59</v>
      </c>
      <c r="J39" s="152">
        <v>5.04</v>
      </c>
      <c r="L39" s="152"/>
      <c r="M39" s="153">
        <v>37308</v>
      </c>
      <c r="N39" s="152">
        <v>0.72</v>
      </c>
      <c r="O39" s="152">
        <v>1.71</v>
      </c>
      <c r="P39" s="152">
        <v>1.89</v>
      </c>
      <c r="Q39" s="152">
        <v>1.98</v>
      </c>
      <c r="R39" s="152">
        <v>2.25</v>
      </c>
      <c r="S39" s="152">
        <v>2.52</v>
      </c>
      <c r="T39" s="152">
        <v>2.79</v>
      </c>
      <c r="U39" s="152">
        <v>1.71</v>
      </c>
      <c r="V39" s="152">
        <v>1.89</v>
      </c>
      <c r="W39" s="152">
        <v>1.98</v>
      </c>
      <c r="X39" s="152">
        <v>1.44</v>
      </c>
      <c r="Y39" s="152">
        <v>1.08</v>
      </c>
      <c r="Z39" s="152">
        <v>1.62</v>
      </c>
    </row>
    <row r="40" spans="2:26">
      <c r="B40" s="152"/>
      <c r="C40" s="153">
        <v>39284</v>
      </c>
      <c r="D40" s="152">
        <v>6.03</v>
      </c>
      <c r="E40" s="152">
        <v>6.84</v>
      </c>
      <c r="F40" s="152">
        <v>7.02</v>
      </c>
      <c r="G40" s="152">
        <v>7.2</v>
      </c>
      <c r="H40" s="152">
        <v>7.38</v>
      </c>
      <c r="I40" s="152">
        <v>4.5</v>
      </c>
      <c r="J40" s="152">
        <v>4.95</v>
      </c>
      <c r="L40" s="152"/>
      <c r="M40" s="153">
        <v>36321</v>
      </c>
      <c r="N40" s="152">
        <v>0.99</v>
      </c>
      <c r="O40" s="152">
        <v>1.98</v>
      </c>
      <c r="P40" s="152">
        <v>2.16</v>
      </c>
      <c r="Q40" s="152">
        <v>2.25</v>
      </c>
      <c r="R40" s="152">
        <v>2.4300000000000002</v>
      </c>
      <c r="S40" s="152">
        <v>2.7</v>
      </c>
      <c r="T40" s="152">
        <v>2.88</v>
      </c>
      <c r="U40" s="152">
        <v>1.98</v>
      </c>
      <c r="V40" s="152">
        <v>2.16</v>
      </c>
      <c r="W40" s="152">
        <v>2.25</v>
      </c>
      <c r="X40" s="152">
        <v>1.71</v>
      </c>
      <c r="Y40" s="152">
        <v>1.35</v>
      </c>
      <c r="Z40" s="152">
        <v>1.89</v>
      </c>
    </row>
    <row r="41" spans="2:26">
      <c r="B41" s="152"/>
      <c r="C41" s="153">
        <v>39221</v>
      </c>
      <c r="D41" s="152">
        <v>5.85</v>
      </c>
      <c r="E41" s="152">
        <v>6.57</v>
      </c>
      <c r="F41" s="152">
        <v>6.75</v>
      </c>
      <c r="G41" s="152">
        <v>6.93</v>
      </c>
      <c r="H41" s="152">
        <v>7.2</v>
      </c>
      <c r="I41" s="152">
        <v>4.41</v>
      </c>
      <c r="J41" s="152">
        <v>4.8600000000000003</v>
      </c>
      <c r="L41" s="152"/>
      <c r="M41" s="153">
        <v>36136</v>
      </c>
      <c r="N41" s="152">
        <v>1.44</v>
      </c>
      <c r="O41" s="152">
        <v>2.79</v>
      </c>
      <c r="P41" s="152">
        <v>3.33</v>
      </c>
      <c r="Q41" s="152">
        <v>3.78</v>
      </c>
      <c r="R41" s="152">
        <v>3.96</v>
      </c>
      <c r="S41" s="152">
        <v>4.1399999999999997</v>
      </c>
      <c r="T41" s="152">
        <v>4.5</v>
      </c>
      <c r="U41" s="152">
        <v>3.33</v>
      </c>
      <c r="V41" s="152">
        <v>3.78</v>
      </c>
      <c r="W41" s="152">
        <v>4.1399999999999997</v>
      </c>
      <c r="X41" s="152">
        <v>2.16</v>
      </c>
      <c r="Y41" s="152">
        <v>1.8</v>
      </c>
      <c r="Z41" s="152">
        <v>2.34</v>
      </c>
    </row>
    <row r="42" spans="2:26">
      <c r="B42" s="152"/>
      <c r="C42" s="153">
        <v>39159</v>
      </c>
      <c r="D42" s="152">
        <v>5.67</v>
      </c>
      <c r="E42" s="152">
        <v>6.39</v>
      </c>
      <c r="F42" s="152">
        <v>6.57</v>
      </c>
      <c r="G42" s="152">
        <v>6.75</v>
      </c>
      <c r="H42" s="152">
        <v>7.11</v>
      </c>
      <c r="I42" s="152">
        <v>4.32</v>
      </c>
      <c r="J42" s="152">
        <v>4.7699999999999996</v>
      </c>
      <c r="L42" s="152"/>
      <c r="M42" s="153">
        <v>35977</v>
      </c>
      <c r="N42" s="152">
        <v>1.44</v>
      </c>
      <c r="O42" s="152">
        <v>2.79</v>
      </c>
      <c r="P42" s="152">
        <v>3.96</v>
      </c>
      <c r="Q42" s="152">
        <v>4.7699999999999996</v>
      </c>
      <c r="R42" s="152">
        <v>4.8600000000000003</v>
      </c>
      <c r="S42" s="152">
        <v>4.95</v>
      </c>
      <c r="T42" s="152">
        <v>5.22</v>
      </c>
      <c r="U42" s="152">
        <v>3.96</v>
      </c>
      <c r="V42" s="152">
        <v>4.7699999999999996</v>
      </c>
      <c r="W42" s="152">
        <v>4.95</v>
      </c>
      <c r="X42" s="152" t="s">
        <v>2559</v>
      </c>
      <c r="Y42" s="152" t="s">
        <v>2559</v>
      </c>
      <c r="Z42" s="152" t="s">
        <v>2559</v>
      </c>
    </row>
    <row r="43" spans="2:26">
      <c r="B43" s="152"/>
      <c r="C43" s="153">
        <v>38948</v>
      </c>
      <c r="D43" s="152">
        <v>5.58</v>
      </c>
      <c r="E43" s="152">
        <v>6.12</v>
      </c>
      <c r="F43" s="152">
        <v>6.3</v>
      </c>
      <c r="G43" s="152">
        <v>6.48</v>
      </c>
      <c r="H43" s="152">
        <v>6.84</v>
      </c>
      <c r="I43" s="152">
        <v>4.1399999999999997</v>
      </c>
      <c r="J43" s="152">
        <v>4.59</v>
      </c>
      <c r="L43" s="152"/>
      <c r="M43" s="153">
        <v>35879</v>
      </c>
      <c r="N43" s="152">
        <v>1.71</v>
      </c>
      <c r="O43" s="152">
        <v>2.88</v>
      </c>
      <c r="P43" s="152">
        <v>4.1399999999999997</v>
      </c>
      <c r="Q43" s="152">
        <v>5.22</v>
      </c>
      <c r="R43" s="152">
        <v>5.58</v>
      </c>
      <c r="S43" s="152">
        <v>6.21</v>
      </c>
      <c r="T43" s="152">
        <v>6.66</v>
      </c>
      <c r="U43" s="152">
        <v>4.1399999999999997</v>
      </c>
      <c r="V43" s="152">
        <v>5.22</v>
      </c>
      <c r="W43" s="152">
        <v>6.21</v>
      </c>
      <c r="X43" s="152" t="s">
        <v>2559</v>
      </c>
      <c r="Y43" s="152" t="s">
        <v>2559</v>
      </c>
      <c r="Z43" s="152" t="s">
        <v>2559</v>
      </c>
    </row>
    <row r="44" spans="2:26">
      <c r="B44" s="152"/>
      <c r="C44" s="153">
        <v>38835</v>
      </c>
      <c r="D44" s="152">
        <v>5.4</v>
      </c>
      <c r="E44" s="152">
        <v>5.85</v>
      </c>
      <c r="F44" s="152">
        <v>6.03</v>
      </c>
      <c r="G44" s="152">
        <v>6.12</v>
      </c>
      <c r="H44" s="152">
        <v>6.39</v>
      </c>
      <c r="I44" s="152">
        <v>4.1399999999999997</v>
      </c>
      <c r="J44" s="152">
        <v>4.59</v>
      </c>
      <c r="L44" s="152"/>
      <c r="M44" s="153">
        <v>35726</v>
      </c>
      <c r="N44" s="152">
        <v>1.71</v>
      </c>
      <c r="O44" s="152">
        <v>2.88</v>
      </c>
      <c r="P44" s="152">
        <v>4.1399999999999997</v>
      </c>
      <c r="Q44" s="152">
        <v>5.67</v>
      </c>
      <c r="R44" s="152">
        <v>5.94</v>
      </c>
      <c r="S44" s="152">
        <v>6.21</v>
      </c>
      <c r="T44" s="152">
        <v>6.66</v>
      </c>
      <c r="U44" s="152">
        <v>4.1399999999999997</v>
      </c>
      <c r="V44" s="152">
        <v>5.67</v>
      </c>
      <c r="W44" s="152">
        <v>6.21</v>
      </c>
      <c r="X44" s="152" t="s">
        <v>2559</v>
      </c>
      <c r="Y44" s="152" t="s">
        <v>2559</v>
      </c>
      <c r="Z44" s="152" t="s">
        <v>2559</v>
      </c>
    </row>
    <row r="45" spans="2:26">
      <c r="B45" s="152"/>
      <c r="C45" s="153">
        <v>38428</v>
      </c>
      <c r="D45" s="152">
        <v>5.22</v>
      </c>
      <c r="E45" s="152">
        <v>5.58</v>
      </c>
      <c r="F45" s="152">
        <v>5.76</v>
      </c>
      <c r="G45" s="152">
        <v>5.85</v>
      </c>
      <c r="H45" s="152">
        <v>6.12</v>
      </c>
      <c r="I45" s="152">
        <v>3.96</v>
      </c>
      <c r="J45" s="152">
        <v>4.41</v>
      </c>
      <c r="L45" s="152"/>
      <c r="M45" s="153">
        <v>35300</v>
      </c>
      <c r="N45" s="152">
        <v>1.98</v>
      </c>
      <c r="O45" s="152">
        <v>3.33</v>
      </c>
      <c r="P45" s="152">
        <v>5.4</v>
      </c>
      <c r="Q45" s="152">
        <v>7.47</v>
      </c>
      <c r="R45" s="152">
        <v>7.92</v>
      </c>
      <c r="S45" s="152">
        <v>8.2799999999999994</v>
      </c>
      <c r="T45" s="152">
        <v>9</v>
      </c>
      <c r="U45" s="152">
        <v>5.4</v>
      </c>
      <c r="V45" s="152">
        <v>7.47</v>
      </c>
      <c r="W45" s="152">
        <v>8.2799999999999994</v>
      </c>
      <c r="X45" s="152" t="s">
        <v>2559</v>
      </c>
      <c r="Y45" s="152" t="s">
        <v>2559</v>
      </c>
      <c r="Z45" s="152" t="s">
        <v>2559</v>
      </c>
    </row>
    <row r="46" spans="2:26">
      <c r="B46" s="152"/>
      <c r="C46" s="153">
        <v>38289</v>
      </c>
      <c r="D46" s="152">
        <v>5.22</v>
      </c>
      <c r="E46" s="152">
        <v>5.58</v>
      </c>
      <c r="F46" s="152">
        <v>5.76</v>
      </c>
      <c r="G46" s="152">
        <v>5.85</v>
      </c>
      <c r="H46" s="152">
        <v>6.12</v>
      </c>
      <c r="I46" s="152">
        <v>3.78</v>
      </c>
      <c r="J46" s="152">
        <v>4.2300000000000004</v>
      </c>
      <c r="L46" s="152"/>
      <c r="M46" s="153">
        <v>35186</v>
      </c>
      <c r="N46" s="152">
        <v>2.97</v>
      </c>
      <c r="O46" s="152">
        <v>4.8600000000000003</v>
      </c>
      <c r="P46" s="152">
        <v>7.2</v>
      </c>
      <c r="Q46" s="152">
        <v>9.18</v>
      </c>
      <c r="R46" s="152">
        <v>9.9</v>
      </c>
      <c r="S46" s="152">
        <v>10.8</v>
      </c>
      <c r="T46" s="152">
        <v>12.06</v>
      </c>
      <c r="U46" s="152">
        <v>7.2</v>
      </c>
      <c r="V46" s="152">
        <v>9.18</v>
      </c>
      <c r="W46" s="152">
        <v>10.8</v>
      </c>
      <c r="X46" s="152" t="s">
        <v>2559</v>
      </c>
      <c r="Y46" s="152" t="s">
        <v>2559</v>
      </c>
      <c r="Z46" s="152" t="s">
        <v>2559</v>
      </c>
    </row>
    <row r="47" spans="2:26">
      <c r="B47" s="152"/>
      <c r="C47" s="153">
        <v>37308</v>
      </c>
      <c r="D47" s="152">
        <v>5.04</v>
      </c>
      <c r="E47" s="152">
        <v>5.31</v>
      </c>
      <c r="F47" s="152">
        <v>5.49</v>
      </c>
      <c r="G47" s="152">
        <v>5.58</v>
      </c>
      <c r="H47" s="152">
        <v>5.76</v>
      </c>
      <c r="I47" s="152">
        <v>3.6</v>
      </c>
      <c r="J47" s="152">
        <v>4.05</v>
      </c>
      <c r="L47" s="152"/>
      <c r="M47" s="153">
        <v>34161</v>
      </c>
      <c r="N47" s="152">
        <v>3.15</v>
      </c>
      <c r="O47" s="152">
        <v>6.66</v>
      </c>
      <c r="P47" s="152">
        <v>9</v>
      </c>
      <c r="Q47" s="152">
        <v>10.98</v>
      </c>
      <c r="R47" s="152">
        <v>11.7</v>
      </c>
      <c r="S47" s="152">
        <v>12.24</v>
      </c>
      <c r="T47" s="152">
        <v>13.86</v>
      </c>
      <c r="U47" s="152">
        <v>9</v>
      </c>
      <c r="V47" s="152">
        <v>10.98</v>
      </c>
      <c r="W47" s="152">
        <v>12.24</v>
      </c>
      <c r="X47" s="152" t="s">
        <v>2559</v>
      </c>
      <c r="Y47" s="152" t="s">
        <v>2559</v>
      </c>
      <c r="Z47" s="152" t="s">
        <v>2559</v>
      </c>
    </row>
    <row r="48" spans="2:26">
      <c r="B48" s="152"/>
      <c r="C48" s="153">
        <v>36321</v>
      </c>
      <c r="D48" s="152">
        <v>5.58</v>
      </c>
      <c r="E48" s="152">
        <v>5.85</v>
      </c>
      <c r="F48" s="152">
        <v>5.94</v>
      </c>
      <c r="G48" s="152">
        <v>6.03</v>
      </c>
      <c r="H48" s="152">
        <v>6.21</v>
      </c>
      <c r="I48" s="152">
        <v>4.1399999999999997</v>
      </c>
      <c r="J48" s="152">
        <v>4.59</v>
      </c>
      <c r="L48" s="152"/>
      <c r="M48" s="153">
        <v>34104</v>
      </c>
      <c r="N48" s="152">
        <v>2.16</v>
      </c>
      <c r="O48" s="152">
        <v>4.8600000000000003</v>
      </c>
      <c r="P48" s="152">
        <v>7.2</v>
      </c>
      <c r="Q48" s="152">
        <v>9.18</v>
      </c>
      <c r="R48" s="152">
        <v>9.9</v>
      </c>
      <c r="S48" s="152">
        <v>10.8</v>
      </c>
      <c r="T48" s="152">
        <v>12.06</v>
      </c>
      <c r="U48" s="152">
        <v>7.2</v>
      </c>
      <c r="V48" s="152">
        <v>9.18</v>
      </c>
      <c r="W48" s="152">
        <v>10.8</v>
      </c>
      <c r="X48" s="152" t="s">
        <v>2559</v>
      </c>
      <c r="Y48" s="152" t="s">
        <v>2559</v>
      </c>
      <c r="Z48" s="152" t="s">
        <v>2559</v>
      </c>
    </row>
    <row r="49" spans="2:26">
      <c r="B49" s="152"/>
      <c r="C49" s="153">
        <v>36136</v>
      </c>
      <c r="D49" s="152">
        <v>6.12</v>
      </c>
      <c r="E49" s="152">
        <v>6.39</v>
      </c>
      <c r="F49" s="152">
        <v>6.66</v>
      </c>
      <c r="G49" s="152">
        <v>7.2</v>
      </c>
      <c r="H49" s="152">
        <v>7.56</v>
      </c>
      <c r="I49" s="152">
        <v>0</v>
      </c>
      <c r="J49" s="152">
        <v>0</v>
      </c>
      <c r="L49" s="152"/>
      <c r="M49" s="153">
        <v>33349</v>
      </c>
      <c r="N49" s="152">
        <v>1.8</v>
      </c>
      <c r="O49" s="152">
        <v>3.24</v>
      </c>
      <c r="P49" s="152">
        <v>5.4</v>
      </c>
      <c r="Q49" s="152">
        <v>7.56</v>
      </c>
      <c r="R49" s="152">
        <v>7.92</v>
      </c>
      <c r="S49" s="152">
        <v>8.2799999999999994</v>
      </c>
      <c r="T49" s="152">
        <v>9</v>
      </c>
      <c r="U49" s="152">
        <v>6.12</v>
      </c>
      <c r="V49" s="152">
        <v>6.84</v>
      </c>
      <c r="W49" s="152">
        <v>7.56</v>
      </c>
      <c r="X49" s="152" t="s">
        <v>2559</v>
      </c>
      <c r="Y49" s="152" t="s">
        <v>2559</v>
      </c>
      <c r="Z49" s="152" t="s">
        <v>2559</v>
      </c>
    </row>
    <row r="50" spans="2:26">
      <c r="B50" s="152"/>
      <c r="C50" s="153">
        <v>35977</v>
      </c>
      <c r="D50" s="152">
        <v>6.57</v>
      </c>
      <c r="E50" s="152">
        <v>6.93</v>
      </c>
      <c r="F50" s="152">
        <v>7.11</v>
      </c>
      <c r="G50" s="152">
        <v>7.65</v>
      </c>
      <c r="H50" s="152">
        <v>8.01</v>
      </c>
      <c r="I50" s="152">
        <v>0</v>
      </c>
      <c r="J50" s="152">
        <v>0</v>
      </c>
      <c r="L50" s="152"/>
      <c r="M50" s="153">
        <v>33106</v>
      </c>
      <c r="N50" s="152">
        <v>2.16</v>
      </c>
      <c r="O50" s="152">
        <v>4.32</v>
      </c>
      <c r="P50" s="152">
        <v>6.48</v>
      </c>
      <c r="Q50" s="152">
        <v>8.64</v>
      </c>
      <c r="R50" s="152">
        <v>9.36</v>
      </c>
      <c r="S50" s="152">
        <v>10.08</v>
      </c>
      <c r="T50" s="152">
        <v>11.52</v>
      </c>
      <c r="U50" s="152">
        <v>7.2</v>
      </c>
      <c r="V50" s="152">
        <v>8.64</v>
      </c>
      <c r="W50" s="152">
        <v>10.08</v>
      </c>
      <c r="X50" s="152" t="s">
        <v>2559</v>
      </c>
      <c r="Y50" s="152" t="s">
        <v>2559</v>
      </c>
      <c r="Z50" s="152" t="s">
        <v>2559</v>
      </c>
    </row>
    <row r="51" spans="2:26">
      <c r="B51" s="152"/>
      <c r="C51" s="153">
        <v>35879</v>
      </c>
      <c r="D51" s="152">
        <v>7.02</v>
      </c>
      <c r="E51" s="152">
        <v>7.92</v>
      </c>
      <c r="F51" s="152">
        <v>9</v>
      </c>
      <c r="G51" s="152">
        <v>9.7200000000000006</v>
      </c>
      <c r="H51" s="152">
        <v>10.35</v>
      </c>
      <c r="I51" s="152">
        <v>0</v>
      </c>
      <c r="J51" s="152">
        <v>0</v>
      </c>
      <c r="L51" s="152"/>
      <c r="M51" s="153">
        <v>32978</v>
      </c>
      <c r="N51" s="152">
        <v>2.88</v>
      </c>
      <c r="O51" s="152">
        <v>6.3</v>
      </c>
      <c r="P51" s="152">
        <v>7.74</v>
      </c>
      <c r="Q51" s="152">
        <v>10.08</v>
      </c>
      <c r="R51" s="152">
        <v>10.98</v>
      </c>
      <c r="S51" s="152">
        <v>11.88</v>
      </c>
      <c r="T51" s="152">
        <v>13.68</v>
      </c>
      <c r="U51" s="152" t="s">
        <v>2559</v>
      </c>
      <c r="V51" s="152" t="s">
        <v>2559</v>
      </c>
      <c r="W51" s="152" t="s">
        <v>2559</v>
      </c>
      <c r="X51" s="152" t="s">
        <v>2559</v>
      </c>
      <c r="Y51" s="152" t="s">
        <v>2559</v>
      </c>
      <c r="Z51" s="152" t="s">
        <v>2559</v>
      </c>
    </row>
    <row r="52" spans="2:26">
      <c r="B52" s="152"/>
      <c r="C52" s="153">
        <v>35726</v>
      </c>
      <c r="D52" s="152">
        <v>7.65</v>
      </c>
      <c r="E52" s="152">
        <v>8.64</v>
      </c>
      <c r="F52" s="152">
        <v>9.36</v>
      </c>
      <c r="G52" s="152">
        <v>9.9</v>
      </c>
      <c r="H52" s="152">
        <v>10.53</v>
      </c>
      <c r="I52" s="152">
        <v>0</v>
      </c>
      <c r="J52" s="152">
        <v>0</v>
      </c>
      <c r="L52" s="152"/>
      <c r="M52" s="153"/>
      <c r="N52" s="152"/>
      <c r="O52" s="152"/>
      <c r="P52" s="152"/>
      <c r="Q52" s="152"/>
      <c r="R52" s="152"/>
      <c r="S52" s="152"/>
      <c r="T52" s="152"/>
      <c r="U52" s="152"/>
      <c r="V52" s="152"/>
      <c r="W52" s="152"/>
      <c r="X52" s="152"/>
      <c r="Y52" s="152"/>
      <c r="Z52" s="152"/>
    </row>
    <row r="53" spans="2:26">
      <c r="B53" s="152"/>
      <c r="C53" s="153">
        <v>35300</v>
      </c>
      <c r="D53" s="152">
        <v>9.18</v>
      </c>
      <c r="E53" s="152">
        <v>10.08</v>
      </c>
      <c r="F53" s="152">
        <v>10.98</v>
      </c>
      <c r="G53" s="152">
        <v>11.7</v>
      </c>
      <c r="H53" s="152">
        <v>12.42</v>
      </c>
      <c r="I53" s="152">
        <v>0</v>
      </c>
      <c r="J53" s="152">
        <v>0</v>
      </c>
      <c r="L53" s="152"/>
      <c r="M53" s="153"/>
      <c r="N53" s="152"/>
      <c r="O53" s="152"/>
      <c r="P53" s="152"/>
      <c r="Q53" s="152"/>
      <c r="R53" s="152"/>
      <c r="S53" s="152"/>
      <c r="T53" s="152"/>
      <c r="U53" s="152"/>
      <c r="V53" s="152"/>
      <c r="W53" s="152"/>
      <c r="X53" s="152"/>
      <c r="Y53" s="152"/>
      <c r="Z53" s="152"/>
    </row>
    <row r="54" spans="2:26">
      <c r="B54" s="152"/>
      <c r="C54" s="153">
        <v>35186</v>
      </c>
      <c r="D54" s="152">
        <v>9.7200000000000006</v>
      </c>
      <c r="E54" s="152">
        <v>10.98</v>
      </c>
      <c r="F54" s="152">
        <v>13.14</v>
      </c>
      <c r="G54" s="152">
        <v>14.94</v>
      </c>
      <c r="H54" s="152">
        <v>15.12</v>
      </c>
      <c r="I54" s="152">
        <v>0</v>
      </c>
      <c r="J54" s="152">
        <v>0</v>
      </c>
      <c r="L54" s="152"/>
      <c r="M54" s="153"/>
      <c r="N54" s="152"/>
      <c r="O54" s="152"/>
      <c r="P54" s="152"/>
      <c r="Q54" s="152"/>
      <c r="R54" s="152"/>
      <c r="S54" s="152"/>
      <c r="T54" s="152"/>
      <c r="U54" s="152"/>
      <c r="V54" s="152"/>
      <c r="W54" s="152"/>
      <c r="X54" s="152"/>
      <c r="Y54" s="152"/>
      <c r="Z54" s="152"/>
    </row>
    <row r="55" spans="2:26">
      <c r="B55" s="152"/>
      <c r="C55" s="153">
        <v>34881</v>
      </c>
      <c r="D55" s="152">
        <v>10.08</v>
      </c>
      <c r="E55" s="152">
        <v>12.06</v>
      </c>
      <c r="F55" s="152">
        <v>13.5</v>
      </c>
      <c r="G55" s="152">
        <v>15.12</v>
      </c>
      <c r="H55" s="152">
        <v>15.3</v>
      </c>
      <c r="I55" s="152">
        <v>0</v>
      </c>
      <c r="J55" s="152">
        <v>0</v>
      </c>
      <c r="L55" s="152"/>
      <c r="M55" s="153"/>
      <c r="N55" s="152"/>
      <c r="O55" s="152"/>
      <c r="P55" s="152"/>
      <c r="Q55" s="152"/>
      <c r="R55" s="152"/>
      <c r="S55" s="152"/>
      <c r="T55" s="152"/>
      <c r="U55" s="152"/>
      <c r="V55" s="152"/>
      <c r="W55" s="152"/>
      <c r="X55" s="152"/>
      <c r="Y55" s="152"/>
      <c r="Z55" s="152"/>
    </row>
    <row r="56" spans="2:26">
      <c r="B56" s="152"/>
      <c r="C56" s="153">
        <v>34700</v>
      </c>
      <c r="D56" s="152">
        <v>9</v>
      </c>
      <c r="E56" s="152">
        <v>10.98</v>
      </c>
      <c r="F56" s="152">
        <v>12.96</v>
      </c>
      <c r="G56" s="152">
        <v>14.58</v>
      </c>
      <c r="H56" s="152">
        <v>14.76</v>
      </c>
      <c r="I56" s="152">
        <v>0</v>
      </c>
      <c r="J56" s="152">
        <v>0</v>
      </c>
      <c r="L56" s="152"/>
      <c r="M56" s="153"/>
      <c r="N56" s="152"/>
      <c r="O56" s="152"/>
      <c r="P56" s="152"/>
      <c r="Q56" s="152"/>
      <c r="R56" s="152"/>
      <c r="S56" s="152"/>
      <c r="T56" s="152"/>
      <c r="U56" s="152"/>
      <c r="V56" s="152"/>
      <c r="W56" s="152"/>
      <c r="X56" s="152"/>
      <c r="Y56" s="152"/>
      <c r="Z56" s="152"/>
    </row>
    <row r="57" spans="2:26">
      <c r="B57" s="152"/>
      <c r="C57" s="153">
        <v>34161</v>
      </c>
      <c r="D57" s="152">
        <v>9</v>
      </c>
      <c r="E57" s="152">
        <v>10.98</v>
      </c>
      <c r="F57" s="152">
        <v>12.24</v>
      </c>
      <c r="G57" s="152">
        <v>13.86</v>
      </c>
      <c r="H57" s="152">
        <v>14.04</v>
      </c>
      <c r="I57" s="152">
        <v>0</v>
      </c>
      <c r="J57" s="152">
        <v>0</v>
      </c>
      <c r="L57" s="152"/>
      <c r="M57" s="153"/>
      <c r="N57" s="152"/>
      <c r="O57" s="152"/>
      <c r="P57" s="152"/>
      <c r="Q57" s="152"/>
      <c r="R57" s="152"/>
      <c r="S57" s="152"/>
      <c r="T57" s="152"/>
      <c r="U57" s="152"/>
      <c r="V57" s="152"/>
      <c r="W57" s="152"/>
      <c r="X57" s="152"/>
      <c r="Y57" s="152"/>
      <c r="Z57" s="152"/>
    </row>
    <row r="58" spans="2:26">
      <c r="B58" s="152"/>
      <c r="C58" s="153">
        <v>34104</v>
      </c>
      <c r="D58" s="152">
        <v>8.82</v>
      </c>
      <c r="E58" s="152">
        <v>9.36</v>
      </c>
      <c r="F58" s="152">
        <v>10.8</v>
      </c>
      <c r="G58" s="152">
        <v>12.06</v>
      </c>
      <c r="H58" s="152">
        <v>12.24</v>
      </c>
      <c r="I58" s="152">
        <v>0</v>
      </c>
      <c r="J58" s="152">
        <v>0</v>
      </c>
    </row>
    <row r="59" spans="2:26">
      <c r="B59" s="152"/>
      <c r="C59" s="153">
        <v>33349</v>
      </c>
      <c r="D59" s="152">
        <v>8.1</v>
      </c>
      <c r="E59" s="152">
        <v>8.64</v>
      </c>
      <c r="F59" s="152">
        <v>9</v>
      </c>
      <c r="G59" s="152">
        <v>9.5399999999999991</v>
      </c>
      <c r="H59" s="152">
        <v>9.7200000000000006</v>
      </c>
      <c r="I59" s="152">
        <v>0</v>
      </c>
      <c r="J59" s="152">
        <v>0</v>
      </c>
    </row>
    <row r="60" spans="2:26">
      <c r="B60" s="152"/>
      <c r="C60" s="153">
        <v>33318</v>
      </c>
      <c r="D60" s="152">
        <v>9</v>
      </c>
      <c r="E60" s="152">
        <v>10.08</v>
      </c>
      <c r="F60" s="152">
        <v>10.8</v>
      </c>
      <c r="G60" s="152">
        <v>11.52</v>
      </c>
      <c r="H60" s="152">
        <v>11.88</v>
      </c>
      <c r="I60" s="152" t="s">
        <v>2559</v>
      </c>
      <c r="J60" s="152" t="s">
        <v>2559</v>
      </c>
    </row>
    <row r="61" spans="2:26">
      <c r="B61" s="152"/>
      <c r="C61" s="153">
        <v>33106</v>
      </c>
      <c r="D61" s="152">
        <v>8.64</v>
      </c>
      <c r="E61" s="152">
        <v>9.36</v>
      </c>
      <c r="F61" s="152">
        <v>10.08</v>
      </c>
      <c r="G61" s="152">
        <v>10.8</v>
      </c>
      <c r="H61" s="152">
        <v>11.16</v>
      </c>
      <c r="I61" s="152">
        <v>0</v>
      </c>
      <c r="J61" s="152">
        <v>0</v>
      </c>
    </row>
    <row r="62" spans="2:26">
      <c r="B62" s="152"/>
      <c r="C62" s="153">
        <v>32540</v>
      </c>
      <c r="D62" s="152">
        <v>11.34</v>
      </c>
      <c r="E62" s="152">
        <v>11.34</v>
      </c>
      <c r="F62" s="152">
        <v>12.78</v>
      </c>
      <c r="G62" s="152">
        <v>14.4</v>
      </c>
      <c r="H62" s="152">
        <v>19.260000000000002</v>
      </c>
      <c r="I62" s="152">
        <v>0</v>
      </c>
      <c r="J62" s="152">
        <v>0</v>
      </c>
    </row>
    <row r="63" spans="2:26">
      <c r="B63" s="152"/>
      <c r="C63" s="153"/>
      <c r="D63" s="152"/>
      <c r="E63" s="152"/>
      <c r="F63" s="152"/>
      <c r="G63" s="152"/>
      <c r="H63" s="152"/>
      <c r="I63" s="152"/>
      <c r="J63" s="152"/>
    </row>
    <row r="64" spans="2:26">
      <c r="B64" s="160"/>
      <c r="C64" s="161"/>
      <c r="D64" s="160"/>
      <c r="E64" s="160"/>
      <c r="F64" s="160"/>
      <c r="G64" s="160"/>
      <c r="H64" s="160"/>
      <c r="I64" s="160"/>
      <c r="J64" s="160"/>
    </row>
    <row r="65" spans="2:10">
      <c r="B65" s="160"/>
      <c r="C65" s="161"/>
      <c r="D65" s="160"/>
      <c r="E65" s="160"/>
      <c r="F65" s="160"/>
      <c r="G65" s="160"/>
      <c r="H65" s="160"/>
      <c r="I65" s="160"/>
      <c r="J65" s="160"/>
    </row>
    <row r="66" spans="2:10">
      <c r="B66" s="160"/>
      <c r="C66" s="161"/>
      <c r="D66" s="160"/>
      <c r="E66" s="160"/>
      <c r="F66" s="160"/>
      <c r="G66" s="160"/>
      <c r="H66" s="160"/>
      <c r="I66" s="160"/>
      <c r="J66" s="160"/>
    </row>
    <row r="67" spans="2:10">
      <c r="B67" s="105"/>
      <c r="C67" s="105"/>
      <c r="D67" s="105"/>
      <c r="E67" s="105"/>
      <c r="F67" s="105"/>
      <c r="G67" s="105"/>
      <c r="H67" s="105"/>
      <c r="I67" s="105"/>
      <c r="J67" s="105"/>
    </row>
    <row r="68" spans="2:10">
      <c r="B68" s="105"/>
      <c r="C68" s="105"/>
      <c r="D68" s="105"/>
      <c r="E68" s="105"/>
      <c r="F68" s="105"/>
      <c r="G68" s="105"/>
      <c r="H68" s="105"/>
      <c r="I68" s="105"/>
      <c r="J68" s="105"/>
    </row>
  </sheetData>
  <sheetProtection password="CEE9" sheet="1" objects="1" scenarios="1"/>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90" t="s">
        <v>2560</v>
      </c>
      <c r="E1" s="91" t="s">
        <v>2561</v>
      </c>
      <c r="F1" s="92" t="s">
        <v>2562</v>
      </c>
    </row>
    <row r="2" spans="1:13" ht="20.25">
      <c r="A2" s="93" t="s">
        <v>2563</v>
      </c>
    </row>
    <row r="3" spans="1:13" ht="16.5">
      <c r="A3" s="94" t="s">
        <v>2564</v>
      </c>
    </row>
    <row r="4" spans="1:13" ht="14.25">
      <c r="A4" s="95" t="s">
        <v>1778</v>
      </c>
      <c r="B4" s="96" t="s">
        <v>1765</v>
      </c>
      <c r="C4" s="97"/>
      <c r="D4" s="98"/>
      <c r="E4" s="96" t="s">
        <v>1766</v>
      </c>
      <c r="F4" s="97"/>
      <c r="G4" s="98"/>
      <c r="H4" s="96" t="s">
        <v>1810</v>
      </c>
      <c r="I4" s="97"/>
      <c r="J4" s="98"/>
      <c r="K4" s="96" t="s">
        <v>1767</v>
      </c>
      <c r="L4" s="97"/>
      <c r="M4" s="98"/>
    </row>
    <row r="5" spans="1:13" ht="14.25">
      <c r="A5" s="99" t="s">
        <v>210</v>
      </c>
      <c r="B5" s="95" t="s">
        <v>2565</v>
      </c>
      <c r="C5" s="95" t="s">
        <v>2566</v>
      </c>
      <c r="D5" s="95" t="s">
        <v>2567</v>
      </c>
      <c r="E5" s="95" t="s">
        <v>2565</v>
      </c>
      <c r="F5" s="95" t="s">
        <v>2566</v>
      </c>
      <c r="G5" s="95" t="s">
        <v>2567</v>
      </c>
      <c r="H5" s="95" t="s">
        <v>2565</v>
      </c>
      <c r="I5" s="95" t="s">
        <v>2566</v>
      </c>
      <c r="J5" s="95" t="s">
        <v>2567</v>
      </c>
      <c r="K5" s="95" t="s">
        <v>2565</v>
      </c>
      <c r="L5" s="95" t="s">
        <v>2566</v>
      </c>
      <c r="M5" s="95" t="s">
        <v>2567</v>
      </c>
    </row>
    <row r="6" spans="1:13" ht="14.25">
      <c r="A6" s="100" t="s">
        <v>232</v>
      </c>
      <c r="B6" s="101">
        <v>26980</v>
      </c>
      <c r="C6" s="101">
        <v>32980</v>
      </c>
      <c r="D6" s="101">
        <v>29980</v>
      </c>
      <c r="E6" s="101">
        <v>26170</v>
      </c>
      <c r="F6" s="101">
        <v>31990</v>
      </c>
      <c r="G6" s="101">
        <v>29080</v>
      </c>
      <c r="H6" s="101">
        <v>25850</v>
      </c>
      <c r="I6" s="101">
        <v>31590</v>
      </c>
      <c r="J6" s="101">
        <v>28720</v>
      </c>
      <c r="K6" s="101">
        <v>9860</v>
      </c>
      <c r="L6" s="102">
        <v>13340</v>
      </c>
      <c r="M6" s="101">
        <v>11600</v>
      </c>
    </row>
    <row r="7" spans="1:13" ht="14.25">
      <c r="A7" s="100" t="s">
        <v>243</v>
      </c>
      <c r="B7" s="101">
        <v>21970</v>
      </c>
      <c r="C7" s="101">
        <v>28730</v>
      </c>
      <c r="D7" s="101">
        <v>25350</v>
      </c>
      <c r="E7" s="101">
        <v>21480</v>
      </c>
      <c r="F7" s="101">
        <v>28080</v>
      </c>
      <c r="G7" s="101">
        <v>24780</v>
      </c>
      <c r="H7" s="101">
        <v>21250</v>
      </c>
      <c r="I7" s="101">
        <v>27790</v>
      </c>
      <c r="J7" s="101">
        <v>24520</v>
      </c>
      <c r="K7" s="101">
        <v>6660</v>
      </c>
      <c r="L7" s="102">
        <v>10000</v>
      </c>
      <c r="M7" s="101">
        <v>8330</v>
      </c>
    </row>
    <row r="8" spans="1:13" ht="14.25">
      <c r="A8" s="100" t="s">
        <v>253</v>
      </c>
      <c r="B8" s="101">
        <v>17430</v>
      </c>
      <c r="C8" s="101">
        <v>24410</v>
      </c>
      <c r="D8" s="101">
        <v>20920</v>
      </c>
      <c r="E8" s="101">
        <v>17140</v>
      </c>
      <c r="F8" s="101">
        <v>24000</v>
      </c>
      <c r="G8" s="101">
        <v>20570</v>
      </c>
      <c r="H8" s="101">
        <v>16990</v>
      </c>
      <c r="I8" s="101">
        <v>23790</v>
      </c>
      <c r="J8" s="101">
        <v>20390</v>
      </c>
      <c r="K8" s="101">
        <v>4530</v>
      </c>
      <c r="L8" s="102">
        <v>6790</v>
      </c>
      <c r="M8" s="101">
        <v>5660</v>
      </c>
    </row>
    <row r="9" spans="1:13" ht="14.25">
      <c r="A9" s="100" t="s">
        <v>261</v>
      </c>
      <c r="B9" s="101">
        <v>13330</v>
      </c>
      <c r="C9" s="101">
        <v>19990</v>
      </c>
      <c r="D9" s="101">
        <v>16660</v>
      </c>
      <c r="E9" s="101">
        <v>13160</v>
      </c>
      <c r="F9" s="101">
        <v>19740</v>
      </c>
      <c r="G9" s="101">
        <v>16450</v>
      </c>
      <c r="H9" s="101">
        <v>13060</v>
      </c>
      <c r="I9" s="101">
        <v>19600</v>
      </c>
      <c r="J9" s="101">
        <v>16330</v>
      </c>
      <c r="K9" s="101">
        <v>3090</v>
      </c>
      <c r="L9" s="102">
        <v>4650</v>
      </c>
      <c r="M9" s="101">
        <v>3870</v>
      </c>
    </row>
    <row r="10" spans="1:13" ht="14.25">
      <c r="A10" s="100" t="s">
        <v>269</v>
      </c>
      <c r="B10" s="101">
        <v>10420</v>
      </c>
      <c r="C10" s="101">
        <v>15620</v>
      </c>
      <c r="D10" s="101">
        <v>13020</v>
      </c>
      <c r="E10" s="101">
        <v>10310</v>
      </c>
      <c r="F10" s="101">
        <v>15470</v>
      </c>
      <c r="G10" s="101">
        <v>12890</v>
      </c>
      <c r="H10" s="101">
        <v>10250</v>
      </c>
      <c r="I10" s="101">
        <v>15370</v>
      </c>
      <c r="J10" s="101">
        <v>12810</v>
      </c>
      <c r="K10" s="101">
        <v>2140</v>
      </c>
      <c r="L10" s="102">
        <v>3200</v>
      </c>
      <c r="M10" s="101">
        <v>2670</v>
      </c>
    </row>
    <row r="11" spans="1:13" ht="14.25">
      <c r="A11" s="100" t="s">
        <v>275</v>
      </c>
      <c r="B11" s="101">
        <v>8130</v>
      </c>
      <c r="C11" s="101">
        <v>12190</v>
      </c>
      <c r="D11" s="101">
        <v>10160</v>
      </c>
      <c r="E11" s="101">
        <v>8060</v>
      </c>
      <c r="F11" s="101">
        <v>12080</v>
      </c>
      <c r="G11" s="101">
        <v>10070</v>
      </c>
      <c r="H11" s="101">
        <v>8010</v>
      </c>
      <c r="I11" s="101">
        <v>12010</v>
      </c>
      <c r="J11" s="101">
        <v>10010</v>
      </c>
      <c r="K11" s="101">
        <v>1490</v>
      </c>
      <c r="L11" s="102">
        <v>2250</v>
      </c>
      <c r="M11" s="101">
        <v>1870</v>
      </c>
    </row>
    <row r="12" spans="1:13" ht="14.25">
      <c r="A12" s="100" t="s">
        <v>280</v>
      </c>
      <c r="B12" s="101">
        <v>5940</v>
      </c>
      <c r="C12" s="101">
        <v>8900</v>
      </c>
      <c r="D12" s="101">
        <v>7420</v>
      </c>
      <c r="E12" s="101">
        <v>5880</v>
      </c>
      <c r="F12" s="101">
        <v>8820</v>
      </c>
      <c r="G12" s="101">
        <v>7350</v>
      </c>
      <c r="H12" s="101">
        <v>5840</v>
      </c>
      <c r="I12" s="101">
        <v>8760</v>
      </c>
      <c r="J12" s="101">
        <v>7300</v>
      </c>
      <c r="K12" s="101">
        <v>1060</v>
      </c>
      <c r="L12" s="102">
        <v>1600</v>
      </c>
      <c r="M12" s="101">
        <v>1330</v>
      </c>
    </row>
    <row r="13" spans="1:13" ht="14.25">
      <c r="A13" s="100" t="s">
        <v>285</v>
      </c>
      <c r="B13" s="101">
        <v>3970</v>
      </c>
      <c r="C13" s="101">
        <v>6330</v>
      </c>
      <c r="D13" s="101">
        <v>5150</v>
      </c>
      <c r="E13" s="101">
        <v>3920</v>
      </c>
      <c r="F13" s="101">
        <v>6260</v>
      </c>
      <c r="G13" s="101">
        <v>5090</v>
      </c>
      <c r="H13" s="101">
        <v>3890</v>
      </c>
      <c r="I13" s="101">
        <v>6210</v>
      </c>
      <c r="J13" s="101">
        <v>5050</v>
      </c>
      <c r="K13" s="101">
        <v>780</v>
      </c>
      <c r="L13" s="102">
        <v>1160</v>
      </c>
      <c r="M13" s="101">
        <v>970</v>
      </c>
    </row>
    <row r="14" spans="1:13" ht="14.25">
      <c r="A14" s="100" t="s">
        <v>288</v>
      </c>
      <c r="B14" s="101">
        <v>2680</v>
      </c>
      <c r="C14" s="101">
        <v>4280</v>
      </c>
      <c r="D14" s="101">
        <v>3480</v>
      </c>
      <c r="E14" s="101">
        <v>2640</v>
      </c>
      <c r="F14" s="101">
        <v>4220</v>
      </c>
      <c r="G14" s="101">
        <v>3430</v>
      </c>
      <c r="H14" s="101">
        <v>2620</v>
      </c>
      <c r="I14" s="101">
        <v>4180</v>
      </c>
      <c r="J14" s="101">
        <v>3400</v>
      </c>
      <c r="K14" s="101">
        <v>580</v>
      </c>
      <c r="L14" s="102">
        <v>880</v>
      </c>
      <c r="M14" s="101">
        <v>730</v>
      </c>
    </row>
    <row r="15" spans="1:13" ht="14.25">
      <c r="A15" s="100" t="s">
        <v>291</v>
      </c>
      <c r="B15" s="101">
        <v>1700</v>
      </c>
      <c r="C15" s="101">
        <v>2840</v>
      </c>
      <c r="D15" s="101">
        <v>2270</v>
      </c>
      <c r="E15" s="101">
        <v>1670</v>
      </c>
      <c r="F15" s="101">
        <v>2790</v>
      </c>
      <c r="G15" s="101">
        <v>2230</v>
      </c>
      <c r="H15" s="101">
        <v>1650</v>
      </c>
      <c r="I15" s="101">
        <v>2750</v>
      </c>
      <c r="J15" s="101">
        <v>2200</v>
      </c>
      <c r="K15" s="101">
        <v>450</v>
      </c>
      <c r="L15" s="102">
        <v>670</v>
      </c>
      <c r="M15" s="101">
        <v>560</v>
      </c>
    </row>
    <row r="16" spans="1:13" ht="14.25">
      <c r="A16" s="100" t="s">
        <v>294</v>
      </c>
      <c r="B16" s="101">
        <v>1070</v>
      </c>
      <c r="C16" s="101">
        <v>1790</v>
      </c>
      <c r="D16" s="101">
        <v>1430</v>
      </c>
      <c r="E16" s="101">
        <v>1050</v>
      </c>
      <c r="F16" s="101">
        <v>1750</v>
      </c>
      <c r="G16" s="101">
        <v>1400</v>
      </c>
      <c r="H16" s="101">
        <v>1030</v>
      </c>
      <c r="I16" s="101">
        <v>1730</v>
      </c>
      <c r="J16" s="101">
        <v>1380</v>
      </c>
      <c r="K16" s="101">
        <v>350</v>
      </c>
      <c r="L16" s="102">
        <v>530</v>
      </c>
      <c r="M16" s="101">
        <v>440</v>
      </c>
    </row>
    <row r="17" spans="1:13" ht="14.25">
      <c r="A17" s="100" t="s">
        <v>297</v>
      </c>
      <c r="B17" s="101">
        <v>680</v>
      </c>
      <c r="C17" s="101">
        <v>1120</v>
      </c>
      <c r="D17" s="101">
        <v>900</v>
      </c>
      <c r="E17" s="101">
        <v>650</v>
      </c>
      <c r="F17" s="101">
        <v>1090</v>
      </c>
      <c r="G17" s="101">
        <v>870</v>
      </c>
      <c r="H17" s="101">
        <v>630</v>
      </c>
      <c r="I17" s="101">
        <v>1070</v>
      </c>
      <c r="J17" s="101">
        <v>850</v>
      </c>
      <c r="K17" s="101">
        <v>280</v>
      </c>
      <c r="L17" s="102">
        <v>420</v>
      </c>
      <c r="M17" s="101">
        <v>350</v>
      </c>
    </row>
  </sheetData>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workbookViewId="0">
      <selection activeCell="A67" sqref="A67:XFD67"/>
    </sheetView>
  </sheetViews>
  <sheetFormatPr defaultColWidth="9" defaultRowHeight="13.5"/>
  <cols>
    <col min="1" max="18" width="9" style="79"/>
    <col min="19" max="19" width="9" style="75"/>
    <col min="20" max="16384" width="9" style="79"/>
  </cols>
  <sheetData>
    <row r="1" spans="1:20">
      <c r="A1" s="3562" t="s">
        <v>2568</v>
      </c>
      <c r="B1" s="3562"/>
      <c r="C1" s="3562"/>
      <c r="D1" s="3562"/>
      <c r="E1" s="3562"/>
      <c r="F1" s="3562"/>
      <c r="G1" s="3562"/>
      <c r="H1" s="3562"/>
      <c r="I1" s="3562"/>
      <c r="J1" s="3562"/>
      <c r="K1" s="3562"/>
      <c r="L1" s="3562"/>
    </row>
    <row r="2" spans="1:20" ht="13.5" customHeight="1">
      <c r="A2" s="80" t="s">
        <v>2569</v>
      </c>
      <c r="B2" s="80" t="s">
        <v>2570</v>
      </c>
      <c r="C2" s="80" t="s">
        <v>2571</v>
      </c>
      <c r="D2" s="80" t="s">
        <v>2572</v>
      </c>
      <c r="E2" s="80" t="s">
        <v>2573</v>
      </c>
      <c r="F2" s="80" t="s">
        <v>1970</v>
      </c>
      <c r="G2" s="80" t="s">
        <v>2574</v>
      </c>
      <c r="H2" s="80" t="s">
        <v>2575</v>
      </c>
      <c r="I2" s="80" t="s">
        <v>2576</v>
      </c>
      <c r="J2" s="80" t="s">
        <v>2577</v>
      </c>
      <c r="K2" s="80" t="s">
        <v>2578</v>
      </c>
      <c r="L2" s="80" t="s">
        <v>2579</v>
      </c>
      <c r="M2" s="80" t="s">
        <v>2580</v>
      </c>
      <c r="N2" s="80" t="s">
        <v>2581</v>
      </c>
      <c r="O2" s="80" t="s">
        <v>2582</v>
      </c>
      <c r="P2" s="80" t="s">
        <v>2583</v>
      </c>
      <c r="Q2" s="80" t="s">
        <v>2584</v>
      </c>
      <c r="R2" s="80" t="s">
        <v>2585</v>
      </c>
      <c r="S2" s="88" t="s">
        <v>2586</v>
      </c>
      <c r="T2" s="89" t="s">
        <v>2587</v>
      </c>
    </row>
    <row r="3" spans="1:20">
      <c r="A3" s="80" t="s">
        <v>2588</v>
      </c>
      <c r="B3" s="80" t="s">
        <v>345</v>
      </c>
      <c r="C3" s="80" t="s">
        <v>2589</v>
      </c>
      <c r="D3" s="80">
        <v>67586.429999999993</v>
      </c>
      <c r="E3" s="80">
        <v>149027</v>
      </c>
      <c r="F3" s="80" t="s">
        <v>2590</v>
      </c>
      <c r="G3" s="80" t="s">
        <v>2591</v>
      </c>
      <c r="H3" s="80" t="s">
        <v>2592</v>
      </c>
      <c r="I3" s="80" t="s">
        <v>2593</v>
      </c>
      <c r="J3" s="80">
        <v>43600</v>
      </c>
      <c r="K3" s="80" t="s">
        <v>2594</v>
      </c>
      <c r="L3" s="80" t="s">
        <v>2595</v>
      </c>
      <c r="M3" s="80" t="s">
        <v>2596</v>
      </c>
      <c r="N3" s="80">
        <v>499000</v>
      </c>
      <c r="O3" s="80">
        <v>4922.09</v>
      </c>
      <c r="P3" s="80">
        <v>33483.870000000003</v>
      </c>
      <c r="Q3" s="80">
        <v>5.05</v>
      </c>
      <c r="R3" s="80" t="s">
        <v>2597</v>
      </c>
      <c r="S3" s="75">
        <f t="shared" ref="S3:S12" si="0">ROUND(E3/D3,2)</f>
        <v>2.2000000000000002</v>
      </c>
    </row>
    <row r="4" spans="1:20">
      <c r="A4" s="80" t="s">
        <v>2598</v>
      </c>
      <c r="B4" s="80" t="s">
        <v>345</v>
      </c>
      <c r="C4" s="80" t="s">
        <v>2599</v>
      </c>
      <c r="D4" s="80">
        <v>31537.81</v>
      </c>
      <c r="E4" s="80">
        <v>88306</v>
      </c>
      <c r="F4" s="80" t="s">
        <v>2600</v>
      </c>
      <c r="G4" s="80" t="s">
        <v>2591</v>
      </c>
      <c r="H4" s="80" t="s">
        <v>1513</v>
      </c>
      <c r="I4" s="80" t="s">
        <v>2593</v>
      </c>
      <c r="J4" s="80">
        <v>20500</v>
      </c>
      <c r="K4" s="80" t="s">
        <v>2594</v>
      </c>
      <c r="L4" s="80" t="s">
        <v>2595</v>
      </c>
      <c r="M4" s="80" t="s">
        <v>2596</v>
      </c>
      <c r="N4" s="80">
        <v>361000</v>
      </c>
      <c r="O4" s="80">
        <v>7631.05</v>
      </c>
      <c r="P4" s="80">
        <v>40880.559999999998</v>
      </c>
      <c r="Q4" s="80">
        <v>5.25</v>
      </c>
      <c r="R4" s="80" t="s">
        <v>2601</v>
      </c>
      <c r="S4" s="75">
        <f t="shared" si="0"/>
        <v>2.8</v>
      </c>
    </row>
    <row r="5" spans="1:20">
      <c r="A5" s="80" t="s">
        <v>2602</v>
      </c>
      <c r="B5" s="80" t="s">
        <v>345</v>
      </c>
      <c r="C5" s="80" t="s">
        <v>2599</v>
      </c>
      <c r="D5" s="80">
        <v>16028.4</v>
      </c>
      <c r="E5" s="80">
        <v>25645.439999999999</v>
      </c>
      <c r="F5" s="80" t="s">
        <v>2603</v>
      </c>
      <c r="G5" s="80" t="s">
        <v>2591</v>
      </c>
      <c r="H5" s="80" t="s">
        <v>1513</v>
      </c>
      <c r="I5" s="80" t="s">
        <v>2593</v>
      </c>
      <c r="J5" s="80">
        <v>10600</v>
      </c>
      <c r="K5" s="80" t="s">
        <v>2604</v>
      </c>
      <c r="L5" s="80" t="s">
        <v>2595</v>
      </c>
      <c r="M5" s="80" t="s">
        <v>2605</v>
      </c>
      <c r="N5" s="80">
        <v>66600</v>
      </c>
      <c r="O5" s="80">
        <v>2770.08</v>
      </c>
      <c r="P5" s="80">
        <v>25969.52</v>
      </c>
      <c r="Q5" s="80">
        <v>20</v>
      </c>
      <c r="R5" s="80" t="s">
        <v>2606</v>
      </c>
      <c r="S5" s="75">
        <f t="shared" si="0"/>
        <v>1.6</v>
      </c>
    </row>
    <row r="6" spans="1:20">
      <c r="A6" s="80" t="s">
        <v>2607</v>
      </c>
      <c r="B6" s="80" t="s">
        <v>345</v>
      </c>
      <c r="C6" s="80" t="s">
        <v>2589</v>
      </c>
      <c r="D6" s="80">
        <v>94973.86</v>
      </c>
      <c r="E6" s="80">
        <v>192900</v>
      </c>
      <c r="F6" s="80" t="s">
        <v>2608</v>
      </c>
      <c r="G6" s="80" t="s">
        <v>2591</v>
      </c>
      <c r="H6" s="80" t="s">
        <v>2609</v>
      </c>
      <c r="I6" s="80" t="s">
        <v>2593</v>
      </c>
      <c r="J6" s="80">
        <v>1000</v>
      </c>
      <c r="K6" s="80" t="s">
        <v>2604</v>
      </c>
      <c r="L6" s="80" t="s">
        <v>2595</v>
      </c>
      <c r="M6" s="80" t="s">
        <v>2610</v>
      </c>
      <c r="N6" s="80">
        <v>625000</v>
      </c>
      <c r="O6" s="80">
        <v>4387.17</v>
      </c>
      <c r="P6" s="80">
        <v>32400.2</v>
      </c>
      <c r="Q6" s="80">
        <v>5.04</v>
      </c>
      <c r="R6" s="80" t="s">
        <v>2606</v>
      </c>
      <c r="S6" s="75">
        <f t="shared" si="0"/>
        <v>2.0299999999999998</v>
      </c>
    </row>
    <row r="7" spans="1:20">
      <c r="A7" s="80" t="s">
        <v>2611</v>
      </c>
      <c r="B7" s="80" t="s">
        <v>345</v>
      </c>
      <c r="C7" s="80" t="s">
        <v>2589</v>
      </c>
      <c r="D7" s="80">
        <v>38598.46</v>
      </c>
      <c r="E7" s="80">
        <v>82574</v>
      </c>
      <c r="F7" s="80" t="s">
        <v>2612</v>
      </c>
      <c r="G7" s="80" t="s">
        <v>2591</v>
      </c>
      <c r="H7" s="80" t="s">
        <v>2613</v>
      </c>
      <c r="I7" s="80" t="s">
        <v>2593</v>
      </c>
      <c r="J7" s="80">
        <v>28810</v>
      </c>
      <c r="K7" s="80" t="s">
        <v>2614</v>
      </c>
      <c r="L7" s="80" t="s">
        <v>2595</v>
      </c>
      <c r="M7" s="80" t="s">
        <v>2615</v>
      </c>
      <c r="N7" s="80">
        <v>163000</v>
      </c>
      <c r="O7" s="80">
        <v>2815.31</v>
      </c>
      <c r="P7" s="80">
        <v>19739.86</v>
      </c>
      <c r="Q7" s="80">
        <v>14.79</v>
      </c>
      <c r="R7" s="80" t="s">
        <v>2597</v>
      </c>
      <c r="S7" s="75">
        <f t="shared" si="0"/>
        <v>2.14</v>
      </c>
    </row>
    <row r="8" spans="1:20">
      <c r="A8" s="80" t="s">
        <v>2616</v>
      </c>
      <c r="B8" s="80" t="s">
        <v>345</v>
      </c>
      <c r="C8" s="80" t="s">
        <v>2589</v>
      </c>
      <c r="D8" s="80">
        <v>108243.94</v>
      </c>
      <c r="E8" s="80">
        <v>262360.75</v>
      </c>
      <c r="F8" s="80" t="s">
        <v>2617</v>
      </c>
      <c r="G8" s="80" t="s">
        <v>2591</v>
      </c>
      <c r="H8" s="80" t="s">
        <v>2618</v>
      </c>
      <c r="I8" s="80" t="s">
        <v>2593</v>
      </c>
      <c r="J8" s="80" t="s">
        <v>2559</v>
      </c>
      <c r="K8" s="80" t="s">
        <v>2619</v>
      </c>
      <c r="L8" s="80" t="s">
        <v>2620</v>
      </c>
      <c r="M8" s="80" t="s">
        <v>2621</v>
      </c>
      <c r="N8" s="80">
        <v>452000</v>
      </c>
      <c r="O8" s="80">
        <v>2783.84</v>
      </c>
      <c r="P8" s="80">
        <v>17228.18</v>
      </c>
      <c r="Q8" s="80">
        <v>0</v>
      </c>
      <c r="R8" s="80" t="s">
        <v>2597</v>
      </c>
      <c r="S8" s="75">
        <f t="shared" si="0"/>
        <v>2.42</v>
      </c>
    </row>
    <row r="9" spans="1:20">
      <c r="A9" s="80" t="s">
        <v>2622</v>
      </c>
      <c r="B9" s="80" t="s">
        <v>345</v>
      </c>
      <c r="C9" s="80" t="s">
        <v>2589</v>
      </c>
      <c r="D9" s="80">
        <v>52916.1</v>
      </c>
      <c r="E9" s="80">
        <v>51938.27</v>
      </c>
      <c r="F9" s="80" t="s">
        <v>2623</v>
      </c>
      <c r="G9" s="80" t="s">
        <v>2591</v>
      </c>
      <c r="H9" s="80" t="s">
        <v>2624</v>
      </c>
      <c r="I9" s="80" t="s">
        <v>2593</v>
      </c>
      <c r="J9" s="80" t="s">
        <v>2559</v>
      </c>
      <c r="K9" s="80" t="s">
        <v>2619</v>
      </c>
      <c r="L9" s="80" t="s">
        <v>2620</v>
      </c>
      <c r="M9" s="80" t="s">
        <v>2625</v>
      </c>
      <c r="N9" s="80">
        <v>153000</v>
      </c>
      <c r="O9" s="80">
        <v>1927.58</v>
      </c>
      <c r="P9" s="80">
        <v>29458.04</v>
      </c>
      <c r="Q9" s="80">
        <v>0</v>
      </c>
      <c r="R9" s="80" t="s">
        <v>2626</v>
      </c>
      <c r="S9" s="75">
        <f t="shared" si="0"/>
        <v>0.98</v>
      </c>
    </row>
    <row r="10" spans="1:20">
      <c r="A10" s="80" t="s">
        <v>2627</v>
      </c>
      <c r="B10" s="80" t="s">
        <v>345</v>
      </c>
      <c r="C10" s="80" t="s">
        <v>2599</v>
      </c>
      <c r="D10" s="80">
        <v>48407.51</v>
      </c>
      <c r="E10" s="80">
        <v>96815.01</v>
      </c>
      <c r="F10" s="80" t="s">
        <v>2608</v>
      </c>
      <c r="G10" s="80" t="s">
        <v>2591</v>
      </c>
      <c r="H10" s="80" t="s">
        <v>1513</v>
      </c>
      <c r="I10" s="80" t="s">
        <v>2593</v>
      </c>
      <c r="J10" s="80" t="s">
        <v>2559</v>
      </c>
      <c r="K10" s="80" t="s">
        <v>2619</v>
      </c>
      <c r="L10" s="80" t="s">
        <v>2620</v>
      </c>
      <c r="M10" s="80" t="s">
        <v>2628</v>
      </c>
      <c r="N10" s="80">
        <v>145800</v>
      </c>
      <c r="O10" s="80">
        <v>2007.95</v>
      </c>
      <c r="P10" s="80">
        <v>15059.64</v>
      </c>
      <c r="Q10" s="80">
        <v>0</v>
      </c>
      <c r="R10" s="80" t="s">
        <v>2626</v>
      </c>
      <c r="S10" s="75">
        <f t="shared" si="0"/>
        <v>2</v>
      </c>
    </row>
    <row r="11" spans="1:20" s="78" customFormat="1">
      <c r="A11" s="83" t="s">
        <v>2629</v>
      </c>
      <c r="B11" s="83" t="s">
        <v>345</v>
      </c>
      <c r="C11" s="83" t="s">
        <v>2589</v>
      </c>
      <c r="D11" s="83">
        <v>40514.839999999997</v>
      </c>
      <c r="E11" s="83">
        <v>92680</v>
      </c>
      <c r="F11" s="83" t="s">
        <v>2630</v>
      </c>
      <c r="G11" s="83" t="s">
        <v>2631</v>
      </c>
      <c r="H11" s="83" t="s">
        <v>2609</v>
      </c>
      <c r="I11" s="83" t="s">
        <v>2593</v>
      </c>
      <c r="J11" s="83" t="s">
        <v>2559</v>
      </c>
      <c r="K11" s="83" t="s">
        <v>2632</v>
      </c>
      <c r="L11" s="83" t="s">
        <v>2633</v>
      </c>
      <c r="M11" s="83" t="s">
        <v>2634</v>
      </c>
      <c r="N11" s="83">
        <v>75000</v>
      </c>
      <c r="O11" s="83">
        <v>1234.1199999999999</v>
      </c>
      <c r="P11" s="83">
        <v>8092.35</v>
      </c>
      <c r="Q11" s="83" t="s">
        <v>2559</v>
      </c>
      <c r="R11" s="83" t="s">
        <v>2606</v>
      </c>
      <c r="S11" s="83">
        <f t="shared" si="0"/>
        <v>2.29</v>
      </c>
      <c r="T11" s="78">
        <v>27000</v>
      </c>
    </row>
    <row r="12" spans="1:20" s="60" customFormat="1">
      <c r="A12" s="81" t="s">
        <v>2635</v>
      </c>
      <c r="B12" s="81" t="s">
        <v>345</v>
      </c>
      <c r="C12" s="81" t="s">
        <v>2589</v>
      </c>
      <c r="D12" s="81">
        <v>41000.75</v>
      </c>
      <c r="E12" s="81">
        <v>102502</v>
      </c>
      <c r="F12" s="81" t="s">
        <v>2636</v>
      </c>
      <c r="G12" s="81" t="s">
        <v>2591</v>
      </c>
      <c r="H12" s="81" t="s">
        <v>2637</v>
      </c>
      <c r="I12" s="81">
        <v>0</v>
      </c>
      <c r="J12" s="81" t="s">
        <v>2559</v>
      </c>
      <c r="K12" s="81" t="s">
        <v>2632</v>
      </c>
      <c r="L12" s="81" t="s">
        <v>2638</v>
      </c>
      <c r="M12" s="81" t="s">
        <v>2639</v>
      </c>
      <c r="N12" s="81">
        <v>146578</v>
      </c>
      <c r="O12" s="81">
        <v>2383.34</v>
      </c>
      <c r="P12" s="81">
        <v>14300.01</v>
      </c>
      <c r="Q12" s="81">
        <v>0</v>
      </c>
      <c r="R12" s="81" t="s">
        <v>2606</v>
      </c>
      <c r="S12" s="83">
        <f t="shared" si="0"/>
        <v>2.5</v>
      </c>
      <c r="T12" s="60">
        <v>29000</v>
      </c>
    </row>
    <row r="13" spans="1:20">
      <c r="A13" s="80" t="s">
        <v>2640</v>
      </c>
      <c r="B13" s="80" t="s">
        <v>345</v>
      </c>
      <c r="C13" s="80" t="s">
        <v>2599</v>
      </c>
      <c r="D13" s="80">
        <v>105143.73</v>
      </c>
      <c r="E13" s="80">
        <v>262859.32</v>
      </c>
      <c r="F13" s="80" t="s">
        <v>2641</v>
      </c>
      <c r="G13" s="80" t="s">
        <v>2591</v>
      </c>
      <c r="H13" s="80" t="s">
        <v>1513</v>
      </c>
      <c r="I13" s="80">
        <v>0</v>
      </c>
      <c r="J13" s="80" t="s">
        <v>2559</v>
      </c>
      <c r="K13" s="80" t="s">
        <v>2642</v>
      </c>
      <c r="L13" s="80" t="s">
        <v>2643</v>
      </c>
      <c r="M13" s="80" t="s">
        <v>2644</v>
      </c>
      <c r="N13" s="80">
        <v>677700</v>
      </c>
      <c r="O13" s="80">
        <v>4296.9799999999996</v>
      </c>
      <c r="P13" s="80">
        <v>25781.84</v>
      </c>
      <c r="Q13" s="80">
        <v>35</v>
      </c>
      <c r="R13" s="80" t="s">
        <v>2597</v>
      </c>
      <c r="S13" s="75">
        <f t="shared" ref="S13:S76" si="1">ROUND(E13/D13,2)</f>
        <v>2.5</v>
      </c>
    </row>
    <row r="14" spans="1:20">
      <c r="A14" s="80" t="s">
        <v>2645</v>
      </c>
      <c r="B14" s="80" t="s">
        <v>345</v>
      </c>
      <c r="C14" s="80" t="s">
        <v>2599</v>
      </c>
      <c r="D14" s="80">
        <v>57208.800000000003</v>
      </c>
      <c r="E14" s="80">
        <v>91534.080000000002</v>
      </c>
      <c r="F14" s="80" t="s">
        <v>2603</v>
      </c>
      <c r="G14" s="80" t="s">
        <v>2591</v>
      </c>
      <c r="H14" s="80" t="s">
        <v>2646</v>
      </c>
      <c r="I14" s="80">
        <v>0</v>
      </c>
      <c r="J14" s="80" t="s">
        <v>2559</v>
      </c>
      <c r="K14" s="80" t="s">
        <v>2619</v>
      </c>
      <c r="L14" s="80" t="s">
        <v>2647</v>
      </c>
      <c r="M14" s="80" t="s">
        <v>2648</v>
      </c>
      <c r="N14" s="80">
        <v>205000</v>
      </c>
      <c r="O14" s="80">
        <v>2388.91</v>
      </c>
      <c r="P14" s="80">
        <v>22396.02</v>
      </c>
      <c r="Q14" s="80">
        <v>15.82</v>
      </c>
      <c r="R14" s="80" t="s">
        <v>2597</v>
      </c>
      <c r="S14" s="75">
        <f t="shared" si="1"/>
        <v>1.6</v>
      </c>
    </row>
    <row r="15" spans="1:20">
      <c r="A15" s="80" t="s">
        <v>2649</v>
      </c>
      <c r="B15" s="80" t="s">
        <v>345</v>
      </c>
      <c r="C15" s="80" t="s">
        <v>2599</v>
      </c>
      <c r="D15" s="80">
        <v>56860.73</v>
      </c>
      <c r="E15" s="80">
        <v>133065.75</v>
      </c>
      <c r="F15" s="80" t="s">
        <v>2650</v>
      </c>
      <c r="G15" s="80" t="s">
        <v>2591</v>
      </c>
      <c r="H15" s="80" t="s">
        <v>1513</v>
      </c>
      <c r="I15" s="80">
        <v>0</v>
      </c>
      <c r="J15" s="80" t="s">
        <v>2559</v>
      </c>
      <c r="K15" s="80" t="s">
        <v>2619</v>
      </c>
      <c r="L15" s="80" t="s">
        <v>2647</v>
      </c>
      <c r="M15" s="80" t="s">
        <v>2651</v>
      </c>
      <c r="N15" s="80">
        <v>465700</v>
      </c>
      <c r="O15" s="80">
        <v>5460.12</v>
      </c>
      <c r="P15" s="80">
        <v>34997.730000000003</v>
      </c>
      <c r="Q15" s="80">
        <v>10.88</v>
      </c>
      <c r="R15" s="80" t="s">
        <v>2597</v>
      </c>
      <c r="S15" s="75">
        <f t="shared" si="1"/>
        <v>2.34</v>
      </c>
    </row>
    <row r="16" spans="1:20">
      <c r="A16" s="80" t="s">
        <v>2652</v>
      </c>
      <c r="B16" s="80" t="s">
        <v>345</v>
      </c>
      <c r="C16" s="80" t="s">
        <v>2589</v>
      </c>
      <c r="D16" s="80">
        <v>125102.17</v>
      </c>
      <c r="E16" s="80">
        <v>219262.23</v>
      </c>
      <c r="F16" s="80" t="s">
        <v>2653</v>
      </c>
      <c r="G16" s="80" t="s">
        <v>2591</v>
      </c>
      <c r="H16" s="80" t="s">
        <v>2654</v>
      </c>
      <c r="I16" s="80">
        <v>0</v>
      </c>
      <c r="J16" s="80" t="s">
        <v>2559</v>
      </c>
      <c r="K16" s="80" t="s">
        <v>2619</v>
      </c>
      <c r="L16" s="80" t="s">
        <v>2647</v>
      </c>
      <c r="M16" s="80" t="s">
        <v>2655</v>
      </c>
      <c r="N16" s="80">
        <v>406100</v>
      </c>
      <c r="O16" s="80">
        <v>2164.1</v>
      </c>
      <c r="P16" s="80">
        <v>18521.2</v>
      </c>
      <c r="Q16" s="80">
        <v>0.52</v>
      </c>
      <c r="R16" s="80" t="s">
        <v>2597</v>
      </c>
      <c r="S16" s="75">
        <f t="shared" si="1"/>
        <v>1.75</v>
      </c>
    </row>
    <row r="17" spans="1:20">
      <c r="A17" s="80" t="s">
        <v>2656</v>
      </c>
      <c r="B17" s="80" t="s">
        <v>345</v>
      </c>
      <c r="C17" s="80" t="s">
        <v>2589</v>
      </c>
      <c r="D17" s="80">
        <v>63474.94</v>
      </c>
      <c r="E17" s="80">
        <v>97252.05</v>
      </c>
      <c r="F17" s="80" t="s">
        <v>2657</v>
      </c>
      <c r="G17" s="80" t="s">
        <v>2591</v>
      </c>
      <c r="H17" s="80" t="s">
        <v>2658</v>
      </c>
      <c r="I17" s="80">
        <v>0</v>
      </c>
      <c r="J17" s="80" t="s">
        <v>2559</v>
      </c>
      <c r="K17" s="80" t="s">
        <v>2619</v>
      </c>
      <c r="L17" s="80" t="s">
        <v>2659</v>
      </c>
      <c r="M17" s="80" t="s">
        <v>2660</v>
      </c>
      <c r="N17" s="80">
        <v>182800</v>
      </c>
      <c r="O17" s="80">
        <v>1919.92</v>
      </c>
      <c r="P17" s="80">
        <v>18796.52</v>
      </c>
      <c r="Q17" s="80">
        <v>9.26</v>
      </c>
      <c r="R17" s="80" t="s">
        <v>2606</v>
      </c>
      <c r="S17" s="75">
        <f t="shared" si="1"/>
        <v>1.53</v>
      </c>
    </row>
    <row r="18" spans="1:20" s="60" customFormat="1">
      <c r="A18" s="81" t="s">
        <v>2661</v>
      </c>
      <c r="B18" s="81" t="s">
        <v>345</v>
      </c>
      <c r="C18" s="81" t="s">
        <v>2589</v>
      </c>
      <c r="D18" s="81">
        <v>62136.68</v>
      </c>
      <c r="E18" s="81">
        <v>147241</v>
      </c>
      <c r="F18" s="81" t="s">
        <v>2636</v>
      </c>
      <c r="G18" s="81" t="s">
        <v>2591</v>
      </c>
      <c r="H18" s="81" t="s">
        <v>2662</v>
      </c>
      <c r="I18" s="81">
        <v>0</v>
      </c>
      <c r="J18" s="81" t="s">
        <v>2559</v>
      </c>
      <c r="K18" s="81" t="s">
        <v>2632</v>
      </c>
      <c r="L18" s="81" t="s">
        <v>2663</v>
      </c>
      <c r="M18" s="81" t="s">
        <v>2664</v>
      </c>
      <c r="N18" s="81">
        <v>206138</v>
      </c>
      <c r="O18" s="81">
        <v>2211.66</v>
      </c>
      <c r="P18" s="81">
        <v>14000.04</v>
      </c>
      <c r="Q18" s="81">
        <v>0</v>
      </c>
      <c r="R18" s="81" t="s">
        <v>2606</v>
      </c>
      <c r="S18" s="83">
        <f t="shared" si="1"/>
        <v>2.37</v>
      </c>
      <c r="T18" s="60">
        <v>29000</v>
      </c>
    </row>
    <row r="19" spans="1:20">
      <c r="A19" s="80" t="s">
        <v>2665</v>
      </c>
      <c r="B19" s="80" t="s">
        <v>345</v>
      </c>
      <c r="C19" s="80" t="s">
        <v>2589</v>
      </c>
      <c r="D19" s="80">
        <v>43870.1</v>
      </c>
      <c r="E19" s="80">
        <v>109675.25</v>
      </c>
      <c r="F19" s="80" t="s">
        <v>2641</v>
      </c>
      <c r="G19" s="80" t="s">
        <v>2591</v>
      </c>
      <c r="H19" s="80" t="s">
        <v>2637</v>
      </c>
      <c r="I19" s="80">
        <v>0</v>
      </c>
      <c r="J19" s="80" t="s">
        <v>2559</v>
      </c>
      <c r="K19" s="80" t="s">
        <v>2666</v>
      </c>
      <c r="L19" s="80" t="s">
        <v>2667</v>
      </c>
      <c r="M19" s="80" t="s">
        <v>2668</v>
      </c>
      <c r="N19" s="80">
        <v>148061.57</v>
      </c>
      <c r="O19" s="80">
        <v>2250</v>
      </c>
      <c r="P19" s="80">
        <v>13500</v>
      </c>
      <c r="Q19" s="80">
        <v>0</v>
      </c>
      <c r="R19" s="80" t="s">
        <v>2597</v>
      </c>
      <c r="S19" s="75">
        <f t="shared" si="1"/>
        <v>2.5</v>
      </c>
    </row>
    <row r="20" spans="1:20">
      <c r="A20" s="80" t="s">
        <v>2669</v>
      </c>
      <c r="B20" s="80" t="s">
        <v>345</v>
      </c>
      <c r="C20" s="80" t="s">
        <v>2589</v>
      </c>
      <c r="D20" s="80">
        <v>37445.06</v>
      </c>
      <c r="E20" s="80">
        <v>142000</v>
      </c>
      <c r="F20" s="80" t="s">
        <v>2670</v>
      </c>
      <c r="G20" s="80" t="s">
        <v>2591</v>
      </c>
      <c r="H20" s="80" t="s">
        <v>2671</v>
      </c>
      <c r="I20" s="80">
        <v>0</v>
      </c>
      <c r="J20" s="80" t="s">
        <v>2559</v>
      </c>
      <c r="K20" s="80" t="s">
        <v>2672</v>
      </c>
      <c r="L20" s="80" t="s">
        <v>2673</v>
      </c>
      <c r="M20" s="80" t="s">
        <v>2674</v>
      </c>
      <c r="N20" s="80">
        <v>300500</v>
      </c>
      <c r="O20" s="80">
        <v>5350.06</v>
      </c>
      <c r="P20" s="80">
        <v>21161.97</v>
      </c>
      <c r="Q20" s="80">
        <v>0</v>
      </c>
      <c r="R20" s="80" t="s">
        <v>2597</v>
      </c>
      <c r="S20" s="75">
        <f t="shared" si="1"/>
        <v>3.79</v>
      </c>
    </row>
    <row r="21" spans="1:20">
      <c r="A21" s="80" t="s">
        <v>2675</v>
      </c>
      <c r="B21" s="80" t="s">
        <v>345</v>
      </c>
      <c r="C21" s="80" t="s">
        <v>2589</v>
      </c>
      <c r="D21" s="80">
        <v>122243.7</v>
      </c>
      <c r="E21" s="80">
        <v>206085.13</v>
      </c>
      <c r="F21" s="80" t="s">
        <v>2676</v>
      </c>
      <c r="G21" s="80" t="s">
        <v>2591</v>
      </c>
      <c r="H21" s="80" t="s">
        <v>2677</v>
      </c>
      <c r="I21" s="80">
        <v>0</v>
      </c>
      <c r="J21" s="80" t="s">
        <v>2559</v>
      </c>
      <c r="K21" s="80" t="s">
        <v>2619</v>
      </c>
      <c r="L21" s="80" t="s">
        <v>2678</v>
      </c>
      <c r="M21" s="80" t="s">
        <v>2679</v>
      </c>
      <c r="N21" s="80">
        <v>311800</v>
      </c>
      <c r="O21" s="80">
        <v>1700.43</v>
      </c>
      <c r="P21" s="80">
        <v>15129.67</v>
      </c>
      <c r="Q21" s="80">
        <v>0</v>
      </c>
      <c r="R21" s="80" t="s">
        <v>2606</v>
      </c>
      <c r="S21" s="75">
        <f t="shared" si="1"/>
        <v>1.69</v>
      </c>
    </row>
    <row r="22" spans="1:20">
      <c r="A22" s="80" t="s">
        <v>2680</v>
      </c>
      <c r="B22" s="80" t="s">
        <v>345</v>
      </c>
      <c r="C22" s="80" t="s">
        <v>2589</v>
      </c>
      <c r="D22" s="80">
        <v>83940.05</v>
      </c>
      <c r="E22" s="80">
        <v>146004.07999999999</v>
      </c>
      <c r="F22" s="80" t="s">
        <v>2681</v>
      </c>
      <c r="G22" s="80" t="s">
        <v>2591</v>
      </c>
      <c r="H22" s="80" t="s">
        <v>2682</v>
      </c>
      <c r="I22" s="80">
        <v>0</v>
      </c>
      <c r="J22" s="80" t="s">
        <v>2559</v>
      </c>
      <c r="K22" s="80" t="s">
        <v>2619</v>
      </c>
      <c r="L22" s="80" t="s">
        <v>2678</v>
      </c>
      <c r="M22" s="80" t="s">
        <v>2683</v>
      </c>
      <c r="N22" s="80">
        <v>243400</v>
      </c>
      <c r="O22" s="80">
        <v>1933.13</v>
      </c>
      <c r="P22" s="80">
        <v>16670.77</v>
      </c>
      <c r="Q22" s="80">
        <v>0</v>
      </c>
      <c r="R22" s="80" t="s">
        <v>2626</v>
      </c>
      <c r="S22" s="75">
        <f t="shared" si="1"/>
        <v>1.74</v>
      </c>
    </row>
    <row r="23" spans="1:20">
      <c r="A23" s="80" t="s">
        <v>2684</v>
      </c>
      <c r="B23" s="80" t="s">
        <v>345</v>
      </c>
      <c r="C23" s="80" t="s">
        <v>2589</v>
      </c>
      <c r="D23" s="80">
        <v>99454.31</v>
      </c>
      <c r="E23" s="80">
        <v>153846.89000000001</v>
      </c>
      <c r="F23" s="80" t="s">
        <v>2685</v>
      </c>
      <c r="G23" s="80" t="s">
        <v>2591</v>
      </c>
      <c r="H23" s="80" t="s">
        <v>2686</v>
      </c>
      <c r="I23" s="80">
        <v>0</v>
      </c>
      <c r="J23" s="80" t="s">
        <v>2559</v>
      </c>
      <c r="K23" s="80" t="s">
        <v>2619</v>
      </c>
      <c r="L23" s="80" t="s">
        <v>2678</v>
      </c>
      <c r="M23" s="80" t="s">
        <v>2687</v>
      </c>
      <c r="N23" s="80">
        <v>326000</v>
      </c>
      <c r="O23" s="80">
        <v>2185.2600000000002</v>
      </c>
      <c r="P23" s="80">
        <v>21189.9</v>
      </c>
      <c r="Q23" s="80">
        <v>7.8</v>
      </c>
      <c r="R23" s="80" t="s">
        <v>2606</v>
      </c>
      <c r="S23" s="75">
        <f t="shared" si="1"/>
        <v>1.55</v>
      </c>
    </row>
    <row r="24" spans="1:20">
      <c r="A24" s="80" t="s">
        <v>2688</v>
      </c>
      <c r="B24" s="80" t="s">
        <v>345</v>
      </c>
      <c r="C24" s="80" t="s">
        <v>2589</v>
      </c>
      <c r="D24" s="80">
        <v>85128.1</v>
      </c>
      <c r="E24" s="80">
        <v>201473.8</v>
      </c>
      <c r="F24" s="80" t="s">
        <v>2689</v>
      </c>
      <c r="G24" s="80" t="s">
        <v>2591</v>
      </c>
      <c r="H24" s="80" t="s">
        <v>2690</v>
      </c>
      <c r="I24" s="80">
        <v>0</v>
      </c>
      <c r="J24" s="80" t="s">
        <v>2559</v>
      </c>
      <c r="K24" s="80" t="s">
        <v>2619</v>
      </c>
      <c r="L24" s="80" t="s">
        <v>2691</v>
      </c>
      <c r="M24" s="80" t="s">
        <v>2692</v>
      </c>
      <c r="N24" s="80">
        <v>790000</v>
      </c>
      <c r="O24" s="80">
        <v>6186.75</v>
      </c>
      <c r="P24" s="80">
        <v>39211.050000000003</v>
      </c>
      <c r="Q24" s="80">
        <v>23.44</v>
      </c>
      <c r="R24" s="80" t="s">
        <v>2606</v>
      </c>
      <c r="S24" s="75">
        <f t="shared" si="1"/>
        <v>2.37</v>
      </c>
    </row>
    <row r="25" spans="1:20" s="60" customFormat="1">
      <c r="A25" s="81" t="s">
        <v>2693</v>
      </c>
      <c r="B25" s="81" t="s">
        <v>345</v>
      </c>
      <c r="C25" s="81" t="s">
        <v>2589</v>
      </c>
      <c r="D25" s="81">
        <v>154004.04</v>
      </c>
      <c r="E25" s="81">
        <v>209367</v>
      </c>
      <c r="F25" s="81" t="s">
        <v>2694</v>
      </c>
      <c r="G25" s="81" t="s">
        <v>2631</v>
      </c>
      <c r="H25" s="81" t="s">
        <v>2695</v>
      </c>
      <c r="I25" s="81">
        <v>0</v>
      </c>
      <c r="J25" s="81" t="s">
        <v>2559</v>
      </c>
      <c r="K25" s="81" t="s">
        <v>2632</v>
      </c>
      <c r="L25" s="81" t="s">
        <v>2696</v>
      </c>
      <c r="M25" s="81" t="s">
        <v>2697</v>
      </c>
      <c r="N25" s="81">
        <v>269450</v>
      </c>
      <c r="O25" s="81">
        <v>1166.42</v>
      </c>
      <c r="P25" s="81">
        <v>12869.75</v>
      </c>
      <c r="Q25" s="81" t="s">
        <v>2559</v>
      </c>
      <c r="R25" s="81" t="s">
        <v>2606</v>
      </c>
      <c r="S25" s="83">
        <f t="shared" si="1"/>
        <v>1.36</v>
      </c>
      <c r="T25" s="60">
        <v>29500</v>
      </c>
    </row>
    <row r="26" spans="1:20">
      <c r="A26" s="80" t="s">
        <v>2698</v>
      </c>
      <c r="B26" s="80" t="s">
        <v>345</v>
      </c>
      <c r="C26" s="80" t="s">
        <v>2599</v>
      </c>
      <c r="D26" s="80">
        <v>20038.78</v>
      </c>
      <c r="E26" s="80">
        <v>40077.56</v>
      </c>
      <c r="F26" s="80" t="s">
        <v>2608</v>
      </c>
      <c r="G26" s="80" t="s">
        <v>2591</v>
      </c>
      <c r="H26" s="80" t="s">
        <v>1513</v>
      </c>
      <c r="I26" s="80">
        <v>0</v>
      </c>
      <c r="J26" s="80" t="s">
        <v>2559</v>
      </c>
      <c r="K26" s="80" t="s">
        <v>2619</v>
      </c>
      <c r="L26" s="80" t="s">
        <v>2699</v>
      </c>
      <c r="M26" s="80" t="s">
        <v>2700</v>
      </c>
      <c r="N26" s="80">
        <v>126000</v>
      </c>
      <c r="O26" s="80">
        <v>4191.87</v>
      </c>
      <c r="P26" s="80">
        <v>31439.040000000001</v>
      </c>
      <c r="Q26" s="80">
        <v>8.15</v>
      </c>
      <c r="R26" s="80" t="s">
        <v>2597</v>
      </c>
      <c r="S26" s="75">
        <f t="shared" si="1"/>
        <v>2</v>
      </c>
    </row>
    <row r="27" spans="1:20">
      <c r="A27" s="80" t="s">
        <v>2701</v>
      </c>
      <c r="B27" s="80" t="s">
        <v>345</v>
      </c>
      <c r="C27" s="80" t="s">
        <v>2599</v>
      </c>
      <c r="D27" s="80">
        <v>47054</v>
      </c>
      <c r="E27" s="80">
        <v>112930</v>
      </c>
      <c r="F27" s="80" t="s">
        <v>2702</v>
      </c>
      <c r="G27" s="80" t="s">
        <v>2591</v>
      </c>
      <c r="H27" s="80" t="s">
        <v>1513</v>
      </c>
      <c r="I27" s="80">
        <v>0</v>
      </c>
      <c r="J27" s="80" t="s">
        <v>2559</v>
      </c>
      <c r="K27" s="80" t="s">
        <v>2619</v>
      </c>
      <c r="L27" s="80" t="s">
        <v>2699</v>
      </c>
      <c r="M27" s="80" t="s">
        <v>2692</v>
      </c>
      <c r="N27" s="80">
        <v>400000</v>
      </c>
      <c r="O27" s="80">
        <v>5667.25</v>
      </c>
      <c r="P27" s="80">
        <v>35420.160000000003</v>
      </c>
      <c r="Q27" s="80">
        <v>41.34</v>
      </c>
      <c r="R27" s="80" t="s">
        <v>2606</v>
      </c>
      <c r="S27" s="75">
        <f t="shared" si="1"/>
        <v>2.4</v>
      </c>
    </row>
    <row r="28" spans="1:20">
      <c r="A28" s="80" t="s">
        <v>2703</v>
      </c>
      <c r="B28" s="80" t="s">
        <v>345</v>
      </c>
      <c r="C28" s="80" t="s">
        <v>2599</v>
      </c>
      <c r="D28" s="80">
        <v>29746.01</v>
      </c>
      <c r="E28" s="80">
        <v>42688.53</v>
      </c>
      <c r="F28" s="80" t="s">
        <v>2704</v>
      </c>
      <c r="G28" s="80" t="s">
        <v>2591</v>
      </c>
      <c r="H28" s="80" t="s">
        <v>1513</v>
      </c>
      <c r="I28" s="80">
        <v>0</v>
      </c>
      <c r="J28" s="80" t="s">
        <v>2559</v>
      </c>
      <c r="K28" s="80" t="s">
        <v>2619</v>
      </c>
      <c r="L28" s="80" t="s">
        <v>2705</v>
      </c>
      <c r="M28" s="80" t="s">
        <v>2706</v>
      </c>
      <c r="N28" s="80">
        <v>125000</v>
      </c>
      <c r="O28" s="80">
        <v>2801.5</v>
      </c>
      <c r="P28" s="80">
        <v>29281.86</v>
      </c>
      <c r="Q28" s="80">
        <v>0</v>
      </c>
      <c r="R28" s="80" t="s">
        <v>2606</v>
      </c>
      <c r="S28" s="75">
        <f t="shared" si="1"/>
        <v>1.44</v>
      </c>
    </row>
    <row r="29" spans="1:20" s="77" customFormat="1">
      <c r="A29" s="82" t="s">
        <v>2707</v>
      </c>
      <c r="B29" s="82" t="s">
        <v>345</v>
      </c>
      <c r="C29" s="82" t="s">
        <v>2599</v>
      </c>
      <c r="D29" s="82">
        <v>87651.29</v>
      </c>
      <c r="E29" s="82">
        <v>140242</v>
      </c>
      <c r="F29" s="82" t="s">
        <v>2603</v>
      </c>
      <c r="G29" s="82" t="s">
        <v>2591</v>
      </c>
      <c r="H29" s="82" t="s">
        <v>1513</v>
      </c>
      <c r="I29" s="82">
        <v>0</v>
      </c>
      <c r="J29" s="82" t="s">
        <v>2559</v>
      </c>
      <c r="K29" s="82" t="s">
        <v>2708</v>
      </c>
      <c r="L29" s="82" t="s">
        <v>2709</v>
      </c>
      <c r="M29" s="82" t="s">
        <v>2710</v>
      </c>
      <c r="N29" s="82">
        <v>265000</v>
      </c>
      <c r="O29" s="82">
        <v>2015.56</v>
      </c>
      <c r="P29" s="82">
        <v>18895.900000000001</v>
      </c>
      <c r="Q29" s="82">
        <v>31.45</v>
      </c>
      <c r="R29" s="82" t="s">
        <v>2597</v>
      </c>
      <c r="S29" s="83">
        <f t="shared" si="1"/>
        <v>1.6</v>
      </c>
      <c r="T29" s="77">
        <v>28000</v>
      </c>
    </row>
    <row r="30" spans="1:20">
      <c r="A30" s="80" t="s">
        <v>2711</v>
      </c>
      <c r="B30" s="80" t="s">
        <v>345</v>
      </c>
      <c r="C30" s="80" t="s">
        <v>2589</v>
      </c>
      <c r="D30" s="80">
        <v>76997.05</v>
      </c>
      <c r="E30" s="80">
        <v>79371.899999999994</v>
      </c>
      <c r="F30" s="80" t="s">
        <v>2712</v>
      </c>
      <c r="G30" s="80" t="s">
        <v>2591</v>
      </c>
      <c r="H30" s="80" t="s">
        <v>2713</v>
      </c>
      <c r="I30" s="80">
        <v>0</v>
      </c>
      <c r="J30" s="80" t="s">
        <v>2559</v>
      </c>
      <c r="K30" s="80" t="s">
        <v>2619</v>
      </c>
      <c r="L30" s="80" t="s">
        <v>2714</v>
      </c>
      <c r="M30" s="80" t="s">
        <v>2715</v>
      </c>
      <c r="N30" s="80">
        <v>130000</v>
      </c>
      <c r="O30" s="80">
        <v>1125.58</v>
      </c>
      <c r="P30" s="80">
        <v>16378.59</v>
      </c>
      <c r="Q30" s="80">
        <v>31.98</v>
      </c>
      <c r="R30" s="80" t="s">
        <v>2626</v>
      </c>
      <c r="S30" s="75">
        <f t="shared" si="1"/>
        <v>1.03</v>
      </c>
    </row>
    <row r="31" spans="1:20">
      <c r="A31" s="80" t="s">
        <v>2716</v>
      </c>
      <c r="B31" s="80" t="s">
        <v>345</v>
      </c>
      <c r="C31" s="80" t="s">
        <v>2589</v>
      </c>
      <c r="D31" s="80">
        <v>57706.7</v>
      </c>
      <c r="E31" s="80">
        <v>86410.72</v>
      </c>
      <c r="F31" s="80" t="s">
        <v>2717</v>
      </c>
      <c r="G31" s="80" t="s">
        <v>2591</v>
      </c>
      <c r="H31" s="80" t="s">
        <v>2718</v>
      </c>
      <c r="I31" s="80">
        <v>0</v>
      </c>
      <c r="J31" s="80" t="s">
        <v>2559</v>
      </c>
      <c r="K31" s="80" t="s">
        <v>2619</v>
      </c>
      <c r="L31" s="80" t="s">
        <v>2719</v>
      </c>
      <c r="M31" s="80" t="s">
        <v>2720</v>
      </c>
      <c r="N31" s="80">
        <v>167000</v>
      </c>
      <c r="O31" s="80">
        <v>1929.3</v>
      </c>
      <c r="P31" s="80">
        <v>19326.310000000001</v>
      </c>
      <c r="Q31" s="80">
        <v>17.28</v>
      </c>
      <c r="R31" s="80" t="s">
        <v>2606</v>
      </c>
      <c r="S31" s="75">
        <f t="shared" si="1"/>
        <v>1.5</v>
      </c>
    </row>
    <row r="32" spans="1:20">
      <c r="A32" s="80" t="s">
        <v>2721</v>
      </c>
      <c r="B32" s="80" t="s">
        <v>345</v>
      </c>
      <c r="C32" s="80" t="s">
        <v>2589</v>
      </c>
      <c r="D32" s="80">
        <v>87328.39</v>
      </c>
      <c r="E32" s="80">
        <v>135355.79999999999</v>
      </c>
      <c r="F32" s="80" t="s">
        <v>2722</v>
      </c>
      <c r="G32" s="80" t="s">
        <v>2591</v>
      </c>
      <c r="H32" s="80" t="s">
        <v>2723</v>
      </c>
      <c r="I32" s="80">
        <v>0</v>
      </c>
      <c r="J32" s="80" t="s">
        <v>2559</v>
      </c>
      <c r="K32" s="80" t="s">
        <v>2619</v>
      </c>
      <c r="L32" s="80" t="s">
        <v>2719</v>
      </c>
      <c r="M32" s="80" t="s">
        <v>2724</v>
      </c>
      <c r="N32" s="80">
        <v>241000</v>
      </c>
      <c r="O32" s="80">
        <v>1839.8</v>
      </c>
      <c r="P32" s="80">
        <v>17804.93</v>
      </c>
      <c r="Q32" s="80">
        <v>0</v>
      </c>
      <c r="R32" s="80" t="s">
        <v>2606</v>
      </c>
      <c r="S32" s="75">
        <f t="shared" si="1"/>
        <v>1.55</v>
      </c>
    </row>
    <row r="33" spans="1:20">
      <c r="A33" s="80" t="s">
        <v>2725</v>
      </c>
      <c r="B33" s="80" t="s">
        <v>345</v>
      </c>
      <c r="C33" s="80" t="s">
        <v>2599</v>
      </c>
      <c r="D33" s="80">
        <v>45081.99</v>
      </c>
      <c r="E33" s="80">
        <v>94672</v>
      </c>
      <c r="F33" s="80" t="s">
        <v>2726</v>
      </c>
      <c r="G33" s="80" t="s">
        <v>2591</v>
      </c>
      <c r="H33" s="80" t="s">
        <v>1513</v>
      </c>
      <c r="I33" s="80">
        <v>0</v>
      </c>
      <c r="J33" s="80" t="s">
        <v>2559</v>
      </c>
      <c r="K33" s="80" t="s">
        <v>2672</v>
      </c>
      <c r="L33" s="80" t="s">
        <v>2727</v>
      </c>
      <c r="M33" s="80" t="s">
        <v>2728</v>
      </c>
      <c r="N33" s="80">
        <v>374000</v>
      </c>
      <c r="O33" s="80">
        <v>5530.66</v>
      </c>
      <c r="P33" s="80">
        <v>39504.81</v>
      </c>
      <c r="Q33" s="80">
        <v>3.03</v>
      </c>
      <c r="R33" s="80" t="s">
        <v>2606</v>
      </c>
      <c r="S33" s="75">
        <f t="shared" si="1"/>
        <v>2.1</v>
      </c>
    </row>
    <row r="34" spans="1:20">
      <c r="A34" s="80" t="s">
        <v>2729</v>
      </c>
      <c r="B34" s="80" t="s">
        <v>345</v>
      </c>
      <c r="C34" s="80" t="s">
        <v>2589</v>
      </c>
      <c r="D34" s="80">
        <v>39577.68</v>
      </c>
      <c r="E34" s="80">
        <v>75553</v>
      </c>
      <c r="F34" s="80" t="s">
        <v>2730</v>
      </c>
      <c r="G34" s="80" t="s">
        <v>2591</v>
      </c>
      <c r="H34" s="80" t="s">
        <v>2624</v>
      </c>
      <c r="I34" s="80">
        <v>0</v>
      </c>
      <c r="J34" s="80" t="s">
        <v>2559</v>
      </c>
      <c r="K34" s="80" t="s">
        <v>2672</v>
      </c>
      <c r="L34" s="80" t="s">
        <v>2727</v>
      </c>
      <c r="M34" s="80" t="s">
        <v>2731</v>
      </c>
      <c r="N34" s="80">
        <v>294000</v>
      </c>
      <c r="O34" s="80">
        <v>4952.29</v>
      </c>
      <c r="P34" s="80">
        <v>38913.08</v>
      </c>
      <c r="Q34" s="80">
        <v>7.38</v>
      </c>
      <c r="R34" s="80" t="s">
        <v>2606</v>
      </c>
      <c r="S34" s="75">
        <f t="shared" si="1"/>
        <v>1.91</v>
      </c>
    </row>
    <row r="35" spans="1:20">
      <c r="A35" s="80" t="s">
        <v>2732</v>
      </c>
      <c r="B35" s="80" t="s">
        <v>345</v>
      </c>
      <c r="C35" s="80" t="s">
        <v>2589</v>
      </c>
      <c r="D35" s="80">
        <v>56727.74</v>
      </c>
      <c r="E35" s="80">
        <v>133882</v>
      </c>
      <c r="F35" s="80" t="s">
        <v>2733</v>
      </c>
      <c r="G35" s="80" t="s">
        <v>2591</v>
      </c>
      <c r="H35" s="80" t="s">
        <v>2734</v>
      </c>
      <c r="I35" s="80">
        <v>0</v>
      </c>
      <c r="J35" s="80" t="s">
        <v>2559</v>
      </c>
      <c r="K35" s="80" t="s">
        <v>2672</v>
      </c>
      <c r="L35" s="80" t="s">
        <v>2735</v>
      </c>
      <c r="M35" s="80" t="s">
        <v>2724</v>
      </c>
      <c r="N35" s="80">
        <v>185000</v>
      </c>
      <c r="O35" s="80">
        <v>2174.13</v>
      </c>
      <c r="P35" s="80">
        <v>13818.13</v>
      </c>
      <c r="Q35" s="80">
        <v>33.090000000000003</v>
      </c>
      <c r="R35" s="80" t="s">
        <v>2626</v>
      </c>
      <c r="S35" s="75">
        <f t="shared" si="1"/>
        <v>2.36</v>
      </c>
    </row>
    <row r="36" spans="1:20">
      <c r="A36" s="80" t="s">
        <v>2736</v>
      </c>
      <c r="B36" s="80" t="s">
        <v>345</v>
      </c>
      <c r="C36" s="80" t="s">
        <v>2599</v>
      </c>
      <c r="D36" s="80">
        <v>20403.86</v>
      </c>
      <c r="E36" s="80">
        <v>51009</v>
      </c>
      <c r="F36" s="80" t="s">
        <v>2641</v>
      </c>
      <c r="G36" s="80" t="s">
        <v>2591</v>
      </c>
      <c r="H36" s="80" t="s">
        <v>1513</v>
      </c>
      <c r="I36" s="80">
        <v>0</v>
      </c>
      <c r="J36" s="80" t="s">
        <v>2559</v>
      </c>
      <c r="K36" s="80" t="s">
        <v>2619</v>
      </c>
      <c r="L36" s="80" t="s">
        <v>2737</v>
      </c>
      <c r="M36" s="80" t="s">
        <v>2738</v>
      </c>
      <c r="N36" s="80">
        <v>65600</v>
      </c>
      <c r="O36" s="80">
        <v>2143.39</v>
      </c>
      <c r="P36" s="80">
        <v>12860.47</v>
      </c>
      <c r="Q36" s="80">
        <v>0</v>
      </c>
      <c r="R36" s="80" t="s">
        <v>2626</v>
      </c>
      <c r="S36" s="75">
        <f t="shared" si="1"/>
        <v>2.5</v>
      </c>
    </row>
    <row r="37" spans="1:20">
      <c r="A37" s="80" t="s">
        <v>2739</v>
      </c>
      <c r="B37" s="80" t="s">
        <v>345</v>
      </c>
      <c r="C37" s="80" t="s">
        <v>2589</v>
      </c>
      <c r="D37" s="80">
        <v>78681.47</v>
      </c>
      <c r="E37" s="80">
        <v>188033.66</v>
      </c>
      <c r="F37" s="80" t="s">
        <v>2740</v>
      </c>
      <c r="G37" s="80" t="s">
        <v>2591</v>
      </c>
      <c r="H37" s="80" t="s">
        <v>2741</v>
      </c>
      <c r="I37" s="80">
        <v>0</v>
      </c>
      <c r="J37" s="80" t="s">
        <v>2559</v>
      </c>
      <c r="K37" s="80" t="s">
        <v>2619</v>
      </c>
      <c r="L37" s="80" t="s">
        <v>2737</v>
      </c>
      <c r="M37" s="80" t="s">
        <v>2742</v>
      </c>
      <c r="N37" s="80">
        <v>670000</v>
      </c>
      <c r="O37" s="80">
        <v>5676.9</v>
      </c>
      <c r="P37" s="80">
        <v>35631.910000000003</v>
      </c>
      <c r="Q37" s="80">
        <v>34</v>
      </c>
      <c r="R37" s="80" t="s">
        <v>2597</v>
      </c>
      <c r="S37" s="75">
        <f t="shared" si="1"/>
        <v>2.39</v>
      </c>
    </row>
    <row r="38" spans="1:20">
      <c r="A38" s="80" t="s">
        <v>2743</v>
      </c>
      <c r="B38" s="80" t="s">
        <v>345</v>
      </c>
      <c r="C38" s="80" t="s">
        <v>2599</v>
      </c>
      <c r="D38" s="80">
        <v>68008.75</v>
      </c>
      <c r="E38" s="80">
        <v>170022</v>
      </c>
      <c r="F38" s="80" t="s">
        <v>2641</v>
      </c>
      <c r="G38" s="80" t="s">
        <v>2591</v>
      </c>
      <c r="H38" s="80" t="s">
        <v>1513</v>
      </c>
      <c r="I38" s="80">
        <v>0</v>
      </c>
      <c r="J38" s="80" t="s">
        <v>2559</v>
      </c>
      <c r="K38" s="80" t="s">
        <v>2672</v>
      </c>
      <c r="L38" s="80" t="s">
        <v>2744</v>
      </c>
      <c r="M38" s="80" t="s">
        <v>2745</v>
      </c>
      <c r="N38" s="80">
        <v>636000</v>
      </c>
      <c r="O38" s="80">
        <v>6234.49</v>
      </c>
      <c r="P38" s="80">
        <v>37406.910000000003</v>
      </c>
      <c r="Q38" s="80">
        <v>29.8</v>
      </c>
      <c r="R38" s="80" t="s">
        <v>2597</v>
      </c>
      <c r="S38" s="75">
        <f t="shared" si="1"/>
        <v>2.5</v>
      </c>
    </row>
    <row r="39" spans="1:20">
      <c r="A39" s="80" t="s">
        <v>2746</v>
      </c>
      <c r="B39" s="80" t="s">
        <v>345</v>
      </c>
      <c r="C39" s="80" t="s">
        <v>2589</v>
      </c>
      <c r="D39" s="80">
        <v>77022.149999999994</v>
      </c>
      <c r="E39" s="80">
        <v>207262</v>
      </c>
      <c r="F39" s="80" t="s">
        <v>2747</v>
      </c>
      <c r="G39" s="80" t="s">
        <v>2591</v>
      </c>
      <c r="H39" s="80" t="s">
        <v>2592</v>
      </c>
      <c r="I39" s="80">
        <v>0</v>
      </c>
      <c r="J39" s="80" t="s">
        <v>2559</v>
      </c>
      <c r="K39" s="80" t="s">
        <v>2672</v>
      </c>
      <c r="L39" s="80" t="s">
        <v>2744</v>
      </c>
      <c r="M39" s="80" t="s">
        <v>2748</v>
      </c>
      <c r="N39" s="80">
        <v>788000</v>
      </c>
      <c r="O39" s="80">
        <v>6820.55</v>
      </c>
      <c r="P39" s="80">
        <v>38019.51</v>
      </c>
      <c r="Q39" s="80">
        <v>34.24</v>
      </c>
      <c r="R39" s="80" t="s">
        <v>2597</v>
      </c>
      <c r="S39" s="75">
        <f t="shared" si="1"/>
        <v>2.69</v>
      </c>
    </row>
    <row r="40" spans="1:20">
      <c r="A40" s="80" t="s">
        <v>2749</v>
      </c>
      <c r="B40" s="80" t="s">
        <v>345</v>
      </c>
      <c r="C40" s="80" t="s">
        <v>2599</v>
      </c>
      <c r="D40" s="80">
        <v>20796</v>
      </c>
      <c r="E40" s="80">
        <v>21836</v>
      </c>
      <c r="F40" s="80" t="s">
        <v>2750</v>
      </c>
      <c r="G40" s="80" t="s">
        <v>2591</v>
      </c>
      <c r="H40" s="80" t="s">
        <v>1513</v>
      </c>
      <c r="I40" s="80">
        <v>0</v>
      </c>
      <c r="J40" s="80" t="s">
        <v>2559</v>
      </c>
      <c r="K40" s="80" t="s">
        <v>2619</v>
      </c>
      <c r="L40" s="80" t="s">
        <v>2751</v>
      </c>
      <c r="M40" s="80" t="s">
        <v>2697</v>
      </c>
      <c r="N40" s="80">
        <v>36000</v>
      </c>
      <c r="O40" s="80">
        <v>1154.07</v>
      </c>
      <c r="P40" s="80">
        <v>16486.54</v>
      </c>
      <c r="Q40" s="80">
        <v>25</v>
      </c>
      <c r="R40" s="80" t="s">
        <v>2626</v>
      </c>
      <c r="S40" s="75">
        <f t="shared" si="1"/>
        <v>1.05</v>
      </c>
    </row>
    <row r="41" spans="1:20">
      <c r="A41" s="80" t="s">
        <v>2752</v>
      </c>
      <c r="B41" s="80" t="s">
        <v>345</v>
      </c>
      <c r="C41" s="80" t="s">
        <v>2589</v>
      </c>
      <c r="D41" s="80">
        <v>165793.17000000001</v>
      </c>
      <c r="E41" s="80">
        <v>381104</v>
      </c>
      <c r="F41" s="80" t="s">
        <v>2753</v>
      </c>
      <c r="G41" s="80" t="s">
        <v>2591</v>
      </c>
      <c r="H41" s="80" t="s">
        <v>2754</v>
      </c>
      <c r="I41" s="80">
        <v>0</v>
      </c>
      <c r="J41" s="80" t="s">
        <v>2559</v>
      </c>
      <c r="K41" s="80" t="s">
        <v>2672</v>
      </c>
      <c r="L41" s="80" t="s">
        <v>2755</v>
      </c>
      <c r="M41" s="80" t="s">
        <v>2756</v>
      </c>
      <c r="N41" s="80">
        <v>420000</v>
      </c>
      <c r="O41" s="80">
        <v>1688.85</v>
      </c>
      <c r="P41" s="80">
        <v>11020.61</v>
      </c>
      <c r="Q41" s="80">
        <v>0</v>
      </c>
      <c r="R41" s="80" t="s">
        <v>2626</v>
      </c>
      <c r="S41" s="75">
        <f t="shared" si="1"/>
        <v>2.2999999999999998</v>
      </c>
    </row>
    <row r="42" spans="1:20" s="78" customFormat="1">
      <c r="A42" s="83" t="s">
        <v>2757</v>
      </c>
      <c r="B42" s="83" t="s">
        <v>345</v>
      </c>
      <c r="C42" s="83" t="s">
        <v>2589</v>
      </c>
      <c r="D42" s="83">
        <v>35805</v>
      </c>
      <c r="E42" s="83">
        <v>71581</v>
      </c>
      <c r="F42" s="83" t="s">
        <v>2758</v>
      </c>
      <c r="G42" s="83" t="s">
        <v>2591</v>
      </c>
      <c r="H42" s="83" t="s">
        <v>2592</v>
      </c>
      <c r="I42" s="83">
        <v>0</v>
      </c>
      <c r="J42" s="83" t="s">
        <v>2559</v>
      </c>
      <c r="K42" s="83" t="s">
        <v>2632</v>
      </c>
      <c r="L42" s="83" t="s">
        <v>2759</v>
      </c>
      <c r="M42" s="83" t="s">
        <v>2760</v>
      </c>
      <c r="N42" s="83">
        <v>85000</v>
      </c>
      <c r="O42" s="83">
        <v>1582.65</v>
      </c>
      <c r="P42" s="83">
        <v>11874.65</v>
      </c>
      <c r="Q42" s="83">
        <v>10.39</v>
      </c>
      <c r="R42" s="83" t="s">
        <v>2606</v>
      </c>
      <c r="S42" s="83">
        <f t="shared" si="1"/>
        <v>2</v>
      </c>
      <c r="T42" s="78">
        <v>29000</v>
      </c>
    </row>
    <row r="43" spans="1:20">
      <c r="A43" s="80" t="s">
        <v>2761</v>
      </c>
      <c r="B43" s="80" t="s">
        <v>345</v>
      </c>
      <c r="C43" s="80" t="s">
        <v>2589</v>
      </c>
      <c r="D43" s="80">
        <v>42541.4</v>
      </c>
      <c r="E43" s="80">
        <v>108921.52</v>
      </c>
      <c r="F43" s="80" t="s">
        <v>2747</v>
      </c>
      <c r="G43" s="80" t="s">
        <v>2591</v>
      </c>
      <c r="H43" s="80" t="s">
        <v>2592</v>
      </c>
      <c r="I43" s="80">
        <v>0</v>
      </c>
      <c r="J43" s="80" t="s">
        <v>2559</v>
      </c>
      <c r="K43" s="80" t="s">
        <v>2672</v>
      </c>
      <c r="L43" s="80" t="s">
        <v>2762</v>
      </c>
      <c r="M43" s="80" t="s">
        <v>2763</v>
      </c>
      <c r="N43" s="80">
        <v>307000</v>
      </c>
      <c r="O43" s="80">
        <v>4811</v>
      </c>
      <c r="P43" s="80">
        <v>28185.43</v>
      </c>
      <c r="Q43" s="80">
        <v>5.14</v>
      </c>
      <c r="R43" s="80" t="s">
        <v>2597</v>
      </c>
      <c r="S43" s="75">
        <f t="shared" si="1"/>
        <v>2.56</v>
      </c>
    </row>
    <row r="44" spans="1:20">
      <c r="A44" s="80" t="s">
        <v>2764</v>
      </c>
      <c r="B44" s="80" t="s">
        <v>345</v>
      </c>
      <c r="C44" s="80" t="s">
        <v>2599</v>
      </c>
      <c r="D44" s="80">
        <v>54735.8</v>
      </c>
      <c r="E44" s="80">
        <v>153260.24</v>
      </c>
      <c r="F44" s="80" t="s">
        <v>2600</v>
      </c>
      <c r="G44" s="80" t="s">
        <v>2591</v>
      </c>
      <c r="H44" s="80" t="s">
        <v>1513</v>
      </c>
      <c r="I44" s="80">
        <v>0</v>
      </c>
      <c r="J44" s="80" t="s">
        <v>2559</v>
      </c>
      <c r="K44" s="80" t="s">
        <v>2672</v>
      </c>
      <c r="L44" s="80" t="s">
        <v>2762</v>
      </c>
      <c r="M44" s="80" t="s">
        <v>2765</v>
      </c>
      <c r="N44" s="80">
        <v>428150</v>
      </c>
      <c r="O44" s="80">
        <v>5214.75</v>
      </c>
      <c r="P44" s="80">
        <v>27936.13</v>
      </c>
      <c r="Q44" s="80">
        <v>0.5</v>
      </c>
      <c r="R44" s="80" t="s">
        <v>2606</v>
      </c>
      <c r="S44" s="75">
        <f t="shared" si="1"/>
        <v>2.8</v>
      </c>
    </row>
    <row r="45" spans="1:20">
      <c r="A45" s="80" t="s">
        <v>2766</v>
      </c>
      <c r="B45" s="80" t="s">
        <v>345</v>
      </c>
      <c r="C45" s="80" t="s">
        <v>2589</v>
      </c>
      <c r="D45" s="80">
        <v>58822.99</v>
      </c>
      <c r="E45" s="80">
        <v>97871</v>
      </c>
      <c r="F45" s="80" t="s">
        <v>2767</v>
      </c>
      <c r="G45" s="80" t="s">
        <v>2591</v>
      </c>
      <c r="H45" s="80" t="s">
        <v>2592</v>
      </c>
      <c r="I45" s="80">
        <v>0</v>
      </c>
      <c r="J45" s="80" t="s">
        <v>2559</v>
      </c>
      <c r="K45" s="80" t="s">
        <v>2672</v>
      </c>
      <c r="L45" s="80" t="s">
        <v>2768</v>
      </c>
      <c r="M45" s="80" t="s">
        <v>2769</v>
      </c>
      <c r="N45" s="80">
        <v>203000</v>
      </c>
      <c r="O45" s="80">
        <v>2300.69</v>
      </c>
      <c r="P45" s="80">
        <v>20741.59</v>
      </c>
      <c r="Q45" s="80">
        <v>12.15</v>
      </c>
      <c r="R45" s="80" t="s">
        <v>2626</v>
      </c>
      <c r="S45" s="75">
        <f t="shared" si="1"/>
        <v>1.66</v>
      </c>
    </row>
    <row r="46" spans="1:20">
      <c r="A46" s="80" t="s">
        <v>2770</v>
      </c>
      <c r="B46" s="80" t="s">
        <v>345</v>
      </c>
      <c r="C46" s="80" t="s">
        <v>2589</v>
      </c>
      <c r="D46" s="80">
        <v>56722.42</v>
      </c>
      <c r="E46" s="80">
        <v>124449</v>
      </c>
      <c r="F46" s="80" t="s">
        <v>2771</v>
      </c>
      <c r="G46" s="80" t="s">
        <v>2591</v>
      </c>
      <c r="H46" s="80" t="s">
        <v>2772</v>
      </c>
      <c r="I46" s="80">
        <v>0</v>
      </c>
      <c r="J46" s="80" t="s">
        <v>2559</v>
      </c>
      <c r="K46" s="80" t="s">
        <v>2672</v>
      </c>
      <c r="L46" s="80" t="s">
        <v>2768</v>
      </c>
      <c r="M46" s="80" t="s">
        <v>2773</v>
      </c>
      <c r="N46" s="80">
        <v>443000</v>
      </c>
      <c r="O46" s="80">
        <v>5206.6400000000003</v>
      </c>
      <c r="P46" s="80">
        <v>35596.910000000003</v>
      </c>
      <c r="Q46" s="80">
        <v>34.24</v>
      </c>
      <c r="R46" s="80" t="s">
        <v>2597</v>
      </c>
      <c r="S46" s="75">
        <f t="shared" si="1"/>
        <v>2.19</v>
      </c>
    </row>
    <row r="47" spans="1:20">
      <c r="A47" s="80" t="s">
        <v>2774</v>
      </c>
      <c r="B47" s="80" t="s">
        <v>345</v>
      </c>
      <c r="C47" s="80" t="s">
        <v>2589</v>
      </c>
      <c r="D47" s="80">
        <v>88404.4</v>
      </c>
      <c r="E47" s="80">
        <v>173209</v>
      </c>
      <c r="F47" s="80" t="s">
        <v>2775</v>
      </c>
      <c r="G47" s="80" t="s">
        <v>2591</v>
      </c>
      <c r="H47" s="80" t="s">
        <v>2592</v>
      </c>
      <c r="I47" s="80">
        <v>0</v>
      </c>
      <c r="J47" s="80" t="s">
        <v>2559</v>
      </c>
      <c r="K47" s="80" t="s">
        <v>2776</v>
      </c>
      <c r="L47" s="80" t="s">
        <v>2777</v>
      </c>
      <c r="M47" s="80" t="s">
        <v>2778</v>
      </c>
      <c r="N47" s="80">
        <v>330000</v>
      </c>
      <c r="O47" s="80">
        <v>2488.56</v>
      </c>
      <c r="P47" s="80">
        <v>19052.13</v>
      </c>
      <c r="Q47" s="80">
        <v>0</v>
      </c>
      <c r="R47" s="80" t="s">
        <v>2626</v>
      </c>
      <c r="S47" s="75">
        <f t="shared" si="1"/>
        <v>1.96</v>
      </c>
    </row>
    <row r="48" spans="1:20">
      <c r="A48" s="80" t="s">
        <v>2779</v>
      </c>
      <c r="B48" s="80" t="s">
        <v>345</v>
      </c>
      <c r="C48" s="80" t="s">
        <v>2599</v>
      </c>
      <c r="D48" s="80">
        <v>45889.5</v>
      </c>
      <c r="E48" s="80">
        <v>100957</v>
      </c>
      <c r="F48" s="80" t="s">
        <v>2780</v>
      </c>
      <c r="G48" s="80" t="s">
        <v>2591</v>
      </c>
      <c r="H48" s="80" t="s">
        <v>1513</v>
      </c>
      <c r="I48" s="80">
        <v>0</v>
      </c>
      <c r="J48" s="80" t="s">
        <v>2559</v>
      </c>
      <c r="K48" s="80" t="s">
        <v>2672</v>
      </c>
      <c r="L48" s="80" t="s">
        <v>2777</v>
      </c>
      <c r="M48" s="80" t="s">
        <v>2692</v>
      </c>
      <c r="N48" s="80">
        <v>327000</v>
      </c>
      <c r="O48" s="80">
        <v>4750.54</v>
      </c>
      <c r="P48" s="80">
        <v>32390.02</v>
      </c>
      <c r="Q48" s="80">
        <v>25.77</v>
      </c>
      <c r="R48" s="80" t="s">
        <v>2606</v>
      </c>
      <c r="S48" s="75">
        <f t="shared" si="1"/>
        <v>2.2000000000000002</v>
      </c>
    </row>
    <row r="49" spans="1:20" s="78" customFormat="1">
      <c r="A49" s="83" t="s">
        <v>2781</v>
      </c>
      <c r="B49" s="83" t="s">
        <v>345</v>
      </c>
      <c r="C49" s="83" t="s">
        <v>2589</v>
      </c>
      <c r="D49" s="83">
        <v>47891.78</v>
      </c>
      <c r="E49" s="83">
        <v>108059</v>
      </c>
      <c r="F49" s="83" t="s">
        <v>2636</v>
      </c>
      <c r="G49" s="83" t="s">
        <v>2591</v>
      </c>
      <c r="H49" s="83" t="s">
        <v>2662</v>
      </c>
      <c r="I49" s="83">
        <v>0</v>
      </c>
      <c r="J49" s="83" t="s">
        <v>2559</v>
      </c>
      <c r="K49" s="83" t="s">
        <v>2632</v>
      </c>
      <c r="L49" s="83" t="s">
        <v>2782</v>
      </c>
      <c r="M49" s="83" t="s">
        <v>2783</v>
      </c>
      <c r="N49" s="83">
        <v>151283</v>
      </c>
      <c r="O49" s="83">
        <v>2105.9</v>
      </c>
      <c r="P49" s="83">
        <v>14000.04</v>
      </c>
      <c r="Q49" s="83">
        <v>0</v>
      </c>
      <c r="R49" s="83" t="s">
        <v>2606</v>
      </c>
      <c r="S49" s="83">
        <f t="shared" si="1"/>
        <v>2.2599999999999998</v>
      </c>
      <c r="T49" s="78">
        <v>29000</v>
      </c>
    </row>
    <row r="50" spans="1:20">
      <c r="A50" s="80" t="s">
        <v>2784</v>
      </c>
      <c r="B50" s="80" t="s">
        <v>345</v>
      </c>
      <c r="C50" s="80" t="s">
        <v>2589</v>
      </c>
      <c r="D50" s="80">
        <v>146640.21</v>
      </c>
      <c r="E50" s="80">
        <v>288410</v>
      </c>
      <c r="F50" s="80" t="s">
        <v>2775</v>
      </c>
      <c r="G50" s="80" t="s">
        <v>2591</v>
      </c>
      <c r="H50" s="80" t="s">
        <v>2592</v>
      </c>
      <c r="I50" s="80">
        <v>0</v>
      </c>
      <c r="J50" s="80" t="s">
        <v>2559</v>
      </c>
      <c r="K50" s="80" t="s">
        <v>2672</v>
      </c>
      <c r="L50" s="80" t="s">
        <v>2785</v>
      </c>
      <c r="M50" s="80" t="s">
        <v>2786</v>
      </c>
      <c r="N50" s="80">
        <v>430000</v>
      </c>
      <c r="O50" s="80">
        <v>1954.9</v>
      </c>
      <c r="P50" s="80">
        <v>14909.32</v>
      </c>
      <c r="Q50" s="80">
        <v>0</v>
      </c>
      <c r="R50" s="80" t="s">
        <v>2626</v>
      </c>
      <c r="S50" s="75">
        <f t="shared" si="1"/>
        <v>1.97</v>
      </c>
    </row>
    <row r="51" spans="1:20">
      <c r="A51" s="80" t="s">
        <v>2787</v>
      </c>
      <c r="B51" s="80" t="s">
        <v>345</v>
      </c>
      <c r="C51" s="80" t="s">
        <v>2599</v>
      </c>
      <c r="D51" s="80">
        <v>96884.68</v>
      </c>
      <c r="E51" s="80">
        <v>145327</v>
      </c>
      <c r="F51" s="80" t="s">
        <v>2788</v>
      </c>
      <c r="G51" s="80" t="s">
        <v>2591</v>
      </c>
      <c r="H51" s="80" t="s">
        <v>1513</v>
      </c>
      <c r="I51" s="80">
        <v>0</v>
      </c>
      <c r="J51" s="80" t="s">
        <v>2559</v>
      </c>
      <c r="K51" s="80" t="s">
        <v>2789</v>
      </c>
      <c r="L51" s="80" t="s">
        <v>2790</v>
      </c>
      <c r="M51" s="80" t="s">
        <v>2791</v>
      </c>
      <c r="N51" s="80">
        <v>410000</v>
      </c>
      <c r="O51" s="80">
        <v>2821.22</v>
      </c>
      <c r="P51" s="80">
        <v>28212.240000000002</v>
      </c>
      <c r="Q51" s="80">
        <v>20.59</v>
      </c>
      <c r="R51" s="80" t="s">
        <v>2626</v>
      </c>
      <c r="S51" s="75">
        <f t="shared" si="1"/>
        <v>1.5</v>
      </c>
    </row>
    <row r="52" spans="1:20">
      <c r="A52" s="80" t="s">
        <v>2792</v>
      </c>
      <c r="B52" s="80" t="s">
        <v>345</v>
      </c>
      <c r="C52" s="80" t="s">
        <v>2599</v>
      </c>
      <c r="D52" s="80">
        <v>36478.1</v>
      </c>
      <c r="E52" s="80">
        <v>80251.820000000007</v>
      </c>
      <c r="F52" s="80" t="s">
        <v>2780</v>
      </c>
      <c r="G52" s="80" t="s">
        <v>2591</v>
      </c>
      <c r="H52" s="80" t="s">
        <v>1513</v>
      </c>
      <c r="I52" s="80">
        <v>0</v>
      </c>
      <c r="J52" s="80" t="s">
        <v>2559</v>
      </c>
      <c r="K52" s="80" t="s">
        <v>2672</v>
      </c>
      <c r="L52" s="80" t="s">
        <v>2793</v>
      </c>
      <c r="M52" s="80" t="s">
        <v>2794</v>
      </c>
      <c r="N52" s="80">
        <v>318000</v>
      </c>
      <c r="O52" s="80">
        <v>5811.71</v>
      </c>
      <c r="P52" s="80">
        <v>39625.26</v>
      </c>
      <c r="Q52" s="80">
        <v>41.33</v>
      </c>
      <c r="R52" s="80" t="s">
        <v>2606</v>
      </c>
      <c r="S52" s="75">
        <f t="shared" si="1"/>
        <v>2.2000000000000002</v>
      </c>
    </row>
    <row r="53" spans="1:20">
      <c r="A53" s="80" t="s">
        <v>2795</v>
      </c>
      <c r="B53" s="80" t="s">
        <v>345</v>
      </c>
      <c r="C53" s="80" t="s">
        <v>2599</v>
      </c>
      <c r="D53" s="80">
        <v>35704</v>
      </c>
      <c r="E53" s="80">
        <v>78548.800000000003</v>
      </c>
      <c r="F53" s="80" t="s">
        <v>2780</v>
      </c>
      <c r="G53" s="80" t="s">
        <v>2591</v>
      </c>
      <c r="H53" s="80" t="s">
        <v>1513</v>
      </c>
      <c r="I53" s="80">
        <v>0</v>
      </c>
      <c r="J53" s="80" t="s">
        <v>2559</v>
      </c>
      <c r="K53" s="80" t="s">
        <v>2672</v>
      </c>
      <c r="L53" s="80" t="s">
        <v>2793</v>
      </c>
      <c r="M53" s="80" t="s">
        <v>2796</v>
      </c>
      <c r="N53" s="80">
        <v>306000</v>
      </c>
      <c r="O53" s="80">
        <v>5713.65</v>
      </c>
      <c r="P53" s="80">
        <v>38956.660000000003</v>
      </c>
      <c r="Q53" s="80">
        <v>39.090000000000003</v>
      </c>
      <c r="R53" s="80" t="s">
        <v>2606</v>
      </c>
      <c r="S53" s="75">
        <f t="shared" si="1"/>
        <v>2.2000000000000002</v>
      </c>
    </row>
    <row r="54" spans="1:20">
      <c r="A54" s="80" t="s">
        <v>2797</v>
      </c>
      <c r="B54" s="80" t="s">
        <v>345</v>
      </c>
      <c r="C54" s="80" t="s">
        <v>2589</v>
      </c>
      <c r="D54" s="80">
        <v>26109.25</v>
      </c>
      <c r="E54" s="80">
        <v>57268</v>
      </c>
      <c r="F54" s="80" t="s">
        <v>2798</v>
      </c>
      <c r="G54" s="80" t="s">
        <v>2591</v>
      </c>
      <c r="H54" s="80" t="s">
        <v>2799</v>
      </c>
      <c r="I54" s="80">
        <v>0</v>
      </c>
      <c r="J54" s="80" t="s">
        <v>2559</v>
      </c>
      <c r="K54" s="80" t="s">
        <v>2776</v>
      </c>
      <c r="L54" s="80" t="s">
        <v>2800</v>
      </c>
      <c r="M54" s="80" t="s">
        <v>2801</v>
      </c>
      <c r="N54" s="80">
        <v>102000</v>
      </c>
      <c r="O54" s="80">
        <v>2604.44</v>
      </c>
      <c r="P54" s="80">
        <v>17810.990000000002</v>
      </c>
      <c r="Q54" s="80">
        <v>20.14</v>
      </c>
      <c r="R54" s="80" t="s">
        <v>2597</v>
      </c>
      <c r="S54" s="75">
        <f t="shared" si="1"/>
        <v>2.19</v>
      </c>
    </row>
    <row r="55" spans="1:20">
      <c r="A55" s="80" t="s">
        <v>2802</v>
      </c>
      <c r="B55" s="80" t="s">
        <v>345</v>
      </c>
      <c r="C55" s="80" t="s">
        <v>2589</v>
      </c>
      <c r="D55" s="80">
        <v>79276.91</v>
      </c>
      <c r="E55" s="80">
        <v>177023</v>
      </c>
      <c r="F55" s="80" t="s">
        <v>2803</v>
      </c>
      <c r="G55" s="80" t="s">
        <v>2591</v>
      </c>
      <c r="H55" s="80" t="s">
        <v>2804</v>
      </c>
      <c r="I55" s="80">
        <v>0</v>
      </c>
      <c r="J55" s="80" t="s">
        <v>2559</v>
      </c>
      <c r="K55" s="80" t="s">
        <v>2672</v>
      </c>
      <c r="L55" s="80" t="s">
        <v>2805</v>
      </c>
      <c r="M55" s="80" t="s">
        <v>2692</v>
      </c>
      <c r="N55" s="80">
        <v>444000</v>
      </c>
      <c r="O55" s="80">
        <v>3733.75</v>
      </c>
      <c r="P55" s="80">
        <v>25081.49</v>
      </c>
      <c r="Q55" s="80">
        <v>21.64</v>
      </c>
      <c r="R55" s="80" t="s">
        <v>2606</v>
      </c>
      <c r="S55" s="75">
        <f t="shared" si="1"/>
        <v>2.23</v>
      </c>
    </row>
    <row r="56" spans="1:20">
      <c r="A56" s="80" t="s">
        <v>2806</v>
      </c>
      <c r="B56" s="80" t="s">
        <v>345</v>
      </c>
      <c r="C56" s="80" t="s">
        <v>2589</v>
      </c>
      <c r="D56" s="80">
        <v>34940.019999999997</v>
      </c>
      <c r="E56" s="80">
        <v>94338</v>
      </c>
      <c r="F56" s="80">
        <v>2.7</v>
      </c>
      <c r="G56" s="80" t="s">
        <v>2591</v>
      </c>
      <c r="H56" s="80" t="s">
        <v>2807</v>
      </c>
      <c r="I56" s="80">
        <v>0</v>
      </c>
      <c r="J56" s="80" t="s">
        <v>2559</v>
      </c>
      <c r="K56" s="80" t="s">
        <v>2672</v>
      </c>
      <c r="L56" s="80" t="s">
        <v>2805</v>
      </c>
      <c r="M56" s="80" t="s">
        <v>2808</v>
      </c>
      <c r="N56" s="80">
        <v>246000</v>
      </c>
      <c r="O56" s="80">
        <v>4693.76</v>
      </c>
      <c r="P56" s="80">
        <v>26076.45</v>
      </c>
      <c r="Q56" s="80">
        <v>17.14</v>
      </c>
      <c r="R56" s="80" t="s">
        <v>2597</v>
      </c>
      <c r="S56" s="75">
        <f t="shared" si="1"/>
        <v>2.7</v>
      </c>
    </row>
    <row r="57" spans="1:20">
      <c r="A57" s="80" t="s">
        <v>2809</v>
      </c>
      <c r="B57" s="80" t="s">
        <v>345</v>
      </c>
      <c r="C57" s="80" t="s">
        <v>2589</v>
      </c>
      <c r="D57" s="80">
        <v>50699.839999999997</v>
      </c>
      <c r="E57" s="80">
        <v>133434</v>
      </c>
      <c r="F57" s="80" t="s">
        <v>2810</v>
      </c>
      <c r="G57" s="80" t="s">
        <v>2591</v>
      </c>
      <c r="H57" s="80" t="s">
        <v>2811</v>
      </c>
      <c r="I57" s="80">
        <v>0</v>
      </c>
      <c r="J57" s="80" t="s">
        <v>2559</v>
      </c>
      <c r="K57" s="80" t="s">
        <v>2776</v>
      </c>
      <c r="L57" s="80" t="s">
        <v>2812</v>
      </c>
      <c r="M57" s="80" t="s">
        <v>2813</v>
      </c>
      <c r="N57" s="80">
        <v>160000</v>
      </c>
      <c r="O57" s="80">
        <v>2103.89</v>
      </c>
      <c r="P57" s="80">
        <v>11990.95</v>
      </c>
      <c r="Q57" s="80">
        <v>0</v>
      </c>
      <c r="R57" s="80" t="s">
        <v>2597</v>
      </c>
      <c r="S57" s="75">
        <f t="shared" si="1"/>
        <v>2.63</v>
      </c>
    </row>
    <row r="58" spans="1:20">
      <c r="A58" s="80" t="s">
        <v>2814</v>
      </c>
      <c r="B58" s="80" t="s">
        <v>345</v>
      </c>
      <c r="C58" s="80" t="s">
        <v>2589</v>
      </c>
      <c r="D58" s="80">
        <v>121729.8</v>
      </c>
      <c r="E58" s="80">
        <v>327948</v>
      </c>
      <c r="F58" s="80">
        <v>2.69</v>
      </c>
      <c r="G58" s="80" t="s">
        <v>2591</v>
      </c>
      <c r="H58" s="80" t="s">
        <v>2815</v>
      </c>
      <c r="I58" s="80">
        <v>0</v>
      </c>
      <c r="J58" s="80" t="s">
        <v>2559</v>
      </c>
      <c r="K58" s="80" t="s">
        <v>2672</v>
      </c>
      <c r="L58" s="80" t="s">
        <v>2816</v>
      </c>
      <c r="M58" s="80" t="s">
        <v>2817</v>
      </c>
      <c r="N58" s="80">
        <v>690000</v>
      </c>
      <c r="O58" s="80">
        <v>3778.86</v>
      </c>
      <c r="P58" s="80">
        <v>21039.91</v>
      </c>
      <c r="Q58" s="80">
        <v>13.23</v>
      </c>
      <c r="R58" s="80" t="s">
        <v>2597</v>
      </c>
      <c r="S58" s="75">
        <f t="shared" si="1"/>
        <v>2.69</v>
      </c>
    </row>
    <row r="59" spans="1:20">
      <c r="A59" s="80" t="s">
        <v>2818</v>
      </c>
      <c r="B59" s="80" t="s">
        <v>345</v>
      </c>
      <c r="C59" s="80" t="s">
        <v>2599</v>
      </c>
      <c r="D59" s="80">
        <v>21403.13</v>
      </c>
      <c r="E59" s="80">
        <v>38526</v>
      </c>
      <c r="F59" s="80">
        <v>1.8</v>
      </c>
      <c r="G59" s="80" t="s">
        <v>2591</v>
      </c>
      <c r="H59" s="80" t="s">
        <v>1513</v>
      </c>
      <c r="I59" s="80">
        <v>0</v>
      </c>
      <c r="J59" s="80" t="s">
        <v>2559</v>
      </c>
      <c r="K59" s="80" t="s">
        <v>2672</v>
      </c>
      <c r="L59" s="80" t="s">
        <v>2819</v>
      </c>
      <c r="M59" s="80" t="s">
        <v>2820</v>
      </c>
      <c r="N59" s="80">
        <v>92000</v>
      </c>
      <c r="O59" s="80">
        <v>2865.62</v>
      </c>
      <c r="P59" s="80">
        <v>23879.97</v>
      </c>
      <c r="Q59" s="80">
        <v>29.58</v>
      </c>
      <c r="R59" s="80" t="s">
        <v>2606</v>
      </c>
      <c r="S59" s="75">
        <f t="shared" si="1"/>
        <v>1.8</v>
      </c>
    </row>
    <row r="60" spans="1:20">
      <c r="A60" s="80" t="s">
        <v>2821</v>
      </c>
      <c r="B60" s="80" t="s">
        <v>345</v>
      </c>
      <c r="C60" s="80" t="s">
        <v>2599</v>
      </c>
      <c r="D60" s="80">
        <v>43325.9</v>
      </c>
      <c r="E60" s="80">
        <v>64988</v>
      </c>
      <c r="F60" s="80">
        <v>1.5</v>
      </c>
      <c r="G60" s="80" t="s">
        <v>2591</v>
      </c>
      <c r="H60" s="80" t="s">
        <v>1513</v>
      </c>
      <c r="I60" s="80">
        <v>0</v>
      </c>
      <c r="J60" s="80" t="s">
        <v>2559</v>
      </c>
      <c r="K60" s="80" t="s">
        <v>2789</v>
      </c>
      <c r="L60" s="80" t="s">
        <v>2819</v>
      </c>
      <c r="M60" s="80" t="s">
        <v>2822</v>
      </c>
      <c r="N60" s="80">
        <v>204000</v>
      </c>
      <c r="O60" s="80">
        <v>3139</v>
      </c>
      <c r="P60" s="80">
        <v>31390.400000000001</v>
      </c>
      <c r="Q60" s="80">
        <v>7.37</v>
      </c>
      <c r="R60" s="80" t="s">
        <v>2626</v>
      </c>
      <c r="S60" s="75">
        <f t="shared" si="1"/>
        <v>1.5</v>
      </c>
    </row>
    <row r="61" spans="1:20">
      <c r="A61" s="80" t="s">
        <v>2823</v>
      </c>
      <c r="B61" s="80" t="s">
        <v>345</v>
      </c>
      <c r="C61" s="80" t="s">
        <v>2589</v>
      </c>
      <c r="D61" s="80">
        <v>28367.279999999999</v>
      </c>
      <c r="E61" s="80">
        <v>42028</v>
      </c>
      <c r="F61" s="80">
        <v>1.48</v>
      </c>
      <c r="G61" s="80" t="s">
        <v>2591</v>
      </c>
      <c r="H61" s="80" t="s">
        <v>2592</v>
      </c>
      <c r="I61" s="80">
        <v>0</v>
      </c>
      <c r="J61" s="80" t="s">
        <v>2559</v>
      </c>
      <c r="K61" s="80" t="s">
        <v>2672</v>
      </c>
      <c r="L61" s="80" t="s">
        <v>2824</v>
      </c>
      <c r="M61" s="80" t="s">
        <v>2825</v>
      </c>
      <c r="N61" s="80">
        <v>88500</v>
      </c>
      <c r="O61" s="80">
        <v>2079.86</v>
      </c>
      <c r="P61" s="80">
        <v>21057.38</v>
      </c>
      <c r="Q61" s="80">
        <v>16.45</v>
      </c>
      <c r="R61" s="80" t="s">
        <v>2606</v>
      </c>
      <c r="S61" s="75">
        <f t="shared" si="1"/>
        <v>1.48</v>
      </c>
    </row>
    <row r="62" spans="1:20">
      <c r="A62" s="80" t="s">
        <v>2826</v>
      </c>
      <c r="B62" s="80" t="s">
        <v>345</v>
      </c>
      <c r="C62" s="80" t="s">
        <v>2589</v>
      </c>
      <c r="D62" s="80">
        <v>69856.02</v>
      </c>
      <c r="E62" s="80">
        <v>104180</v>
      </c>
      <c r="F62" s="80">
        <v>1.49</v>
      </c>
      <c r="G62" s="80" t="s">
        <v>2591</v>
      </c>
      <c r="H62" s="80" t="s">
        <v>2827</v>
      </c>
      <c r="I62" s="80">
        <v>0</v>
      </c>
      <c r="J62" s="80" t="s">
        <v>2559</v>
      </c>
      <c r="K62" s="80" t="s">
        <v>2672</v>
      </c>
      <c r="L62" s="80" t="s">
        <v>2824</v>
      </c>
      <c r="M62" s="80" t="s">
        <v>2828</v>
      </c>
      <c r="N62" s="80">
        <v>233000</v>
      </c>
      <c r="O62" s="80">
        <v>2223.62</v>
      </c>
      <c r="P62" s="80">
        <v>22365.13</v>
      </c>
      <c r="Q62" s="80">
        <v>22.63</v>
      </c>
      <c r="R62" s="80" t="s">
        <v>2606</v>
      </c>
      <c r="S62" s="75">
        <f t="shared" si="1"/>
        <v>1.49</v>
      </c>
    </row>
    <row r="63" spans="1:20">
      <c r="A63" s="80" t="s">
        <v>2829</v>
      </c>
      <c r="B63" s="80" t="s">
        <v>345</v>
      </c>
      <c r="C63" s="80" t="s">
        <v>2599</v>
      </c>
      <c r="D63" s="80">
        <v>54637.78</v>
      </c>
      <c r="E63" s="80">
        <v>57370</v>
      </c>
      <c r="F63" s="80">
        <v>1.05</v>
      </c>
      <c r="G63" s="80" t="s">
        <v>2591</v>
      </c>
      <c r="H63" s="80" t="s">
        <v>1513</v>
      </c>
      <c r="I63" s="80">
        <v>0</v>
      </c>
      <c r="J63" s="80" t="s">
        <v>2559</v>
      </c>
      <c r="K63" s="80" t="s">
        <v>2789</v>
      </c>
      <c r="L63" s="80" t="s">
        <v>2830</v>
      </c>
      <c r="M63" s="80" t="s">
        <v>2831</v>
      </c>
      <c r="N63" s="80">
        <v>94000</v>
      </c>
      <c r="O63" s="80">
        <v>1146.95</v>
      </c>
      <c r="P63" s="80">
        <v>16384.86</v>
      </c>
      <c r="Q63" s="80">
        <v>27.11</v>
      </c>
      <c r="R63" s="80" t="s">
        <v>2626</v>
      </c>
      <c r="S63" s="75">
        <f t="shared" si="1"/>
        <v>1.05</v>
      </c>
    </row>
    <row r="64" spans="1:20" s="78" customFormat="1">
      <c r="A64" s="83" t="s">
        <v>2832</v>
      </c>
      <c r="B64" s="83" t="s">
        <v>345</v>
      </c>
      <c r="C64" s="83" t="s">
        <v>2599</v>
      </c>
      <c r="D64" s="83">
        <v>41663.440000000002</v>
      </c>
      <c r="E64" s="83">
        <v>70828</v>
      </c>
      <c r="F64" s="83">
        <v>1.7</v>
      </c>
      <c r="G64" s="83" t="s">
        <v>2591</v>
      </c>
      <c r="H64" s="83" t="s">
        <v>1513</v>
      </c>
      <c r="I64" s="83">
        <v>0</v>
      </c>
      <c r="J64" s="83" t="s">
        <v>2559</v>
      </c>
      <c r="K64" s="83" t="s">
        <v>2632</v>
      </c>
      <c r="L64" s="83" t="s">
        <v>2830</v>
      </c>
      <c r="M64" s="83" t="s">
        <v>2833</v>
      </c>
      <c r="N64" s="83">
        <v>77900</v>
      </c>
      <c r="O64" s="83">
        <v>1246.5</v>
      </c>
      <c r="P64" s="83">
        <v>10998.47</v>
      </c>
      <c r="Q64" s="83">
        <v>1.56</v>
      </c>
      <c r="R64" s="83" t="s">
        <v>2606</v>
      </c>
      <c r="S64" s="77">
        <f t="shared" si="1"/>
        <v>1.7</v>
      </c>
      <c r="T64" s="78">
        <v>24000</v>
      </c>
    </row>
    <row r="65" spans="1:20">
      <c r="A65" s="80" t="s">
        <v>2834</v>
      </c>
      <c r="B65" s="80" t="s">
        <v>345</v>
      </c>
      <c r="C65" s="80" t="s">
        <v>2599</v>
      </c>
      <c r="D65" s="80">
        <v>87590.77</v>
      </c>
      <c r="E65" s="80">
        <v>91970</v>
      </c>
      <c r="F65" s="80">
        <v>1.05</v>
      </c>
      <c r="G65" s="80" t="s">
        <v>2591</v>
      </c>
      <c r="H65" s="80" t="s">
        <v>1513</v>
      </c>
      <c r="I65" s="80">
        <v>0</v>
      </c>
      <c r="J65" s="80" t="s">
        <v>2559</v>
      </c>
      <c r="K65" s="80" t="s">
        <v>2835</v>
      </c>
      <c r="L65" s="80" t="s">
        <v>2830</v>
      </c>
      <c r="M65" s="80" t="s">
        <v>2836</v>
      </c>
      <c r="N65" s="80">
        <v>177000</v>
      </c>
      <c r="O65" s="80">
        <v>1347.17</v>
      </c>
      <c r="P65" s="80">
        <v>19245.400000000001</v>
      </c>
      <c r="Q65" s="80">
        <v>49.3</v>
      </c>
      <c r="R65" s="80" t="s">
        <v>2626</v>
      </c>
      <c r="S65" s="75">
        <f t="shared" si="1"/>
        <v>1.05</v>
      </c>
    </row>
    <row r="66" spans="1:20">
      <c r="A66" s="80" t="s">
        <v>2837</v>
      </c>
      <c r="B66" s="80" t="s">
        <v>345</v>
      </c>
      <c r="C66" s="80" t="s">
        <v>2599</v>
      </c>
      <c r="D66" s="80">
        <v>66475.23</v>
      </c>
      <c r="E66" s="80">
        <v>132950</v>
      </c>
      <c r="F66" s="80">
        <v>2</v>
      </c>
      <c r="G66" s="80" t="s">
        <v>2591</v>
      </c>
      <c r="H66" s="80" t="s">
        <v>1513</v>
      </c>
      <c r="I66" s="80">
        <v>0</v>
      </c>
      <c r="J66" s="80" t="s">
        <v>2559</v>
      </c>
      <c r="K66" s="80" t="s">
        <v>2672</v>
      </c>
      <c r="L66" s="80" t="s">
        <v>2830</v>
      </c>
      <c r="M66" s="80" t="s">
        <v>2838</v>
      </c>
      <c r="N66" s="80">
        <v>450000</v>
      </c>
      <c r="O66" s="80">
        <v>4512.96</v>
      </c>
      <c r="P66" s="80">
        <v>33847.300000000003</v>
      </c>
      <c r="Q66" s="80">
        <v>18.420000000000002</v>
      </c>
      <c r="R66" s="80" t="s">
        <v>2606</v>
      </c>
      <c r="S66" s="75">
        <f t="shared" si="1"/>
        <v>2</v>
      </c>
    </row>
    <row r="67" spans="1:20" s="78" customFormat="1">
      <c r="A67" s="83" t="s">
        <v>2839</v>
      </c>
      <c r="B67" s="83" t="s">
        <v>345</v>
      </c>
      <c r="C67" s="83" t="s">
        <v>2589</v>
      </c>
      <c r="D67" s="83">
        <v>76571.12</v>
      </c>
      <c r="E67" s="83">
        <v>132728</v>
      </c>
      <c r="F67" s="83">
        <v>1.73</v>
      </c>
      <c r="G67" s="83" t="s">
        <v>2591</v>
      </c>
      <c r="H67" s="83" t="s">
        <v>2592</v>
      </c>
      <c r="I67" s="83">
        <v>0</v>
      </c>
      <c r="J67" s="83" t="s">
        <v>2559</v>
      </c>
      <c r="K67" s="83" t="s">
        <v>2632</v>
      </c>
      <c r="L67" s="83" t="s">
        <v>2830</v>
      </c>
      <c r="M67" s="83" t="s">
        <v>2840</v>
      </c>
      <c r="N67" s="83">
        <v>194500</v>
      </c>
      <c r="O67" s="83">
        <v>1693.41</v>
      </c>
      <c r="P67" s="83">
        <v>14654.03</v>
      </c>
      <c r="Q67" s="83">
        <v>17.88</v>
      </c>
      <c r="R67" s="83" t="s">
        <v>2597</v>
      </c>
      <c r="S67" s="77">
        <f t="shared" si="1"/>
        <v>1.73</v>
      </c>
      <c r="T67" s="78">
        <v>23000</v>
      </c>
    </row>
    <row r="68" spans="1:20">
      <c r="A68" s="80" t="s">
        <v>2841</v>
      </c>
      <c r="B68" s="80" t="s">
        <v>345</v>
      </c>
      <c r="C68" s="80" t="s">
        <v>2589</v>
      </c>
      <c r="D68" s="80">
        <v>60622</v>
      </c>
      <c r="E68" s="80">
        <v>157573</v>
      </c>
      <c r="F68" s="80">
        <v>2.6</v>
      </c>
      <c r="G68" s="80" t="s">
        <v>2591</v>
      </c>
      <c r="H68" s="80" t="s">
        <v>2842</v>
      </c>
      <c r="I68" s="80">
        <v>0</v>
      </c>
      <c r="J68" s="80" t="s">
        <v>2559</v>
      </c>
      <c r="K68" s="80" t="s">
        <v>2672</v>
      </c>
      <c r="L68" s="80" t="s">
        <v>2830</v>
      </c>
      <c r="M68" s="80" t="s">
        <v>2843</v>
      </c>
      <c r="N68" s="80">
        <v>253350</v>
      </c>
      <c r="O68" s="80">
        <v>2786.12</v>
      </c>
      <c r="P68" s="80">
        <v>16078.26</v>
      </c>
      <c r="Q68" s="80">
        <v>1.5</v>
      </c>
      <c r="R68" s="80" t="s">
        <v>2597</v>
      </c>
      <c r="S68" s="75">
        <f t="shared" si="1"/>
        <v>2.6</v>
      </c>
    </row>
    <row r="69" spans="1:20">
      <c r="A69" s="80" t="s">
        <v>2844</v>
      </c>
      <c r="B69" s="80" t="s">
        <v>345</v>
      </c>
      <c r="C69" s="80" t="s">
        <v>2589</v>
      </c>
      <c r="D69" s="80">
        <v>97107.81</v>
      </c>
      <c r="E69" s="80">
        <v>194226</v>
      </c>
      <c r="F69" s="80">
        <v>2</v>
      </c>
      <c r="G69" s="80" t="s">
        <v>2591</v>
      </c>
      <c r="H69" s="80" t="s">
        <v>2845</v>
      </c>
      <c r="I69" s="80">
        <v>0</v>
      </c>
      <c r="J69" s="80" t="s">
        <v>2559</v>
      </c>
      <c r="K69" s="80" t="s">
        <v>2672</v>
      </c>
      <c r="L69" s="80" t="s">
        <v>2830</v>
      </c>
      <c r="M69" s="80" t="s">
        <v>2846</v>
      </c>
      <c r="N69" s="80">
        <v>410000</v>
      </c>
      <c r="O69" s="80">
        <v>2814.74</v>
      </c>
      <c r="P69" s="80">
        <v>21109.43</v>
      </c>
      <c r="Q69" s="80">
        <v>0.99</v>
      </c>
      <c r="R69" s="80" t="s">
        <v>2606</v>
      </c>
      <c r="S69" s="75">
        <f t="shared" si="1"/>
        <v>2</v>
      </c>
    </row>
    <row r="70" spans="1:20">
      <c r="A70" s="80" t="s">
        <v>2847</v>
      </c>
      <c r="B70" s="80" t="s">
        <v>345</v>
      </c>
      <c r="C70" s="80" t="s">
        <v>2589</v>
      </c>
      <c r="D70" s="80">
        <v>46848.3</v>
      </c>
      <c r="E70" s="80">
        <v>137272</v>
      </c>
      <c r="F70" s="80">
        <v>2.93</v>
      </c>
      <c r="G70" s="80" t="s">
        <v>2591</v>
      </c>
      <c r="H70" s="80" t="s">
        <v>2848</v>
      </c>
      <c r="I70" s="80">
        <v>0</v>
      </c>
      <c r="J70" s="80" t="s">
        <v>2559</v>
      </c>
      <c r="K70" s="80" t="s">
        <v>2849</v>
      </c>
      <c r="L70" s="80" t="s">
        <v>2850</v>
      </c>
      <c r="M70" s="80" t="s">
        <v>2851</v>
      </c>
      <c r="N70" s="80">
        <v>265700</v>
      </c>
      <c r="O70" s="80">
        <v>3781</v>
      </c>
      <c r="P70" s="80">
        <v>19355.72</v>
      </c>
      <c r="Q70" s="80">
        <v>0</v>
      </c>
      <c r="R70" s="80" t="s">
        <v>2597</v>
      </c>
      <c r="S70" s="75">
        <f t="shared" si="1"/>
        <v>2.93</v>
      </c>
    </row>
    <row r="71" spans="1:20">
      <c r="A71" s="80" t="s">
        <v>2852</v>
      </c>
      <c r="B71" s="80" t="s">
        <v>345</v>
      </c>
      <c r="C71" s="80" t="s">
        <v>2589</v>
      </c>
      <c r="D71" s="80">
        <v>54533</v>
      </c>
      <c r="E71" s="80">
        <v>70556</v>
      </c>
      <c r="F71" s="80">
        <v>1.29</v>
      </c>
      <c r="G71" s="80" t="s">
        <v>2591</v>
      </c>
      <c r="H71" s="80" t="s">
        <v>2815</v>
      </c>
      <c r="I71" s="80">
        <v>0</v>
      </c>
      <c r="J71" s="80" t="s">
        <v>2559</v>
      </c>
      <c r="K71" s="80" t="s">
        <v>2789</v>
      </c>
      <c r="L71" s="80" t="s">
        <v>2853</v>
      </c>
      <c r="M71" s="80" t="s">
        <v>2854</v>
      </c>
      <c r="N71" s="80">
        <v>92500</v>
      </c>
      <c r="O71" s="80">
        <v>1130.81</v>
      </c>
      <c r="P71" s="80">
        <v>13110.14</v>
      </c>
      <c r="Q71" s="80">
        <v>0</v>
      </c>
      <c r="R71" s="80" t="s">
        <v>2855</v>
      </c>
      <c r="S71" s="75">
        <f t="shared" si="1"/>
        <v>1.29</v>
      </c>
    </row>
    <row r="72" spans="1:20">
      <c r="A72" s="80" t="s">
        <v>2856</v>
      </c>
      <c r="B72" s="80" t="s">
        <v>345</v>
      </c>
      <c r="C72" s="80" t="s">
        <v>2599</v>
      </c>
      <c r="D72" s="80">
        <v>38121.199999999997</v>
      </c>
      <c r="E72" s="80">
        <v>95303</v>
      </c>
      <c r="F72" s="80">
        <v>2.5</v>
      </c>
      <c r="G72" s="80" t="s">
        <v>2591</v>
      </c>
      <c r="H72" s="80" t="s">
        <v>1513</v>
      </c>
      <c r="I72" s="80">
        <v>0</v>
      </c>
      <c r="J72" s="80" t="s">
        <v>2559</v>
      </c>
      <c r="K72" s="80" t="s">
        <v>2672</v>
      </c>
      <c r="L72" s="80" t="s">
        <v>2853</v>
      </c>
      <c r="M72" s="80" t="s">
        <v>2857</v>
      </c>
      <c r="N72" s="80">
        <v>332000</v>
      </c>
      <c r="O72" s="80">
        <v>5806.04</v>
      </c>
      <c r="P72" s="80">
        <v>34836.26</v>
      </c>
      <c r="Q72" s="80">
        <v>24.34</v>
      </c>
      <c r="R72" s="80" t="s">
        <v>2606</v>
      </c>
      <c r="S72" s="75">
        <f t="shared" si="1"/>
        <v>2.5</v>
      </c>
    </row>
    <row r="73" spans="1:20">
      <c r="A73" s="80" t="s">
        <v>2858</v>
      </c>
      <c r="B73" s="80" t="s">
        <v>345</v>
      </c>
      <c r="C73" s="80" t="s">
        <v>2599</v>
      </c>
      <c r="D73" s="80">
        <v>44933.4</v>
      </c>
      <c r="E73" s="80">
        <v>112333.5</v>
      </c>
      <c r="F73" s="80">
        <v>2.5</v>
      </c>
      <c r="G73" s="80" t="s">
        <v>2591</v>
      </c>
      <c r="H73" s="80" t="s">
        <v>1513</v>
      </c>
      <c r="I73" s="80">
        <v>0</v>
      </c>
      <c r="J73" s="80" t="s">
        <v>2559</v>
      </c>
      <c r="K73" s="80" t="s">
        <v>2672</v>
      </c>
      <c r="L73" s="80" t="s">
        <v>2853</v>
      </c>
      <c r="M73" s="80" t="s">
        <v>2859</v>
      </c>
      <c r="N73" s="80">
        <v>370000</v>
      </c>
      <c r="O73" s="80">
        <v>5489.61</v>
      </c>
      <c r="P73" s="80">
        <v>32937.629999999997</v>
      </c>
      <c r="Q73" s="80">
        <v>17.46</v>
      </c>
      <c r="R73" s="80" t="s">
        <v>2606</v>
      </c>
      <c r="S73" s="75">
        <f t="shared" si="1"/>
        <v>2.5</v>
      </c>
    </row>
    <row r="74" spans="1:20">
      <c r="A74" s="80" t="s">
        <v>2860</v>
      </c>
      <c r="B74" s="80" t="s">
        <v>345</v>
      </c>
      <c r="C74" s="80" t="s">
        <v>2589</v>
      </c>
      <c r="D74" s="80">
        <v>55220.72</v>
      </c>
      <c r="E74" s="80">
        <v>84310</v>
      </c>
      <c r="F74" s="80">
        <v>1.53</v>
      </c>
      <c r="G74" s="80" t="s">
        <v>2591</v>
      </c>
      <c r="H74" s="80" t="s">
        <v>2861</v>
      </c>
      <c r="I74" s="80">
        <v>0</v>
      </c>
      <c r="J74" s="80" t="s">
        <v>2559</v>
      </c>
      <c r="K74" s="80" t="s">
        <v>2672</v>
      </c>
      <c r="L74" s="80" t="s">
        <v>2862</v>
      </c>
      <c r="M74" s="80" t="s">
        <v>2634</v>
      </c>
      <c r="N74" s="80">
        <v>115000</v>
      </c>
      <c r="O74" s="80">
        <v>1388.37</v>
      </c>
      <c r="P74" s="80">
        <v>13640.13</v>
      </c>
      <c r="Q74" s="80">
        <v>0</v>
      </c>
      <c r="R74" s="80" t="s">
        <v>2626</v>
      </c>
      <c r="S74" s="75">
        <f t="shared" si="1"/>
        <v>1.53</v>
      </c>
    </row>
    <row r="75" spans="1:20">
      <c r="A75" s="80" t="s">
        <v>2863</v>
      </c>
      <c r="B75" s="80" t="s">
        <v>345</v>
      </c>
      <c r="C75" s="80" t="s">
        <v>2589</v>
      </c>
      <c r="D75" s="80">
        <v>53689</v>
      </c>
      <c r="E75" s="80">
        <v>110976</v>
      </c>
      <c r="F75" s="80">
        <v>2.0699999999999998</v>
      </c>
      <c r="G75" s="80" t="s">
        <v>2591</v>
      </c>
      <c r="H75" s="80" t="s">
        <v>2592</v>
      </c>
      <c r="I75" s="80">
        <v>0</v>
      </c>
      <c r="J75" s="80" t="s">
        <v>2559</v>
      </c>
      <c r="K75" s="80" t="s">
        <v>2789</v>
      </c>
      <c r="L75" s="80" t="s">
        <v>2864</v>
      </c>
      <c r="M75" s="80" t="s">
        <v>2865</v>
      </c>
      <c r="N75" s="80">
        <v>208000</v>
      </c>
      <c r="O75" s="80">
        <v>2582.7800000000002</v>
      </c>
      <c r="P75" s="80">
        <v>18742.79</v>
      </c>
      <c r="Q75" s="80">
        <v>0.97</v>
      </c>
      <c r="R75" s="80" t="s">
        <v>2626</v>
      </c>
      <c r="S75" s="75">
        <f t="shared" si="1"/>
        <v>2.0699999999999998</v>
      </c>
    </row>
    <row r="76" spans="1:20">
      <c r="A76" s="80" t="s">
        <v>2866</v>
      </c>
      <c r="B76" s="80" t="s">
        <v>345</v>
      </c>
      <c r="C76" s="80" t="s">
        <v>2599</v>
      </c>
      <c r="D76" s="80">
        <v>39735</v>
      </c>
      <c r="E76" s="80">
        <v>87417</v>
      </c>
      <c r="F76" s="80">
        <v>2.2000000000000002</v>
      </c>
      <c r="G76" s="80" t="s">
        <v>2591</v>
      </c>
      <c r="H76" s="80" t="s">
        <v>1513</v>
      </c>
      <c r="I76" s="80">
        <v>0</v>
      </c>
      <c r="J76" s="80" t="s">
        <v>2559</v>
      </c>
      <c r="K76" s="80" t="s">
        <v>2672</v>
      </c>
      <c r="L76" s="80" t="s">
        <v>2864</v>
      </c>
      <c r="M76" s="80" t="s">
        <v>2692</v>
      </c>
      <c r="N76" s="80">
        <v>172700</v>
      </c>
      <c r="O76" s="80">
        <v>2897.53</v>
      </c>
      <c r="P76" s="80">
        <v>19755.88</v>
      </c>
      <c r="Q76" s="80">
        <v>1.59</v>
      </c>
      <c r="R76" s="80" t="s">
        <v>2606</v>
      </c>
      <c r="S76" s="75">
        <f t="shared" si="1"/>
        <v>2.2000000000000002</v>
      </c>
    </row>
    <row r="77" spans="1:20">
      <c r="A77" s="80" t="s">
        <v>2867</v>
      </c>
      <c r="B77" s="80" t="s">
        <v>345</v>
      </c>
      <c r="C77" s="80" t="s">
        <v>2599</v>
      </c>
      <c r="D77" s="80">
        <v>47849.94</v>
      </c>
      <c r="E77" s="80">
        <v>76560</v>
      </c>
      <c r="F77" s="80">
        <v>1.6</v>
      </c>
      <c r="G77" s="80" t="s">
        <v>2591</v>
      </c>
      <c r="H77" s="80" t="s">
        <v>1513</v>
      </c>
      <c r="I77" s="80">
        <v>0</v>
      </c>
      <c r="J77" s="80" t="s">
        <v>2559</v>
      </c>
      <c r="K77" s="80" t="s">
        <v>2672</v>
      </c>
      <c r="L77" s="80" t="s">
        <v>2868</v>
      </c>
      <c r="M77" s="80" t="s">
        <v>2869</v>
      </c>
      <c r="N77" s="80">
        <v>175000</v>
      </c>
      <c r="O77" s="80">
        <v>2438.1799999999998</v>
      </c>
      <c r="P77" s="80">
        <v>22857.88</v>
      </c>
      <c r="Q77" s="80">
        <v>41.13</v>
      </c>
      <c r="R77" s="80" t="s">
        <v>2626</v>
      </c>
      <c r="S77" s="75">
        <f t="shared" ref="S77:S87" si="2">ROUND(E77/D77,2)</f>
        <v>1.6</v>
      </c>
    </row>
    <row r="78" spans="1:20">
      <c r="A78" s="80" t="s">
        <v>2870</v>
      </c>
      <c r="B78" s="80" t="s">
        <v>345</v>
      </c>
      <c r="C78" s="80" t="s">
        <v>2599</v>
      </c>
      <c r="D78" s="80">
        <v>36365.370000000003</v>
      </c>
      <c r="E78" s="80">
        <v>65458</v>
      </c>
      <c r="F78" s="80">
        <v>1.8</v>
      </c>
      <c r="G78" s="80" t="s">
        <v>2591</v>
      </c>
      <c r="H78" s="80" t="s">
        <v>1513</v>
      </c>
      <c r="I78" s="80">
        <v>0</v>
      </c>
      <c r="J78" s="80" t="s">
        <v>2559</v>
      </c>
      <c r="K78" s="80" t="s">
        <v>2672</v>
      </c>
      <c r="L78" s="80" t="s">
        <v>2868</v>
      </c>
      <c r="M78" s="80" t="s">
        <v>2871</v>
      </c>
      <c r="N78" s="80">
        <v>260000</v>
      </c>
      <c r="O78" s="80">
        <v>4766.4399999999996</v>
      </c>
      <c r="P78" s="80">
        <v>39720.120000000003</v>
      </c>
      <c r="Q78" s="80">
        <v>44.44</v>
      </c>
      <c r="R78" s="80" t="s">
        <v>2597</v>
      </c>
      <c r="S78" s="75">
        <f t="shared" si="2"/>
        <v>1.8</v>
      </c>
    </row>
    <row r="79" spans="1:20">
      <c r="A79" s="80" t="s">
        <v>2872</v>
      </c>
      <c r="B79" s="80" t="s">
        <v>345</v>
      </c>
      <c r="C79" s="80" t="s">
        <v>2589</v>
      </c>
      <c r="D79" s="80">
        <v>151738.6</v>
      </c>
      <c r="E79" s="80">
        <v>152374</v>
      </c>
      <c r="F79" s="80">
        <v>1.004</v>
      </c>
      <c r="G79" s="80" t="s">
        <v>2591</v>
      </c>
      <c r="H79" s="80" t="s">
        <v>2592</v>
      </c>
      <c r="I79" s="80">
        <v>0</v>
      </c>
      <c r="J79" s="80" t="s">
        <v>2559</v>
      </c>
      <c r="K79" s="80" t="s">
        <v>2835</v>
      </c>
      <c r="L79" s="80" t="s">
        <v>2873</v>
      </c>
      <c r="M79" s="80" t="s">
        <v>2874</v>
      </c>
      <c r="N79" s="80">
        <v>685400</v>
      </c>
      <c r="O79" s="80">
        <v>3011.32</v>
      </c>
      <c r="P79" s="80">
        <v>44981.43</v>
      </c>
      <c r="Q79" s="80">
        <v>49</v>
      </c>
      <c r="R79" s="80" t="s">
        <v>2606</v>
      </c>
      <c r="S79" s="75">
        <f t="shared" si="2"/>
        <v>1</v>
      </c>
    </row>
    <row r="80" spans="1:20" s="78" customFormat="1">
      <c r="A80" s="83" t="s">
        <v>2875</v>
      </c>
      <c r="B80" s="83" t="s">
        <v>345</v>
      </c>
      <c r="C80" s="83" t="s">
        <v>2589</v>
      </c>
      <c r="D80" s="83">
        <v>32797.360000000001</v>
      </c>
      <c r="E80" s="83">
        <v>91833</v>
      </c>
      <c r="F80" s="83">
        <v>2.8</v>
      </c>
      <c r="G80" s="83" t="s">
        <v>2591</v>
      </c>
      <c r="H80" s="83" t="s">
        <v>2876</v>
      </c>
      <c r="I80" s="83">
        <v>0</v>
      </c>
      <c r="J80" s="83" t="s">
        <v>2559</v>
      </c>
      <c r="K80" s="83" t="s">
        <v>2877</v>
      </c>
      <c r="L80" s="83" t="s">
        <v>2878</v>
      </c>
      <c r="M80" s="83" t="s">
        <v>2874</v>
      </c>
      <c r="N80" s="83">
        <v>165000</v>
      </c>
      <c r="O80" s="83">
        <v>3353.93</v>
      </c>
      <c r="P80" s="83">
        <v>17967.400000000001</v>
      </c>
      <c r="Q80" s="83">
        <v>0</v>
      </c>
      <c r="R80" s="83" t="s">
        <v>2597</v>
      </c>
      <c r="S80" s="83">
        <f t="shared" si="2"/>
        <v>2.8</v>
      </c>
      <c r="T80" s="78">
        <v>30000</v>
      </c>
    </row>
    <row r="81" spans="1:26">
      <c r="A81" s="80" t="s">
        <v>2879</v>
      </c>
      <c r="B81" s="80" t="s">
        <v>345</v>
      </c>
      <c r="C81" s="80" t="s">
        <v>2599</v>
      </c>
      <c r="D81" s="80">
        <v>82458.61</v>
      </c>
      <c r="E81" s="80">
        <v>99309</v>
      </c>
      <c r="F81" s="80">
        <v>1.2</v>
      </c>
      <c r="G81" s="80" t="s">
        <v>2591</v>
      </c>
      <c r="H81" s="80" t="s">
        <v>1513</v>
      </c>
      <c r="I81" s="80">
        <v>0</v>
      </c>
      <c r="J81" s="80" t="s">
        <v>2559</v>
      </c>
      <c r="K81" s="80" t="s">
        <v>2789</v>
      </c>
      <c r="L81" s="80" t="s">
        <v>2880</v>
      </c>
      <c r="M81" s="80" t="s">
        <v>2881</v>
      </c>
      <c r="N81" s="80">
        <v>345000</v>
      </c>
      <c r="O81" s="80">
        <v>2789.28</v>
      </c>
      <c r="P81" s="80">
        <v>34740.050000000003</v>
      </c>
      <c r="Q81" s="80">
        <v>28.83</v>
      </c>
      <c r="R81" s="80" t="s">
        <v>2606</v>
      </c>
      <c r="S81" s="75">
        <f t="shared" si="2"/>
        <v>1.2</v>
      </c>
    </row>
    <row r="82" spans="1:26">
      <c r="A82" s="80" t="s">
        <v>2882</v>
      </c>
      <c r="B82" s="80" t="s">
        <v>345</v>
      </c>
      <c r="C82" s="80" t="s">
        <v>2599</v>
      </c>
      <c r="D82" s="80">
        <v>74464</v>
      </c>
      <c r="E82" s="80">
        <v>119142</v>
      </c>
      <c r="F82" s="80">
        <v>1.6</v>
      </c>
      <c r="G82" s="80" t="s">
        <v>2591</v>
      </c>
      <c r="H82" s="80" t="s">
        <v>1513</v>
      </c>
      <c r="I82" s="80">
        <v>0</v>
      </c>
      <c r="J82" s="80" t="s">
        <v>2559</v>
      </c>
      <c r="K82" s="80" t="s">
        <v>2672</v>
      </c>
      <c r="L82" s="80" t="s">
        <v>2880</v>
      </c>
      <c r="M82" s="80" t="s">
        <v>2692</v>
      </c>
      <c r="N82" s="80">
        <v>327500</v>
      </c>
      <c r="O82" s="80">
        <v>2932.07</v>
      </c>
      <c r="P82" s="80">
        <v>27488.2</v>
      </c>
      <c r="Q82" s="80">
        <v>42.39</v>
      </c>
      <c r="R82" s="80" t="s">
        <v>2626</v>
      </c>
      <c r="S82" s="75">
        <f t="shared" si="2"/>
        <v>1.6</v>
      </c>
    </row>
    <row r="83" spans="1:26">
      <c r="A83" s="80" t="s">
        <v>2883</v>
      </c>
      <c r="B83" s="80" t="s">
        <v>345</v>
      </c>
      <c r="C83" s="80" t="s">
        <v>2589</v>
      </c>
      <c r="D83" s="80">
        <v>315990.3</v>
      </c>
      <c r="E83" s="80">
        <v>272690</v>
      </c>
      <c r="F83" s="80">
        <v>0.86</v>
      </c>
      <c r="G83" s="80" t="s">
        <v>2591</v>
      </c>
      <c r="H83" s="80" t="s">
        <v>2884</v>
      </c>
      <c r="I83" s="80">
        <v>0</v>
      </c>
      <c r="J83" s="80" t="s">
        <v>2559</v>
      </c>
      <c r="K83" s="80" t="s">
        <v>2885</v>
      </c>
      <c r="L83" s="80" t="s">
        <v>2880</v>
      </c>
      <c r="M83" s="80" t="s">
        <v>2886</v>
      </c>
      <c r="N83" s="80">
        <v>465000</v>
      </c>
      <c r="O83" s="80">
        <v>981.04</v>
      </c>
      <c r="P83" s="80">
        <v>17052.330000000002</v>
      </c>
      <c r="Q83" s="80">
        <v>0</v>
      </c>
      <c r="R83" s="80" t="s">
        <v>2626</v>
      </c>
      <c r="S83" s="75">
        <f t="shared" si="2"/>
        <v>0.86</v>
      </c>
    </row>
    <row r="84" spans="1:26">
      <c r="A84" s="80" t="s">
        <v>2887</v>
      </c>
      <c r="B84" s="80" t="s">
        <v>345</v>
      </c>
      <c r="C84" s="80" t="s">
        <v>2589</v>
      </c>
      <c r="D84" s="80">
        <v>39491.11</v>
      </c>
      <c r="E84" s="80">
        <v>98728</v>
      </c>
      <c r="F84" s="80">
        <v>2.5</v>
      </c>
      <c r="G84" s="80" t="s">
        <v>2591</v>
      </c>
      <c r="H84" s="80" t="s">
        <v>2807</v>
      </c>
      <c r="I84" s="80">
        <v>0</v>
      </c>
      <c r="J84" s="80" t="s">
        <v>2559</v>
      </c>
      <c r="K84" s="80" t="s">
        <v>2672</v>
      </c>
      <c r="L84" s="80" t="s">
        <v>2888</v>
      </c>
      <c r="M84" s="80" t="s">
        <v>2889</v>
      </c>
      <c r="N84" s="80">
        <v>302500</v>
      </c>
      <c r="O84" s="80">
        <v>5106.63</v>
      </c>
      <c r="P84" s="80">
        <v>30639.74</v>
      </c>
      <c r="Q84" s="80">
        <v>13.72</v>
      </c>
      <c r="R84" s="80" t="s">
        <v>2597</v>
      </c>
      <c r="S84" s="75">
        <f t="shared" si="2"/>
        <v>2.5</v>
      </c>
    </row>
    <row r="85" spans="1:26">
      <c r="A85" s="80" t="s">
        <v>2890</v>
      </c>
      <c r="B85" s="80" t="s">
        <v>345</v>
      </c>
      <c r="C85" s="80" t="s">
        <v>2599</v>
      </c>
      <c r="D85" s="80">
        <v>20291.37</v>
      </c>
      <c r="E85" s="80">
        <v>36524</v>
      </c>
      <c r="F85" s="80">
        <v>1.8</v>
      </c>
      <c r="G85" s="80" t="s">
        <v>2631</v>
      </c>
      <c r="H85" s="80" t="s">
        <v>1513</v>
      </c>
      <c r="I85" s="80">
        <v>0</v>
      </c>
      <c r="J85" s="80" t="s">
        <v>2559</v>
      </c>
      <c r="K85" s="80" t="s">
        <v>2632</v>
      </c>
      <c r="L85" s="80" t="s">
        <v>2891</v>
      </c>
      <c r="M85" s="80" t="s">
        <v>2892</v>
      </c>
      <c r="N85" s="80">
        <v>62800</v>
      </c>
      <c r="O85" s="80">
        <v>2063.27</v>
      </c>
      <c r="P85" s="80">
        <v>17194.16</v>
      </c>
      <c r="Q85" s="80" t="s">
        <v>2559</v>
      </c>
      <c r="R85" s="80" t="s">
        <v>2597</v>
      </c>
      <c r="S85" s="75">
        <f t="shared" si="2"/>
        <v>1.8</v>
      </c>
    </row>
    <row r="86" spans="1:26">
      <c r="A86" s="80" t="s">
        <v>2893</v>
      </c>
      <c r="B86" s="80" t="s">
        <v>345</v>
      </c>
      <c r="C86" s="80" t="s">
        <v>2589</v>
      </c>
      <c r="D86" s="80">
        <v>175114.7</v>
      </c>
      <c r="E86" s="80">
        <v>299579</v>
      </c>
      <c r="F86" s="80">
        <v>1.7</v>
      </c>
      <c r="G86" s="80" t="s">
        <v>2591</v>
      </c>
      <c r="H86" s="80" t="s">
        <v>2894</v>
      </c>
      <c r="I86" s="80">
        <v>0</v>
      </c>
      <c r="J86" s="80" t="s">
        <v>2559</v>
      </c>
      <c r="K86" s="80" t="s">
        <v>2789</v>
      </c>
      <c r="L86" s="80" t="s">
        <v>2895</v>
      </c>
      <c r="M86" s="80" t="s">
        <v>2692</v>
      </c>
      <c r="N86" s="80">
        <v>545000</v>
      </c>
      <c r="O86" s="80">
        <v>2074.83</v>
      </c>
      <c r="P86" s="80">
        <v>18192.2</v>
      </c>
      <c r="Q86" s="80">
        <v>20.309999999999999</v>
      </c>
      <c r="R86" s="80" t="s">
        <v>2597</v>
      </c>
      <c r="S86" s="75">
        <f t="shared" si="2"/>
        <v>1.71</v>
      </c>
    </row>
    <row r="87" spans="1:26" s="78" customFormat="1">
      <c r="A87" s="84" t="s">
        <v>2896</v>
      </c>
      <c r="B87" s="83" t="s">
        <v>345</v>
      </c>
      <c r="C87" s="84" t="s">
        <v>2671</v>
      </c>
      <c r="D87" s="78">
        <v>122262</v>
      </c>
      <c r="E87" s="78">
        <v>285496</v>
      </c>
      <c r="F87" s="78">
        <v>2.335</v>
      </c>
      <c r="G87" s="83" t="s">
        <v>2591</v>
      </c>
      <c r="H87" s="78" t="str">
        <f>C87</f>
        <v>R2二类居住用地、F3其他类多功能用地</v>
      </c>
      <c r="I87" s="78">
        <v>0</v>
      </c>
      <c r="J87" s="84" t="s">
        <v>124</v>
      </c>
      <c r="K87" s="84" t="s">
        <v>2897</v>
      </c>
      <c r="L87" s="86">
        <v>43112</v>
      </c>
      <c r="M87" s="84" t="s">
        <v>2898</v>
      </c>
      <c r="N87" s="78">
        <v>328500</v>
      </c>
      <c r="O87" s="78">
        <v>1791.24</v>
      </c>
      <c r="P87" s="78">
        <v>11506.2</v>
      </c>
      <c r="Q87" s="78">
        <v>0</v>
      </c>
      <c r="R87" s="83" t="s">
        <v>2606</v>
      </c>
      <c r="S87" s="77">
        <f t="shared" si="2"/>
        <v>2.34</v>
      </c>
      <c r="T87" s="78">
        <v>32000</v>
      </c>
    </row>
    <row r="88" spans="1:26">
      <c r="A88" s="85" t="s">
        <v>2899</v>
      </c>
      <c r="O88" s="85" t="s">
        <v>2900</v>
      </c>
      <c r="P88" s="87"/>
      <c r="Z88" s="85" t="s">
        <v>2901</v>
      </c>
    </row>
    <row r="155" spans="1:11" s="79" customFormat="1">
      <c r="A155" s="89" t="s">
        <v>2902</v>
      </c>
    </row>
    <row r="156" spans="1:11" s="79" customFormat="1">
      <c r="K156" s="89" t="s">
        <v>2903</v>
      </c>
    </row>
  </sheetData>
  <autoFilter ref="A2:R88"/>
  <mergeCells count="1">
    <mergeCell ref="A1:L1"/>
  </mergeCells>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topLeftCell="A19" workbookViewId="0">
      <selection activeCell="E13" sqref="E13"/>
    </sheetView>
  </sheetViews>
  <sheetFormatPr defaultColWidth="9" defaultRowHeight="13.5"/>
  <cols>
    <col min="1" max="1" width="13" style="79" customWidth="1"/>
    <col min="2" max="16" width="9" style="79"/>
    <col min="17" max="17" width="9" style="75"/>
    <col min="18" max="16384" width="9" style="79"/>
  </cols>
  <sheetData>
    <row r="1" spans="1:24">
      <c r="A1" s="80" t="s">
        <v>2569</v>
      </c>
      <c r="B1" s="80" t="s">
        <v>2570</v>
      </c>
      <c r="C1" s="80" t="s">
        <v>2571</v>
      </c>
      <c r="D1" s="80" t="s">
        <v>2572</v>
      </c>
      <c r="E1" s="80" t="s">
        <v>2573</v>
      </c>
      <c r="F1" s="80" t="s">
        <v>1970</v>
      </c>
      <c r="G1" s="80" t="s">
        <v>2574</v>
      </c>
      <c r="H1" s="80" t="s">
        <v>2575</v>
      </c>
      <c r="I1" s="80" t="s">
        <v>2578</v>
      </c>
      <c r="J1" s="80" t="s">
        <v>2579</v>
      </c>
      <c r="K1" s="80" t="s">
        <v>2580</v>
      </c>
      <c r="L1" s="80" t="s">
        <v>2581</v>
      </c>
      <c r="M1" s="80" t="s">
        <v>2582</v>
      </c>
      <c r="N1" s="80" t="s">
        <v>2583</v>
      </c>
      <c r="O1" s="80" t="s">
        <v>2584</v>
      </c>
      <c r="P1" s="80" t="s">
        <v>2585</v>
      </c>
      <c r="Q1" s="88" t="s">
        <v>2586</v>
      </c>
      <c r="R1" s="89" t="s">
        <v>2587</v>
      </c>
    </row>
    <row r="2" spans="1:24" s="60" customFormat="1">
      <c r="A2" s="81" t="s">
        <v>2629</v>
      </c>
      <c r="B2" s="81" t="s">
        <v>345</v>
      </c>
      <c r="C2" s="81" t="s">
        <v>2589</v>
      </c>
      <c r="D2" s="81">
        <v>40514.839999999997</v>
      </c>
      <c r="E2" s="81">
        <v>92680</v>
      </c>
      <c r="F2" s="81" t="s">
        <v>2630</v>
      </c>
      <c r="G2" s="81" t="s">
        <v>2631</v>
      </c>
      <c r="H2" s="81" t="s">
        <v>2609</v>
      </c>
      <c r="I2" s="81" t="s">
        <v>2632</v>
      </c>
      <c r="J2" s="81" t="s">
        <v>2633</v>
      </c>
      <c r="K2" s="81" t="s">
        <v>2634</v>
      </c>
      <c r="L2" s="81">
        <v>75000</v>
      </c>
      <c r="M2" s="81">
        <v>1234.1199999999999</v>
      </c>
      <c r="N2" s="81">
        <v>8092.35</v>
      </c>
      <c r="O2" s="81" t="s">
        <v>2559</v>
      </c>
      <c r="P2" s="81" t="s">
        <v>2606</v>
      </c>
      <c r="Q2" s="81">
        <f t="shared" ref="Q2:Q12" si="0">ROUND(E2/D2,2)</f>
        <v>2.29</v>
      </c>
      <c r="R2" s="60">
        <v>27000</v>
      </c>
    </row>
    <row r="3" spans="1:24" s="77" customFormat="1">
      <c r="A3" s="82" t="s">
        <v>2635</v>
      </c>
      <c r="B3" s="82" t="s">
        <v>345</v>
      </c>
      <c r="C3" s="82" t="s">
        <v>2589</v>
      </c>
      <c r="D3" s="82">
        <v>41000.75</v>
      </c>
      <c r="E3" s="82">
        <v>102502</v>
      </c>
      <c r="F3" s="82" t="s">
        <v>2636</v>
      </c>
      <c r="G3" s="82" t="s">
        <v>2591</v>
      </c>
      <c r="H3" s="82" t="s">
        <v>2904</v>
      </c>
      <c r="I3" s="82" t="s">
        <v>2632</v>
      </c>
      <c r="J3" s="82" t="s">
        <v>2638</v>
      </c>
      <c r="K3" s="82" t="s">
        <v>2639</v>
      </c>
      <c r="L3" s="82">
        <v>146578</v>
      </c>
      <c r="M3" s="82">
        <v>2383.34</v>
      </c>
      <c r="N3" s="82">
        <v>14300.01</v>
      </c>
      <c r="O3" s="82">
        <v>0</v>
      </c>
      <c r="P3" s="82" t="s">
        <v>2606</v>
      </c>
      <c r="Q3" s="82">
        <f t="shared" si="0"/>
        <v>2.5</v>
      </c>
      <c r="R3" s="77">
        <v>29000</v>
      </c>
    </row>
    <row r="4" spans="1:24" s="77" customFormat="1">
      <c r="A4" s="82" t="s">
        <v>2661</v>
      </c>
      <c r="B4" s="82" t="s">
        <v>345</v>
      </c>
      <c r="C4" s="82" t="s">
        <v>2589</v>
      </c>
      <c r="D4" s="82">
        <v>62136.68</v>
      </c>
      <c r="E4" s="82">
        <v>147241</v>
      </c>
      <c r="F4" s="82" t="s">
        <v>2636</v>
      </c>
      <c r="G4" s="82" t="s">
        <v>2591</v>
      </c>
      <c r="H4" s="82" t="s">
        <v>2662</v>
      </c>
      <c r="I4" s="82" t="s">
        <v>2632</v>
      </c>
      <c r="J4" s="82" t="s">
        <v>2663</v>
      </c>
      <c r="K4" s="82" t="s">
        <v>2664</v>
      </c>
      <c r="L4" s="82">
        <v>206138</v>
      </c>
      <c r="M4" s="82">
        <v>2211.66</v>
      </c>
      <c r="N4" s="82">
        <v>14000.04</v>
      </c>
      <c r="O4" s="82">
        <v>0</v>
      </c>
      <c r="P4" s="82" t="s">
        <v>2606</v>
      </c>
      <c r="Q4" s="82">
        <f t="shared" si="0"/>
        <v>2.37</v>
      </c>
      <c r="R4" s="77">
        <v>29000</v>
      </c>
    </row>
    <row r="5" spans="1:24" s="77" customFormat="1">
      <c r="A5" s="82" t="s">
        <v>2693</v>
      </c>
      <c r="B5" s="82" t="s">
        <v>345</v>
      </c>
      <c r="C5" s="82" t="s">
        <v>2589</v>
      </c>
      <c r="D5" s="82">
        <v>154004.04</v>
      </c>
      <c r="E5" s="82">
        <v>209367</v>
      </c>
      <c r="F5" s="82" t="s">
        <v>2694</v>
      </c>
      <c r="G5" s="82" t="s">
        <v>2631</v>
      </c>
      <c r="H5" s="82" t="s">
        <v>2905</v>
      </c>
      <c r="I5" s="82" t="s">
        <v>2632</v>
      </c>
      <c r="J5" s="82" t="s">
        <v>2696</v>
      </c>
      <c r="K5" s="82" t="s">
        <v>2697</v>
      </c>
      <c r="L5" s="82">
        <v>269450</v>
      </c>
      <c r="M5" s="82">
        <v>1166.42</v>
      </c>
      <c r="N5" s="82">
        <v>12869.75</v>
      </c>
      <c r="O5" s="82" t="s">
        <v>2559</v>
      </c>
      <c r="P5" s="82" t="s">
        <v>2606</v>
      </c>
      <c r="Q5" s="82">
        <f t="shared" si="0"/>
        <v>1.36</v>
      </c>
      <c r="R5" s="77">
        <v>29500</v>
      </c>
    </row>
    <row r="6" spans="1:24" s="60" customFormat="1">
      <c r="A6" s="81" t="s">
        <v>2707</v>
      </c>
      <c r="B6" s="81" t="s">
        <v>345</v>
      </c>
      <c r="C6" s="81" t="s">
        <v>2599</v>
      </c>
      <c r="D6" s="81">
        <v>87651.29</v>
      </c>
      <c r="E6" s="81">
        <v>140242</v>
      </c>
      <c r="F6" s="81" t="s">
        <v>2603</v>
      </c>
      <c r="G6" s="81" t="s">
        <v>2591</v>
      </c>
      <c r="H6" s="81" t="s">
        <v>1513</v>
      </c>
      <c r="I6" s="81" t="s">
        <v>2708</v>
      </c>
      <c r="J6" s="81" t="s">
        <v>2709</v>
      </c>
      <c r="K6" s="81" t="s">
        <v>2710</v>
      </c>
      <c r="L6" s="81">
        <v>265000</v>
      </c>
      <c r="M6" s="81">
        <v>2015.56</v>
      </c>
      <c r="N6" s="81">
        <v>18895.900000000001</v>
      </c>
      <c r="O6" s="81">
        <v>31.45</v>
      </c>
      <c r="P6" s="81" t="s">
        <v>2597</v>
      </c>
      <c r="Q6" s="81">
        <f t="shared" si="0"/>
        <v>1.6</v>
      </c>
      <c r="R6" s="60">
        <v>28000</v>
      </c>
    </row>
    <row r="7" spans="1:24" s="60" customFormat="1">
      <c r="A7" s="81" t="s">
        <v>2757</v>
      </c>
      <c r="B7" s="81" t="s">
        <v>345</v>
      </c>
      <c r="C7" s="81" t="s">
        <v>2589</v>
      </c>
      <c r="D7" s="81">
        <v>35805</v>
      </c>
      <c r="E7" s="81">
        <v>71581</v>
      </c>
      <c r="F7" s="81" t="s">
        <v>2758</v>
      </c>
      <c r="G7" s="81" t="s">
        <v>2591</v>
      </c>
      <c r="H7" s="81" t="s">
        <v>2592</v>
      </c>
      <c r="I7" s="81" t="s">
        <v>2632</v>
      </c>
      <c r="J7" s="81" t="s">
        <v>2759</v>
      </c>
      <c r="K7" s="81" t="s">
        <v>2760</v>
      </c>
      <c r="L7" s="81">
        <v>85000</v>
      </c>
      <c r="M7" s="81">
        <v>1582.65</v>
      </c>
      <c r="N7" s="81">
        <v>11874.65</v>
      </c>
      <c r="O7" s="81">
        <v>10.39</v>
      </c>
      <c r="P7" s="81" t="s">
        <v>2606</v>
      </c>
      <c r="Q7" s="81">
        <f t="shared" si="0"/>
        <v>2</v>
      </c>
      <c r="R7" s="60">
        <v>29000</v>
      </c>
    </row>
    <row r="8" spans="1:24" s="78" customFormat="1">
      <c r="A8" s="83" t="s">
        <v>2781</v>
      </c>
      <c r="B8" s="83" t="s">
        <v>345</v>
      </c>
      <c r="C8" s="83" t="s">
        <v>2589</v>
      </c>
      <c r="D8" s="83">
        <v>47891.78</v>
      </c>
      <c r="E8" s="83">
        <v>108059</v>
      </c>
      <c r="F8" s="83" t="s">
        <v>2636</v>
      </c>
      <c r="G8" s="83" t="s">
        <v>2591</v>
      </c>
      <c r="H8" s="83" t="s">
        <v>2662</v>
      </c>
      <c r="I8" s="83" t="s">
        <v>2632</v>
      </c>
      <c r="J8" s="83" t="s">
        <v>2782</v>
      </c>
      <c r="K8" s="83" t="s">
        <v>2783</v>
      </c>
      <c r="L8" s="83">
        <v>151283</v>
      </c>
      <c r="M8" s="83">
        <v>2105.9</v>
      </c>
      <c r="N8" s="83">
        <v>14000.04</v>
      </c>
      <c r="O8" s="83">
        <v>0</v>
      </c>
      <c r="P8" s="83" t="s">
        <v>2606</v>
      </c>
      <c r="Q8" s="83">
        <f t="shared" si="0"/>
        <v>2.2599999999999998</v>
      </c>
      <c r="R8" s="78">
        <v>29000</v>
      </c>
    </row>
    <row r="9" spans="1:24" s="78" customFormat="1">
      <c r="A9" s="83" t="s">
        <v>2906</v>
      </c>
      <c r="B9" s="83" t="s">
        <v>345</v>
      </c>
      <c r="C9" s="83" t="s">
        <v>2599</v>
      </c>
      <c r="D9" s="83">
        <v>41663.440000000002</v>
      </c>
      <c r="E9" s="83">
        <v>70828</v>
      </c>
      <c r="F9" s="83">
        <v>1.7</v>
      </c>
      <c r="G9" s="83" t="s">
        <v>2591</v>
      </c>
      <c r="H9" s="83" t="s">
        <v>1513</v>
      </c>
      <c r="I9" s="83" t="s">
        <v>2632</v>
      </c>
      <c r="J9" s="83" t="s">
        <v>2830</v>
      </c>
      <c r="K9" s="83" t="s">
        <v>2833</v>
      </c>
      <c r="L9" s="83">
        <v>77900</v>
      </c>
      <c r="M9" s="83">
        <v>1246.5</v>
      </c>
      <c r="N9" s="83">
        <v>10998.47</v>
      </c>
      <c r="O9" s="83">
        <v>1.56</v>
      </c>
      <c r="P9" s="83" t="s">
        <v>2606</v>
      </c>
      <c r="Q9" s="77">
        <f t="shared" si="0"/>
        <v>1.7</v>
      </c>
      <c r="R9" s="78">
        <v>24000</v>
      </c>
    </row>
    <row r="10" spans="1:24" s="78" customFormat="1">
      <c r="A10" s="83" t="s">
        <v>2839</v>
      </c>
      <c r="B10" s="83" t="s">
        <v>345</v>
      </c>
      <c r="C10" s="83" t="s">
        <v>2589</v>
      </c>
      <c r="D10" s="83">
        <v>76571.12</v>
      </c>
      <c r="E10" s="83">
        <v>132728</v>
      </c>
      <c r="F10" s="83">
        <v>1.73</v>
      </c>
      <c r="G10" s="83" t="s">
        <v>2591</v>
      </c>
      <c r="H10" s="83" t="s">
        <v>2592</v>
      </c>
      <c r="I10" s="83" t="s">
        <v>2632</v>
      </c>
      <c r="J10" s="83" t="s">
        <v>2830</v>
      </c>
      <c r="K10" s="83" t="s">
        <v>2840</v>
      </c>
      <c r="L10" s="83">
        <v>194500</v>
      </c>
      <c r="M10" s="83">
        <v>1693.41</v>
      </c>
      <c r="N10" s="83">
        <v>14654.03</v>
      </c>
      <c r="O10" s="83">
        <v>17.88</v>
      </c>
      <c r="P10" s="83" t="s">
        <v>2597</v>
      </c>
      <c r="Q10" s="77">
        <f t="shared" si="0"/>
        <v>1.73</v>
      </c>
      <c r="R10" s="78">
        <v>23000</v>
      </c>
    </row>
    <row r="11" spans="1:24" s="78" customFormat="1">
      <c r="A11" s="83" t="s">
        <v>2875</v>
      </c>
      <c r="B11" s="83" t="s">
        <v>345</v>
      </c>
      <c r="C11" s="83" t="s">
        <v>2589</v>
      </c>
      <c r="D11" s="83">
        <v>32797.360000000001</v>
      </c>
      <c r="E11" s="83">
        <v>91833</v>
      </c>
      <c r="F11" s="83">
        <v>2.8</v>
      </c>
      <c r="G11" s="83" t="s">
        <v>2591</v>
      </c>
      <c r="H11" s="83" t="s">
        <v>2876</v>
      </c>
      <c r="I11" s="83" t="s">
        <v>2877</v>
      </c>
      <c r="J11" s="83" t="s">
        <v>2878</v>
      </c>
      <c r="K11" s="83" t="s">
        <v>2874</v>
      </c>
      <c r="L11" s="83">
        <v>165000</v>
      </c>
      <c r="M11" s="83">
        <v>3353.93</v>
      </c>
      <c r="N11" s="83">
        <v>17967.400000000001</v>
      </c>
      <c r="O11" s="83">
        <v>0</v>
      </c>
      <c r="P11" s="83" t="s">
        <v>2597</v>
      </c>
      <c r="Q11" s="83">
        <f t="shared" si="0"/>
        <v>2.8</v>
      </c>
      <c r="R11" s="78">
        <v>30000</v>
      </c>
    </row>
    <row r="12" spans="1:24" s="78" customFormat="1">
      <c r="A12" s="84" t="s">
        <v>2896</v>
      </c>
      <c r="B12" s="83" t="s">
        <v>345</v>
      </c>
      <c r="C12" s="84" t="s">
        <v>2671</v>
      </c>
      <c r="D12" s="78">
        <v>122262</v>
      </c>
      <c r="E12" s="78">
        <v>285496</v>
      </c>
      <c r="F12" s="78">
        <v>2.335</v>
      </c>
      <c r="G12" s="83" t="s">
        <v>2591</v>
      </c>
      <c r="H12" s="78" t="str">
        <f>C12</f>
        <v>R2二类居住用地、F3其他类多功能用地</v>
      </c>
      <c r="I12" s="84" t="s">
        <v>2897</v>
      </c>
      <c r="J12" s="86">
        <v>43112</v>
      </c>
      <c r="K12" s="84" t="s">
        <v>2898</v>
      </c>
      <c r="L12" s="78">
        <v>328500</v>
      </c>
      <c r="M12" s="78">
        <v>1791.24</v>
      </c>
      <c r="N12" s="78">
        <v>11506.2</v>
      </c>
      <c r="O12" s="78">
        <v>0</v>
      </c>
      <c r="P12" s="83" t="s">
        <v>2606</v>
      </c>
      <c r="Q12" s="77">
        <f t="shared" si="0"/>
        <v>2.34</v>
      </c>
      <c r="R12" s="78">
        <v>32000</v>
      </c>
    </row>
    <row r="13" spans="1:24">
      <c r="A13" s="85" t="s">
        <v>2899</v>
      </c>
      <c r="M13" s="85" t="s">
        <v>2900</v>
      </c>
      <c r="N13" s="87"/>
      <c r="X13" s="85" t="s">
        <v>2901</v>
      </c>
    </row>
    <row r="80" spans="1:17">
      <c r="A80" s="89" t="s">
        <v>2902</v>
      </c>
      <c r="Q80" s="79"/>
    </row>
    <row r="81" spans="9:17">
      <c r="I81" s="89"/>
      <c r="J81" s="89"/>
      <c r="K81" s="89" t="s">
        <v>2903</v>
      </c>
      <c r="Q81" s="79"/>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N5" sqref="N5"/>
    </sheetView>
  </sheetViews>
  <sheetFormatPr defaultColWidth="9" defaultRowHeight="13.5"/>
  <cols>
    <col min="1" max="1" width="29.25" style="62" customWidth="1"/>
    <col min="2" max="3" width="9" style="62"/>
    <col min="4" max="6" width="11.375" style="62" customWidth="1"/>
    <col min="7" max="8" width="10.5" style="62" customWidth="1"/>
    <col min="9" max="9" width="9" style="62"/>
    <col min="10" max="10" width="12.875" style="62" customWidth="1"/>
    <col min="11" max="16384" width="9" style="62"/>
  </cols>
  <sheetData>
    <row r="1" spans="1:26">
      <c r="A1" s="3563" t="s">
        <v>2907</v>
      </c>
      <c r="B1" s="3563" t="s">
        <v>2908</v>
      </c>
      <c r="C1" s="3563" t="s">
        <v>2909</v>
      </c>
      <c r="D1" s="3563"/>
      <c r="E1" s="3563"/>
      <c r="F1" s="3563"/>
      <c r="G1" s="3563"/>
      <c r="H1" s="63"/>
      <c r="I1" s="3563" t="s">
        <v>1970</v>
      </c>
      <c r="J1" s="3563" t="s">
        <v>1778</v>
      </c>
      <c r="K1" s="3563" t="s">
        <v>2579</v>
      </c>
      <c r="L1" s="3563" t="s">
        <v>2910</v>
      </c>
      <c r="M1" s="3563" t="s">
        <v>2911</v>
      </c>
      <c r="N1" s="3563" t="s">
        <v>2912</v>
      </c>
      <c r="O1" s="63" t="s">
        <v>2913</v>
      </c>
      <c r="P1" s="70"/>
    </row>
    <row r="2" spans="1:26" ht="22.5">
      <c r="A2" s="3563"/>
      <c r="B2" s="3563"/>
      <c r="C2" s="63" t="s">
        <v>473</v>
      </c>
      <c r="D2" s="63" t="s">
        <v>2914</v>
      </c>
      <c r="E2" s="63" t="s">
        <v>2915</v>
      </c>
      <c r="F2" s="63" t="s">
        <v>2916</v>
      </c>
      <c r="G2" s="64" t="s">
        <v>2917</v>
      </c>
      <c r="H2" s="64" t="s">
        <v>2918</v>
      </c>
      <c r="I2" s="3563"/>
      <c r="J2" s="3563"/>
      <c r="K2" s="3563"/>
      <c r="L2" s="3563"/>
      <c r="M2" s="3563"/>
      <c r="N2" s="3563"/>
      <c r="O2" s="63"/>
      <c r="P2" s="70" t="s">
        <v>2919</v>
      </c>
      <c r="Q2" s="69" t="s">
        <v>2920</v>
      </c>
    </row>
    <row r="3" spans="1:26" s="59" customFormat="1" ht="35.1" customHeight="1">
      <c r="A3" s="65" t="e">
        <f>共产房土地案例新!#REF!</f>
        <v>#REF!</v>
      </c>
      <c r="B3" s="66" t="e">
        <f>共产房土地案例新!#REF!</f>
        <v>#REF!</v>
      </c>
      <c r="C3" s="65">
        <v>92680</v>
      </c>
      <c r="D3" s="66"/>
      <c r="E3" s="66">
        <v>25775.56</v>
      </c>
      <c r="F3" s="66">
        <f>88629-E3</f>
        <v>62853.440000000002</v>
      </c>
      <c r="G3" s="65">
        <f>C3-D3-E3-F3</f>
        <v>4051</v>
      </c>
      <c r="H3" s="65">
        <f>C3-G3</f>
        <v>88629</v>
      </c>
      <c r="I3" s="66" t="e">
        <f>共产房土地案例新!#REF!</f>
        <v>#REF!</v>
      </c>
      <c r="J3" s="65" t="e">
        <f>共产房土地案例新!#REF!</f>
        <v>#REF!</v>
      </c>
      <c r="K3" s="66" t="e">
        <f>共产房土地案例新!#REF!</f>
        <v>#REF!</v>
      </c>
      <c r="L3" s="65" t="e">
        <f>共产房土地案例新!#REF!</f>
        <v>#REF!</v>
      </c>
      <c r="M3" s="66" t="e">
        <f>共产房土地案例新!#REF!</f>
        <v>#REF!</v>
      </c>
      <c r="N3" s="65" t="e">
        <f>共产房土地案例新!#REF!</f>
        <v>#REF!</v>
      </c>
      <c r="O3" s="66" t="e">
        <f>共产房土地案例新!#REF!</f>
        <v>#REF!</v>
      </c>
      <c r="P3" s="71" t="e">
        <f ca="1">ROUND((L3*10000+(8380-'成本法-共产划拨'!C51)*25775.56)/H3,0)</f>
        <v>#REF!</v>
      </c>
      <c r="Q3" s="74" t="s">
        <v>2921</v>
      </c>
    </row>
    <row r="4" spans="1:26" s="60" customFormat="1" ht="35.1" customHeight="1">
      <c r="A4" s="67" t="e">
        <f>共产房土地案例新!#REF!</f>
        <v>#REF!</v>
      </c>
      <c r="B4" s="68" t="e">
        <f>共产房土地案例新!#REF!</f>
        <v>#REF!</v>
      </c>
      <c r="C4" s="67">
        <v>140242</v>
      </c>
      <c r="D4" s="68">
        <v>108360</v>
      </c>
      <c r="E4" s="68"/>
      <c r="F4" s="68"/>
      <c r="G4" s="67">
        <f>C4-D4-E4</f>
        <v>31882</v>
      </c>
      <c r="H4" s="67">
        <f t="shared" ref="H4:H7" si="0">C4-G4</f>
        <v>108360</v>
      </c>
      <c r="I4" s="68" t="e">
        <f>共产房土地案例新!#REF!</f>
        <v>#REF!</v>
      </c>
      <c r="J4" s="67" t="e">
        <f>共产房土地案例新!#REF!</f>
        <v>#REF!</v>
      </c>
      <c r="K4" s="68" t="e">
        <f>共产房土地案例新!#REF!</f>
        <v>#REF!</v>
      </c>
      <c r="L4" s="67" t="e">
        <f>共产房土地案例新!#REF!</f>
        <v>#REF!</v>
      </c>
      <c r="M4" s="68" t="e">
        <f>共产房土地案例新!#REF!</f>
        <v>#REF!</v>
      </c>
      <c r="N4" s="67" t="e">
        <f>共产房土地案例新!#REF!</f>
        <v>#REF!</v>
      </c>
      <c r="O4" s="68" t="e">
        <f>共产房土地案例新!#REF!</f>
        <v>#REF!</v>
      </c>
      <c r="P4" s="72" t="e">
        <f>N4</f>
        <v>#REF!</v>
      </c>
      <c r="Q4" s="75"/>
      <c r="R4" s="76"/>
      <c r="S4" s="76"/>
      <c r="T4" s="76"/>
      <c r="U4" s="76"/>
      <c r="V4" s="76"/>
      <c r="W4" s="76"/>
      <c r="X4" s="76"/>
      <c r="Y4" s="76"/>
      <c r="Z4" s="76"/>
    </row>
    <row r="5" spans="1:26" s="59" customFormat="1" ht="35.1" customHeight="1">
      <c r="A5" s="65" t="e">
        <f>共产房土地案例新!#REF!</f>
        <v>#REF!</v>
      </c>
      <c r="B5" s="66" t="e">
        <f>共产房土地案例新!#REF!</f>
        <v>#REF!</v>
      </c>
      <c r="C5" s="65">
        <v>71581</v>
      </c>
      <c r="D5" s="66">
        <v>68381</v>
      </c>
      <c r="E5" s="66"/>
      <c r="F5" s="66"/>
      <c r="G5" s="65">
        <f>C5-D5-E5</f>
        <v>3200</v>
      </c>
      <c r="H5" s="65">
        <f t="shared" si="0"/>
        <v>68381</v>
      </c>
      <c r="I5" s="66" t="e">
        <f>共产房土地案例新!#REF!</f>
        <v>#REF!</v>
      </c>
      <c r="J5" s="65" t="e">
        <f>共产房土地案例新!#REF!</f>
        <v>#REF!</v>
      </c>
      <c r="K5" s="66" t="e">
        <f>共产房土地案例新!#REF!</f>
        <v>#REF!</v>
      </c>
      <c r="L5" s="65" t="e">
        <f>共产房土地案例新!#REF!</f>
        <v>#REF!</v>
      </c>
      <c r="M5" s="66" t="e">
        <f>共产房土地案例新!#REF!</f>
        <v>#REF!</v>
      </c>
      <c r="N5" s="65" t="e">
        <f>共产房土地案例新!#REF!</f>
        <v>#REF!</v>
      </c>
      <c r="O5" s="66" t="e">
        <f>共产房土地案例新!#REF!</f>
        <v>#REF!</v>
      </c>
      <c r="P5" s="73" t="e">
        <f>ROUND((L5*10000-26750*0.8*4000)/H5,0)</f>
        <v>#REF!</v>
      </c>
      <c r="Q5" s="3564" t="s">
        <v>2922</v>
      </c>
      <c r="R5" s="3565"/>
      <c r="S5" s="3566"/>
      <c r="T5" s="66"/>
      <c r="U5" s="65"/>
      <c r="V5" s="66"/>
      <c r="W5" s="65"/>
      <c r="X5" s="66"/>
      <c r="Y5" s="65"/>
      <c r="Z5" s="66"/>
    </row>
    <row r="6" spans="1:26" s="61" customFormat="1" ht="35.1" customHeight="1">
      <c r="A6" s="65" t="e">
        <f>共产房土地案例新!#REF!</f>
        <v>#REF!</v>
      </c>
      <c r="B6" s="66" t="e">
        <f>共产房土地案例新!#REF!</f>
        <v>#REF!</v>
      </c>
      <c r="C6" s="65">
        <v>70828</v>
      </c>
      <c r="D6" s="66">
        <v>70828</v>
      </c>
      <c r="E6" s="66"/>
      <c r="F6" s="66"/>
      <c r="G6" s="65">
        <f>C6-D6-E6</f>
        <v>0</v>
      </c>
      <c r="H6" s="65">
        <f t="shared" si="0"/>
        <v>70828</v>
      </c>
      <c r="I6" s="66" t="e">
        <f>共产房土地案例新!#REF!</f>
        <v>#REF!</v>
      </c>
      <c r="J6" s="65" t="e">
        <f>共产房土地案例新!#REF!</f>
        <v>#REF!</v>
      </c>
      <c r="K6" s="66" t="e">
        <f>共产房土地案例新!#REF!</f>
        <v>#REF!</v>
      </c>
      <c r="L6" s="65" t="e">
        <f>共产房土地案例新!#REF!</f>
        <v>#REF!</v>
      </c>
      <c r="M6" s="66" t="e">
        <f>共产房土地案例新!#REF!</f>
        <v>#REF!</v>
      </c>
      <c r="N6" s="65" t="e">
        <f>共产房土地案例新!#REF!</f>
        <v>#REF!</v>
      </c>
      <c r="O6" s="66" t="e">
        <f>共产房土地案例新!#REF!</f>
        <v>#REF!</v>
      </c>
      <c r="P6" s="71" t="e">
        <f>ROUND(N6,0)</f>
        <v>#REF!</v>
      </c>
    </row>
    <row r="7" spans="1:26" ht="35.1" customHeight="1">
      <c r="A7" s="67" t="e">
        <f>共产房土地案例新!#REF!</f>
        <v>#REF!</v>
      </c>
      <c r="B7" s="68" t="e">
        <f>共产房土地案例新!#REF!</f>
        <v>#REF!</v>
      </c>
      <c r="C7" s="67">
        <v>132728</v>
      </c>
      <c r="D7" s="68">
        <v>128648</v>
      </c>
      <c r="E7" s="68"/>
      <c r="F7" s="68"/>
      <c r="G7" s="67">
        <f>C7-D7-E7</f>
        <v>4080</v>
      </c>
      <c r="H7" s="67">
        <f t="shared" si="0"/>
        <v>128648</v>
      </c>
      <c r="I7" s="68" t="e">
        <f>共产房土地案例新!#REF!</f>
        <v>#REF!</v>
      </c>
      <c r="J7" s="67" t="e">
        <f>共产房土地案例新!#REF!</f>
        <v>#REF!</v>
      </c>
      <c r="K7" s="68" t="e">
        <f>共产房土地案例新!#REF!</f>
        <v>#REF!</v>
      </c>
      <c r="L7" s="67" t="e">
        <f>共产房土地案例新!#REF!</f>
        <v>#REF!</v>
      </c>
      <c r="M7" s="68" t="e">
        <f>共产房土地案例新!#REF!</f>
        <v>#REF!</v>
      </c>
      <c r="N7" s="67" t="e">
        <f>共产房土地案例新!#REF!</f>
        <v>#REF!</v>
      </c>
      <c r="O7" s="68" t="e">
        <f>共产房土地案例新!#REF!</f>
        <v>#REF!</v>
      </c>
      <c r="P7" s="72" t="e">
        <f>ROUND((L7*10000-G7*2000)/H7,0)</f>
        <v>#REF!</v>
      </c>
    </row>
    <row r="10" spans="1:26">
      <c r="P10" s="62" t="e">
        <f ca="1">P5/P3</f>
        <v>#REF!</v>
      </c>
    </row>
    <row r="26" spans="1:1">
      <c r="A26" s="69"/>
    </row>
    <row r="46" spans="1:1">
      <c r="A46" s="69"/>
    </row>
  </sheetData>
  <mergeCells count="10">
    <mergeCell ref="C1:G1"/>
    <mergeCell ref="Q5:S5"/>
    <mergeCell ref="A1:A2"/>
    <mergeCell ref="B1:B2"/>
    <mergeCell ref="I1:I2"/>
    <mergeCell ref="J1:J2"/>
    <mergeCell ref="K1:K2"/>
    <mergeCell ref="L1:L2"/>
    <mergeCell ref="M1:M2"/>
    <mergeCell ref="N1:N2"/>
  </mergeCells>
  <phoneticPr fontId="225"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
  <sheetViews>
    <sheetView topLeftCell="H1" zoomScale="120" zoomScaleNormal="120" workbookViewId="0">
      <selection activeCell="B43" sqref="B43"/>
    </sheetView>
  </sheetViews>
  <sheetFormatPr defaultColWidth="8.875" defaultRowHeight="11.25"/>
  <cols>
    <col min="1" max="1" width="4.125" style="31" customWidth="1"/>
    <col min="2" max="2" width="4.25" style="31" customWidth="1"/>
    <col min="3" max="3" width="4.375" style="31" customWidth="1"/>
    <col min="4" max="4" width="6.875" style="31" customWidth="1"/>
    <col min="5" max="5" width="7" style="31" customWidth="1"/>
    <col min="6" max="7" width="8.875" style="31"/>
    <col min="8" max="8" width="12" style="31" customWidth="1"/>
    <col min="9" max="9" width="8" style="31" customWidth="1"/>
    <col min="10" max="10" width="13.875" style="31" customWidth="1"/>
    <col min="11" max="11" width="7.125" style="31" customWidth="1"/>
    <col min="12" max="12" width="7" style="31" customWidth="1"/>
    <col min="13" max="13" width="7.75" style="31" customWidth="1"/>
    <col min="14" max="14" width="10.125" style="31" customWidth="1"/>
    <col min="15" max="15" width="9.375" style="31" customWidth="1"/>
    <col min="16" max="16" width="25.375" style="31" customWidth="1"/>
    <col min="17" max="16384" width="8.875" style="31"/>
  </cols>
  <sheetData>
    <row r="1" spans="1:16384" s="27" customFormat="1" ht="32.25" customHeight="1">
      <c r="A1" s="32" t="s">
        <v>2923</v>
      </c>
      <c r="B1" s="32" t="s">
        <v>2924</v>
      </c>
      <c r="C1" s="32" t="s">
        <v>2925</v>
      </c>
      <c r="D1" s="32" t="s">
        <v>1832</v>
      </c>
      <c r="E1" s="32" t="s">
        <v>2926</v>
      </c>
      <c r="F1" s="32" t="s">
        <v>691</v>
      </c>
      <c r="G1" s="32" t="s">
        <v>2927</v>
      </c>
      <c r="H1" s="32" t="s">
        <v>2928</v>
      </c>
      <c r="I1" s="32" t="s">
        <v>2929</v>
      </c>
      <c r="J1" s="32" t="s">
        <v>2930</v>
      </c>
      <c r="K1" s="43" t="s">
        <v>2931</v>
      </c>
      <c r="L1" s="43" t="s">
        <v>2908</v>
      </c>
      <c r="M1" s="43" t="s">
        <v>2932</v>
      </c>
      <c r="N1" s="43" t="s">
        <v>2933</v>
      </c>
      <c r="O1" s="43" t="s">
        <v>3206</v>
      </c>
      <c r="P1" s="32" t="s">
        <v>2934</v>
      </c>
      <c r="Q1" s="32" t="s">
        <v>2920</v>
      </c>
      <c r="R1" s="51" t="s">
        <v>2935</v>
      </c>
      <c r="S1" s="51" t="s">
        <v>2936</v>
      </c>
      <c r="T1" s="32" t="s">
        <v>2937</v>
      </c>
      <c r="U1" s="32" t="s">
        <v>2938</v>
      </c>
      <c r="V1" s="43" t="s">
        <v>2939</v>
      </c>
      <c r="W1" s="43" t="s">
        <v>2940</v>
      </c>
      <c r="X1" s="43" t="s">
        <v>2941</v>
      </c>
      <c r="Y1" s="43" t="s">
        <v>2942</v>
      </c>
      <c r="Z1" s="51" t="s">
        <v>2943</v>
      </c>
      <c r="AA1" s="56"/>
    </row>
    <row r="2" spans="1:16384" s="28" customFormat="1" ht="87.75" customHeight="1">
      <c r="A2" s="33">
        <v>2019</v>
      </c>
      <c r="B2" s="33">
        <v>5</v>
      </c>
      <c r="C2" s="34">
        <v>10</v>
      </c>
      <c r="D2" s="35" t="s">
        <v>1926</v>
      </c>
      <c r="E2" s="35" t="s">
        <v>2944</v>
      </c>
      <c r="F2" s="35" t="s">
        <v>3200</v>
      </c>
      <c r="G2" s="35" t="s">
        <v>2945</v>
      </c>
      <c r="H2" s="36" t="s">
        <v>3203</v>
      </c>
      <c r="I2" s="35" t="s">
        <v>2947</v>
      </c>
      <c r="J2" s="35" t="s">
        <v>2948</v>
      </c>
      <c r="K2" s="35">
        <v>11.04</v>
      </c>
      <c r="L2" s="35">
        <v>2.91</v>
      </c>
      <c r="M2" s="35">
        <v>8.15</v>
      </c>
      <c r="N2" s="35">
        <v>106099.19</v>
      </c>
      <c r="O2" s="44">
        <f t="shared" ref="O2:O4" si="0">N2/M2</f>
        <v>13018.305521472401</v>
      </c>
      <c r="P2" s="45" t="s">
        <v>2949</v>
      </c>
      <c r="Q2" s="35" t="s">
        <v>2950</v>
      </c>
      <c r="R2" s="52"/>
      <c r="S2" s="52"/>
      <c r="T2" s="52"/>
      <c r="U2" s="52"/>
      <c r="V2" s="52"/>
      <c r="W2" s="52"/>
      <c r="X2" s="53"/>
      <c r="Y2" s="53"/>
      <c r="Z2" s="53"/>
      <c r="AA2" s="53"/>
      <c r="AB2" s="53"/>
    </row>
    <row r="3" spans="1:16384" s="29" customFormat="1" ht="32.25" customHeight="1">
      <c r="A3" s="37">
        <v>2019</v>
      </c>
      <c r="B3" s="37">
        <v>4</v>
      </c>
      <c r="C3" s="38">
        <v>1</v>
      </c>
      <c r="D3" s="39" t="s">
        <v>1926</v>
      </c>
      <c r="E3" s="39" t="s">
        <v>2944</v>
      </c>
      <c r="F3" s="39" t="s">
        <v>2951</v>
      </c>
      <c r="G3" s="39" t="s">
        <v>2952</v>
      </c>
      <c r="H3" s="39" t="s">
        <v>2953</v>
      </c>
      <c r="I3" s="39" t="s">
        <v>3205</v>
      </c>
      <c r="J3" s="39" t="s">
        <v>2954</v>
      </c>
      <c r="K3" s="39">
        <v>30.32</v>
      </c>
      <c r="L3" s="39">
        <v>30.32</v>
      </c>
      <c r="M3" s="39">
        <v>88.58</v>
      </c>
      <c r="N3" s="39">
        <v>1903444.32</v>
      </c>
      <c r="O3" s="39">
        <f t="shared" si="0"/>
        <v>21488.420862497202</v>
      </c>
      <c r="P3" s="46" t="s">
        <v>2955</v>
      </c>
      <c r="Q3" s="39" t="s">
        <v>2956</v>
      </c>
      <c r="R3" s="54"/>
      <c r="S3" s="54"/>
      <c r="T3" s="54"/>
      <c r="U3" s="54"/>
      <c r="V3" s="54"/>
      <c r="W3" s="54"/>
      <c r="X3" s="55"/>
      <c r="Y3" s="55"/>
      <c r="Z3" s="55"/>
      <c r="AA3" s="55"/>
      <c r="AB3" s="55"/>
    </row>
    <row r="4" spans="1:16384" s="28" customFormat="1" ht="43.5" customHeight="1">
      <c r="A4" s="33">
        <v>2018</v>
      </c>
      <c r="B4" s="33">
        <v>8</v>
      </c>
      <c r="C4" s="34">
        <v>7</v>
      </c>
      <c r="D4" s="35" t="s">
        <v>1926</v>
      </c>
      <c r="E4" s="35" t="s">
        <v>2944</v>
      </c>
      <c r="F4" s="35" t="s">
        <v>3201</v>
      </c>
      <c r="G4" s="35" t="s">
        <v>2957</v>
      </c>
      <c r="H4" s="36" t="s">
        <v>2946</v>
      </c>
      <c r="I4" s="35" t="s">
        <v>2958</v>
      </c>
      <c r="J4" s="35" t="s">
        <v>2959</v>
      </c>
      <c r="K4" s="35">
        <v>3.81</v>
      </c>
      <c r="L4" s="35">
        <v>2.9</v>
      </c>
      <c r="M4" s="35">
        <v>5.27</v>
      </c>
      <c r="N4" s="35">
        <v>53088.68</v>
      </c>
      <c r="O4" s="44">
        <f t="shared" si="0"/>
        <v>10073.753320683099</v>
      </c>
      <c r="P4" s="45" t="s">
        <v>2960</v>
      </c>
      <c r="Q4" s="35" t="s">
        <v>2961</v>
      </c>
      <c r="R4" s="52"/>
      <c r="S4" s="52"/>
      <c r="T4" s="52"/>
      <c r="U4" s="52"/>
      <c r="V4" s="52"/>
      <c r="W4" s="52"/>
      <c r="X4" s="53"/>
      <c r="Y4" s="53"/>
      <c r="Z4" s="53"/>
      <c r="AA4" s="53"/>
      <c r="AB4" s="53"/>
    </row>
    <row r="5" spans="1:16384" s="29" customFormat="1" ht="32.25" customHeight="1">
      <c r="A5" s="37">
        <v>2018</v>
      </c>
      <c r="B5" s="37">
        <v>3</v>
      </c>
      <c r="C5" s="38">
        <v>4</v>
      </c>
      <c r="D5" s="39" t="s">
        <v>2962</v>
      </c>
      <c r="E5" s="39" t="s">
        <v>2944</v>
      </c>
      <c r="F5" s="39" t="s">
        <v>2963</v>
      </c>
      <c r="G5" s="39" t="s">
        <v>2952</v>
      </c>
      <c r="H5" s="39" t="s">
        <v>2953</v>
      </c>
      <c r="I5" s="39" t="s">
        <v>2964</v>
      </c>
      <c r="J5" s="39" t="s">
        <v>2965</v>
      </c>
      <c r="K5" s="39">
        <v>14.89</v>
      </c>
      <c r="L5" s="39">
        <v>14.89</v>
      </c>
      <c r="M5" s="39" t="s">
        <v>2966</v>
      </c>
      <c r="N5" s="39">
        <v>958099.23</v>
      </c>
      <c r="O5" s="39">
        <f>N5/39.14</f>
        <v>24478.774399591199</v>
      </c>
      <c r="P5" s="46" t="s">
        <v>2967</v>
      </c>
      <c r="Q5" s="39" t="s">
        <v>2968</v>
      </c>
      <c r="R5" s="54"/>
      <c r="S5" s="54"/>
      <c r="T5" s="54"/>
      <c r="U5" s="54"/>
      <c r="V5" s="54"/>
      <c r="W5" s="54"/>
      <c r="X5" s="55"/>
      <c r="Y5" s="55"/>
      <c r="Z5" s="55"/>
      <c r="AA5" s="55"/>
      <c r="AB5" s="55"/>
    </row>
    <row r="6" spans="1:16384" s="28" customFormat="1" ht="32.25" customHeight="1">
      <c r="A6" s="33">
        <v>2018</v>
      </c>
      <c r="B6" s="33">
        <v>2</v>
      </c>
      <c r="C6" s="34">
        <v>2</v>
      </c>
      <c r="D6" s="35" t="s">
        <v>2962</v>
      </c>
      <c r="E6" s="35" t="s">
        <v>2944</v>
      </c>
      <c r="F6" s="35" t="s">
        <v>3202</v>
      </c>
      <c r="G6" s="35" t="s">
        <v>2970</v>
      </c>
      <c r="H6" s="36" t="s">
        <v>3204</v>
      </c>
      <c r="I6" s="35" t="s">
        <v>2971</v>
      </c>
      <c r="J6" s="35" t="s">
        <v>2972</v>
      </c>
      <c r="K6" s="35">
        <v>11.43</v>
      </c>
      <c r="L6" s="35">
        <v>11.43</v>
      </c>
      <c r="M6" s="35">
        <v>15.51</v>
      </c>
      <c r="N6" s="35">
        <v>184818.82</v>
      </c>
      <c r="O6" s="47">
        <f t="shared" ref="O6" si="1">N6/M6</f>
        <v>11916.107027724</v>
      </c>
      <c r="P6" s="45" t="s">
        <v>2973</v>
      </c>
      <c r="Q6" s="35" t="s">
        <v>2974</v>
      </c>
      <c r="R6" s="52"/>
      <c r="S6" s="52"/>
      <c r="T6" s="52"/>
      <c r="U6" s="52"/>
      <c r="V6" s="52"/>
      <c r="W6" s="52"/>
      <c r="X6" s="53"/>
      <c r="Y6" s="53"/>
      <c r="Z6" s="53"/>
      <c r="AA6" s="53"/>
      <c r="AB6" s="53"/>
    </row>
    <row r="7" spans="1:16384" s="30" customFormat="1" ht="32.25" customHeight="1">
      <c r="A7" s="40">
        <v>2018</v>
      </c>
      <c r="B7" s="41" t="s">
        <v>2975</v>
      </c>
      <c r="C7" s="41" t="s">
        <v>2976</v>
      </c>
      <c r="D7" s="41" t="s">
        <v>2962</v>
      </c>
      <c r="E7" s="41" t="s">
        <v>2944</v>
      </c>
      <c r="F7" s="42" t="s">
        <v>2963</v>
      </c>
      <c r="G7" s="41" t="s">
        <v>2952</v>
      </c>
      <c r="H7" s="41" t="s">
        <v>2953</v>
      </c>
      <c r="I7" s="48" t="s">
        <v>2964</v>
      </c>
      <c r="J7" s="46" t="s">
        <v>2965</v>
      </c>
      <c r="K7" s="49">
        <v>103.48</v>
      </c>
      <c r="L7" s="49"/>
      <c r="M7" s="49"/>
      <c r="N7" s="49"/>
      <c r="O7" s="49"/>
      <c r="P7" s="50" t="s">
        <v>2977</v>
      </c>
      <c r="Q7" s="50"/>
      <c r="R7" s="39" t="s">
        <v>1525</v>
      </c>
      <c r="S7" s="41" t="s">
        <v>1525</v>
      </c>
      <c r="T7" s="41">
        <v>49408.17</v>
      </c>
      <c r="U7" s="41">
        <v>2582997.25</v>
      </c>
      <c r="V7" s="49"/>
      <c r="W7" s="56">
        <f>X7+Y7</f>
        <v>25438.79</v>
      </c>
      <c r="X7" s="56">
        <f>ROUND(T7/K7,2)</f>
        <v>477.47</v>
      </c>
      <c r="Y7" s="56">
        <f>ROUND(U7/K7,2)</f>
        <v>24961.32</v>
      </c>
      <c r="Z7" s="39"/>
      <c r="AA7" s="41"/>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7"/>
      <c r="KU7" s="57"/>
      <c r="KV7" s="57"/>
      <c r="KW7" s="57"/>
      <c r="KX7" s="57"/>
      <c r="KY7" s="57"/>
      <c r="KZ7" s="57"/>
      <c r="LA7" s="57"/>
      <c r="LB7" s="57"/>
      <c r="LC7" s="57"/>
      <c r="LD7" s="57"/>
      <c r="LE7" s="57"/>
      <c r="LF7" s="57"/>
      <c r="LG7" s="57"/>
      <c r="LH7" s="57"/>
      <c r="LI7" s="57"/>
      <c r="LJ7" s="57"/>
      <c r="LK7" s="57"/>
      <c r="LL7" s="57"/>
      <c r="LM7" s="57"/>
      <c r="LN7" s="57"/>
      <c r="LO7" s="57"/>
      <c r="LP7" s="57"/>
      <c r="LQ7" s="57"/>
      <c r="LR7" s="57"/>
      <c r="LS7" s="57"/>
      <c r="LT7" s="57"/>
      <c r="LU7" s="57"/>
      <c r="LV7" s="57"/>
      <c r="LW7" s="57"/>
      <c r="LX7" s="57"/>
      <c r="LY7" s="57"/>
      <c r="LZ7" s="57"/>
      <c r="MA7" s="57"/>
      <c r="MB7" s="57"/>
      <c r="MC7" s="57"/>
      <c r="MD7" s="57"/>
      <c r="ME7" s="57"/>
      <c r="MF7" s="57"/>
      <c r="MG7" s="57"/>
      <c r="MH7" s="57"/>
      <c r="MI7" s="57"/>
      <c r="MJ7" s="57"/>
      <c r="MK7" s="57"/>
      <c r="ML7" s="57"/>
      <c r="MM7" s="57"/>
      <c r="MN7" s="57"/>
      <c r="MO7" s="57"/>
      <c r="MP7" s="57"/>
      <c r="MQ7" s="57"/>
      <c r="MR7" s="57"/>
      <c r="MS7" s="57"/>
      <c r="MT7" s="57"/>
      <c r="MU7" s="57"/>
      <c r="MV7" s="57"/>
      <c r="MW7" s="57"/>
      <c r="MX7" s="57"/>
      <c r="MY7" s="57"/>
      <c r="MZ7" s="57"/>
      <c r="NA7" s="57"/>
      <c r="NB7" s="57"/>
      <c r="NC7" s="57"/>
      <c r="ND7" s="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c r="SJ7" s="57"/>
      <c r="SK7" s="57"/>
      <c r="SL7" s="57"/>
      <c r="SM7" s="57"/>
      <c r="SN7" s="57"/>
      <c r="SO7" s="57"/>
      <c r="SP7" s="57"/>
      <c r="SQ7" s="57"/>
      <c r="SR7" s="57"/>
      <c r="SS7" s="57"/>
      <c r="ST7" s="57"/>
      <c r="SU7" s="57"/>
      <c r="SV7" s="57"/>
      <c r="SW7" s="57"/>
      <c r="SX7" s="57"/>
      <c r="SY7" s="57"/>
      <c r="SZ7" s="57"/>
      <c r="TA7" s="57"/>
      <c r="TB7" s="57"/>
      <c r="TC7" s="57"/>
      <c r="TD7" s="57"/>
      <c r="TE7" s="57"/>
      <c r="TF7" s="57"/>
      <c r="TG7" s="57"/>
      <c r="TH7" s="57"/>
      <c r="TI7" s="57"/>
      <c r="TJ7" s="57"/>
      <c r="TK7" s="57"/>
      <c r="TL7" s="57"/>
      <c r="TM7" s="57"/>
      <c r="TN7" s="57"/>
      <c r="TO7" s="57"/>
      <c r="TP7" s="57"/>
      <c r="TQ7" s="57"/>
      <c r="TR7" s="57"/>
      <c r="TS7" s="57"/>
      <c r="TT7" s="57"/>
      <c r="TU7" s="57"/>
      <c r="TV7" s="57"/>
      <c r="TW7" s="57"/>
      <c r="TX7" s="57"/>
      <c r="TY7" s="57"/>
      <c r="TZ7" s="57"/>
      <c r="UA7" s="57"/>
      <c r="UB7" s="57"/>
      <c r="UC7" s="57"/>
      <c r="UD7" s="57"/>
      <c r="UE7" s="57"/>
      <c r="UF7" s="57"/>
      <c r="UG7" s="57"/>
      <c r="UH7" s="57"/>
      <c r="UI7" s="57"/>
      <c r="UJ7" s="57"/>
      <c r="UK7" s="57"/>
      <c r="UL7" s="57"/>
      <c r="UM7" s="57"/>
      <c r="UN7" s="57"/>
      <c r="UO7" s="57"/>
      <c r="UP7" s="57"/>
      <c r="UQ7" s="57"/>
      <c r="UR7" s="57"/>
      <c r="US7" s="57"/>
      <c r="UT7" s="57"/>
      <c r="UU7" s="57"/>
      <c r="UV7" s="57"/>
      <c r="UW7" s="57"/>
      <c r="UX7" s="57"/>
      <c r="UY7" s="57"/>
      <c r="UZ7" s="57"/>
      <c r="VA7" s="57"/>
      <c r="VB7" s="57"/>
      <c r="VC7" s="57"/>
      <c r="VD7" s="57"/>
      <c r="VE7" s="57"/>
      <c r="VF7" s="57"/>
      <c r="VG7" s="57"/>
      <c r="VH7" s="57"/>
      <c r="VI7" s="57"/>
      <c r="VJ7" s="57"/>
      <c r="VK7" s="57"/>
      <c r="VL7" s="57"/>
      <c r="VM7" s="57"/>
      <c r="VN7" s="57"/>
      <c r="VO7" s="57"/>
      <c r="VP7" s="57"/>
      <c r="VQ7" s="57"/>
      <c r="VR7" s="57"/>
      <c r="VS7" s="57"/>
      <c r="VT7" s="57"/>
      <c r="VU7" s="57"/>
      <c r="VV7" s="57"/>
      <c r="VW7" s="57"/>
      <c r="VX7" s="57"/>
      <c r="VY7" s="57"/>
      <c r="VZ7" s="57"/>
      <c r="WA7" s="57"/>
      <c r="WB7" s="57"/>
      <c r="WC7" s="57"/>
      <c r="WD7" s="57"/>
      <c r="WE7" s="57"/>
      <c r="WF7" s="57"/>
      <c r="WG7" s="57"/>
      <c r="WH7" s="57"/>
      <c r="WI7" s="57"/>
      <c r="WJ7" s="57"/>
      <c r="WK7" s="57"/>
      <c r="WL7" s="57"/>
      <c r="WM7" s="57"/>
      <c r="WN7" s="57"/>
      <c r="WO7" s="57"/>
      <c r="WP7" s="57"/>
      <c r="WQ7" s="57"/>
      <c r="WR7" s="57"/>
      <c r="WS7" s="57"/>
      <c r="WT7" s="57"/>
      <c r="WU7" s="57"/>
      <c r="WV7" s="57"/>
      <c r="WW7" s="57"/>
      <c r="WX7" s="57"/>
      <c r="WY7" s="57"/>
      <c r="WZ7" s="57"/>
      <c r="XA7" s="57"/>
      <c r="XB7" s="57"/>
      <c r="XC7" s="57"/>
      <c r="XD7" s="57"/>
      <c r="XE7" s="57"/>
      <c r="XF7" s="57"/>
      <c r="XG7" s="57"/>
      <c r="XH7" s="57"/>
      <c r="XI7" s="57"/>
      <c r="XJ7" s="57"/>
      <c r="XK7" s="57"/>
      <c r="XL7" s="57"/>
      <c r="XM7" s="57"/>
      <c r="XN7" s="57"/>
      <c r="XO7" s="57"/>
      <c r="XP7" s="57"/>
      <c r="XQ7" s="57"/>
      <c r="XR7" s="57"/>
      <c r="XS7" s="57"/>
      <c r="XT7" s="57"/>
      <c r="XU7" s="57"/>
      <c r="XV7" s="57"/>
      <c r="XW7" s="57"/>
      <c r="XX7" s="57"/>
      <c r="XY7" s="57"/>
      <c r="XZ7" s="57"/>
      <c r="YA7" s="57"/>
      <c r="YB7" s="57"/>
      <c r="YC7" s="57"/>
      <c r="YD7" s="57"/>
      <c r="YE7" s="57"/>
      <c r="YF7" s="57"/>
      <c r="YG7" s="57"/>
      <c r="YH7" s="57"/>
      <c r="YI7" s="57"/>
      <c r="YJ7" s="57"/>
      <c r="YK7" s="57"/>
      <c r="YL7" s="57"/>
      <c r="YM7" s="57"/>
      <c r="YN7" s="57"/>
      <c r="YO7" s="57"/>
      <c r="YP7" s="57"/>
      <c r="YQ7" s="57"/>
      <c r="YR7" s="57"/>
      <c r="YS7" s="57"/>
      <c r="YT7" s="57"/>
      <c r="YU7" s="57"/>
      <c r="YV7" s="57"/>
      <c r="YW7" s="57"/>
      <c r="YX7" s="57"/>
      <c r="YY7" s="57"/>
      <c r="YZ7" s="57"/>
      <c r="ZA7" s="57"/>
      <c r="ZB7" s="57"/>
      <c r="ZC7" s="57"/>
      <c r="ZD7" s="57"/>
      <c r="ZE7" s="57"/>
      <c r="ZF7" s="57"/>
      <c r="ZG7" s="57"/>
      <c r="ZH7" s="57"/>
      <c r="ZI7" s="57"/>
      <c r="ZJ7" s="57"/>
      <c r="ZK7" s="57"/>
      <c r="ZL7" s="57"/>
      <c r="ZM7" s="57"/>
      <c r="ZN7" s="57"/>
      <c r="ZO7" s="57"/>
      <c r="ZP7" s="57"/>
      <c r="ZQ7" s="57"/>
      <c r="ZR7" s="57"/>
      <c r="ZS7" s="57"/>
      <c r="ZT7" s="57"/>
      <c r="ZU7" s="57"/>
      <c r="ZV7" s="57"/>
      <c r="ZW7" s="57"/>
      <c r="ZX7" s="57"/>
      <c r="ZY7" s="57"/>
      <c r="ZZ7" s="57"/>
      <c r="AAA7" s="57"/>
      <c r="AAB7" s="57"/>
      <c r="AAC7" s="57"/>
      <c r="AAD7" s="57"/>
      <c r="AAE7" s="57"/>
      <c r="AAF7" s="57"/>
      <c r="AAG7" s="57"/>
      <c r="AAH7" s="57"/>
      <c r="AAI7" s="57"/>
      <c r="AAJ7" s="57"/>
      <c r="AAK7" s="57"/>
      <c r="AAL7" s="57"/>
      <c r="AAM7" s="57"/>
      <c r="AAN7" s="57"/>
      <c r="AAO7" s="57"/>
      <c r="AAP7" s="57"/>
      <c r="AAQ7" s="57"/>
      <c r="AAR7" s="57"/>
      <c r="AAS7" s="57"/>
      <c r="AAT7" s="57"/>
      <c r="AAU7" s="57"/>
      <c r="AAV7" s="57"/>
      <c r="AAW7" s="57"/>
      <c r="AAX7" s="57"/>
      <c r="AAY7" s="57"/>
      <c r="AAZ7" s="57"/>
      <c r="ABA7" s="57"/>
      <c r="ABB7" s="57"/>
      <c r="ABC7" s="57"/>
      <c r="ABD7" s="57"/>
      <c r="ABE7" s="57"/>
      <c r="ABF7" s="57"/>
      <c r="ABG7" s="57"/>
      <c r="ABH7" s="57"/>
      <c r="ABI7" s="57"/>
      <c r="ABJ7" s="57"/>
      <c r="ABK7" s="57"/>
      <c r="ABL7" s="57"/>
      <c r="ABM7" s="57"/>
      <c r="ABN7" s="57"/>
      <c r="ABO7" s="57"/>
      <c r="ABP7" s="57"/>
      <c r="ABQ7" s="57"/>
      <c r="ABR7" s="57"/>
      <c r="ABS7" s="57"/>
      <c r="ABT7" s="57"/>
      <c r="ABU7" s="57"/>
      <c r="ABV7" s="57"/>
      <c r="ABW7" s="57"/>
      <c r="ABX7" s="57"/>
      <c r="ABY7" s="57"/>
      <c r="ABZ7" s="57"/>
      <c r="ACA7" s="57"/>
      <c r="ACB7" s="57"/>
      <c r="ACC7" s="57"/>
      <c r="ACD7" s="57"/>
      <c r="ACE7" s="57"/>
      <c r="ACF7" s="57"/>
      <c r="ACG7" s="57"/>
      <c r="ACH7" s="57"/>
      <c r="ACI7" s="57"/>
      <c r="ACJ7" s="57"/>
      <c r="ACK7" s="57"/>
      <c r="ACL7" s="57"/>
      <c r="ACM7" s="57"/>
      <c r="ACN7" s="57"/>
      <c r="ACO7" s="57"/>
      <c r="ACP7" s="57"/>
      <c r="ACQ7" s="57"/>
      <c r="ACR7" s="57"/>
      <c r="ACS7" s="57"/>
      <c r="ACT7" s="57"/>
      <c r="ACU7" s="57"/>
      <c r="ACV7" s="57"/>
      <c r="ACW7" s="57"/>
      <c r="ACX7" s="57"/>
      <c r="ACY7" s="57"/>
      <c r="ACZ7" s="57"/>
      <c r="ADA7" s="57"/>
      <c r="ADB7" s="57"/>
      <c r="ADC7" s="57"/>
      <c r="ADD7" s="57"/>
      <c r="ADE7" s="57"/>
      <c r="ADF7" s="57"/>
      <c r="ADG7" s="57"/>
      <c r="ADH7" s="57"/>
      <c r="ADI7" s="57"/>
      <c r="ADJ7" s="57"/>
      <c r="ADK7" s="57"/>
      <c r="ADL7" s="57"/>
      <c r="ADM7" s="57"/>
      <c r="ADN7" s="57"/>
      <c r="ADO7" s="57"/>
      <c r="ADP7" s="57"/>
      <c r="ADQ7" s="57"/>
      <c r="ADR7" s="57"/>
      <c r="ADS7" s="57"/>
      <c r="ADT7" s="57"/>
      <c r="ADU7" s="57"/>
      <c r="ADV7" s="57"/>
      <c r="ADW7" s="57"/>
      <c r="ADX7" s="57"/>
      <c r="ADY7" s="57"/>
      <c r="ADZ7" s="57"/>
      <c r="AEA7" s="57"/>
      <c r="AEB7" s="57"/>
      <c r="AEC7" s="57"/>
      <c r="AED7" s="57"/>
      <c r="AEE7" s="57"/>
      <c r="AEF7" s="57"/>
      <c r="AEG7" s="57"/>
      <c r="AEH7" s="57"/>
      <c r="AEI7" s="57"/>
      <c r="AEJ7" s="57"/>
      <c r="AEK7" s="57"/>
      <c r="AEL7" s="57"/>
      <c r="AEM7" s="57"/>
      <c r="AEN7" s="57"/>
      <c r="AEO7" s="57"/>
      <c r="AEP7" s="57"/>
      <c r="AEQ7" s="57"/>
      <c r="AER7" s="57"/>
      <c r="AES7" s="57"/>
      <c r="AET7" s="57"/>
      <c r="AEU7" s="57"/>
      <c r="AEV7" s="57"/>
      <c r="AEW7" s="57"/>
      <c r="AEX7" s="57"/>
      <c r="AEY7" s="57"/>
      <c r="AEZ7" s="57"/>
      <c r="AFA7" s="57"/>
      <c r="AFB7" s="57"/>
      <c r="AFC7" s="57"/>
      <c r="AFD7" s="57"/>
      <c r="AFE7" s="57"/>
      <c r="AFF7" s="57"/>
      <c r="AFG7" s="57"/>
      <c r="AFH7" s="57"/>
      <c r="AFI7" s="57"/>
      <c r="AFJ7" s="57"/>
      <c r="AFK7" s="57"/>
      <c r="AFL7" s="57"/>
      <c r="AFM7" s="57"/>
      <c r="AFN7" s="57"/>
      <c r="AFO7" s="57"/>
      <c r="AFP7" s="57"/>
      <c r="AFQ7" s="57"/>
      <c r="AFR7" s="57"/>
      <c r="AFS7" s="57"/>
      <c r="AFT7" s="57"/>
      <c r="AFU7" s="57"/>
      <c r="AFV7" s="57"/>
      <c r="AFW7" s="57"/>
      <c r="AFX7" s="57"/>
      <c r="AFY7" s="57"/>
      <c r="AFZ7" s="57"/>
      <c r="AGA7" s="57"/>
      <c r="AGB7" s="57"/>
      <c r="AGC7" s="57"/>
      <c r="AGD7" s="57"/>
      <c r="AGE7" s="57"/>
      <c r="AGF7" s="57"/>
      <c r="AGG7" s="57"/>
      <c r="AGH7" s="57"/>
      <c r="AGI7" s="57"/>
      <c r="AGJ7" s="57"/>
      <c r="AGK7" s="57"/>
      <c r="AGL7" s="57"/>
      <c r="AGM7" s="57"/>
      <c r="AGN7" s="57"/>
      <c r="AGO7" s="57"/>
      <c r="AGP7" s="57"/>
      <c r="AGQ7" s="57"/>
      <c r="AGR7" s="57"/>
      <c r="AGS7" s="57"/>
      <c r="AGT7" s="57"/>
      <c r="AGU7" s="57"/>
      <c r="AGV7" s="57"/>
      <c r="AGW7" s="57"/>
      <c r="AGX7" s="57"/>
      <c r="AGY7" s="57"/>
      <c r="AGZ7" s="57"/>
      <c r="AHA7" s="57"/>
      <c r="AHB7" s="57"/>
      <c r="AHC7" s="57"/>
      <c r="AHD7" s="57"/>
      <c r="AHE7" s="57"/>
      <c r="AHF7" s="57"/>
      <c r="AHG7" s="57"/>
      <c r="AHH7" s="57"/>
      <c r="AHI7" s="57"/>
      <c r="AHJ7" s="57"/>
      <c r="AHK7" s="57"/>
      <c r="AHL7" s="57"/>
      <c r="AHM7" s="57"/>
      <c r="AHN7" s="57"/>
      <c r="AHO7" s="57"/>
      <c r="AHP7" s="57"/>
      <c r="AHQ7" s="57"/>
      <c r="AHR7" s="57"/>
      <c r="AHS7" s="57"/>
      <c r="AHT7" s="57"/>
      <c r="AHU7" s="57"/>
      <c r="AHV7" s="57"/>
      <c r="AHW7" s="57"/>
      <c r="AHX7" s="57"/>
      <c r="AHY7" s="57"/>
      <c r="AHZ7" s="57"/>
      <c r="AIA7" s="57"/>
      <c r="AIB7" s="57"/>
      <c r="AIC7" s="57"/>
      <c r="AID7" s="57"/>
      <c r="AIE7" s="57"/>
      <c r="AIF7" s="57"/>
      <c r="AIG7" s="57"/>
      <c r="AIH7" s="57"/>
      <c r="AII7" s="57"/>
      <c r="AIJ7" s="57"/>
      <c r="AIK7" s="57"/>
      <c r="AIL7" s="57"/>
      <c r="AIM7" s="57"/>
      <c r="AIN7" s="57"/>
      <c r="AIO7" s="57"/>
      <c r="AIP7" s="57"/>
      <c r="AIQ7" s="57"/>
      <c r="AIR7" s="57"/>
      <c r="AIS7" s="57"/>
      <c r="AIT7" s="57"/>
      <c r="AIU7" s="57"/>
      <c r="AIV7" s="57"/>
      <c r="AIW7" s="57"/>
      <c r="AIX7" s="57"/>
      <c r="AIY7" s="57"/>
      <c r="AIZ7" s="57"/>
      <c r="AJA7" s="57"/>
      <c r="AJB7" s="57"/>
      <c r="AJC7" s="57"/>
      <c r="AJD7" s="57"/>
      <c r="AJE7" s="57"/>
      <c r="AJF7" s="57"/>
      <c r="AJG7" s="57"/>
      <c r="AJH7" s="57"/>
      <c r="AJI7" s="57"/>
      <c r="AJJ7" s="57"/>
      <c r="AJK7" s="57"/>
      <c r="AJL7" s="57"/>
      <c r="AJM7" s="57"/>
      <c r="AJN7" s="57"/>
      <c r="AJO7" s="57"/>
      <c r="AJP7" s="57"/>
      <c r="AJQ7" s="57"/>
      <c r="AJR7" s="57"/>
      <c r="AJS7" s="57"/>
      <c r="AJT7" s="57"/>
      <c r="AJU7" s="57"/>
      <c r="AJV7" s="57"/>
      <c r="AJW7" s="57"/>
      <c r="AJX7" s="57"/>
      <c r="AJY7" s="57"/>
      <c r="AJZ7" s="57"/>
      <c r="AKA7" s="57"/>
      <c r="AKB7" s="57"/>
      <c r="AKC7" s="57"/>
      <c r="AKD7" s="57"/>
      <c r="AKE7" s="57"/>
      <c r="AKF7" s="57"/>
      <c r="AKG7" s="57"/>
      <c r="AKH7" s="57"/>
      <c r="AKI7" s="57"/>
      <c r="AKJ7" s="57"/>
      <c r="AKK7" s="57"/>
      <c r="AKL7" s="57"/>
      <c r="AKM7" s="57"/>
      <c r="AKN7" s="57"/>
      <c r="AKO7" s="57"/>
      <c r="AKP7" s="57"/>
      <c r="AKQ7" s="57"/>
      <c r="AKR7" s="57"/>
      <c r="AKS7" s="57"/>
      <c r="AKT7" s="57"/>
      <c r="AKU7" s="57"/>
      <c r="AKV7" s="57"/>
      <c r="AKW7" s="57"/>
      <c r="AKX7" s="57"/>
      <c r="AKY7" s="57"/>
      <c r="AKZ7" s="57"/>
      <c r="ALA7" s="57"/>
      <c r="ALB7" s="57"/>
      <c r="ALC7" s="57"/>
      <c r="ALD7" s="57"/>
      <c r="ALE7" s="57"/>
      <c r="ALF7" s="57"/>
      <c r="ALG7" s="57"/>
      <c r="ALH7" s="57"/>
      <c r="ALI7" s="57"/>
      <c r="ALJ7" s="57"/>
      <c r="ALK7" s="57"/>
      <c r="ALL7" s="57"/>
      <c r="ALM7" s="57"/>
      <c r="ALN7" s="57"/>
      <c r="ALO7" s="57"/>
      <c r="ALP7" s="57"/>
      <c r="ALQ7" s="57"/>
      <c r="ALR7" s="57"/>
      <c r="ALS7" s="57"/>
      <c r="ALT7" s="57"/>
      <c r="ALU7" s="57"/>
      <c r="ALV7" s="57"/>
      <c r="ALW7" s="57"/>
      <c r="ALX7" s="57"/>
      <c r="ALY7" s="57"/>
      <c r="ALZ7" s="57"/>
      <c r="AMA7" s="57"/>
      <c r="AMB7" s="57"/>
      <c r="AMC7" s="57"/>
      <c r="AMD7" s="57"/>
      <c r="AME7" s="57"/>
      <c r="AMF7" s="57"/>
      <c r="AMG7" s="57"/>
      <c r="AMH7" s="57"/>
      <c r="AMI7" s="57"/>
      <c r="AMJ7" s="57"/>
      <c r="AMK7" s="57"/>
      <c r="AML7" s="57"/>
      <c r="AMM7" s="57"/>
      <c r="AMN7" s="57"/>
      <c r="AMO7" s="57"/>
      <c r="AMP7" s="57"/>
      <c r="AMQ7" s="57"/>
      <c r="AMR7" s="57"/>
      <c r="AMS7" s="57"/>
      <c r="AMT7" s="57"/>
      <c r="AMU7" s="57"/>
      <c r="AMV7" s="57"/>
      <c r="AMW7" s="57"/>
      <c r="AMX7" s="57"/>
      <c r="AMY7" s="57"/>
      <c r="AMZ7" s="57"/>
      <c r="ANA7" s="57"/>
      <c r="ANB7" s="57"/>
      <c r="ANC7" s="57"/>
      <c r="AND7" s="57"/>
      <c r="ANE7" s="57"/>
      <c r="ANF7" s="57"/>
      <c r="ANG7" s="57"/>
      <c r="ANH7" s="57"/>
      <c r="ANI7" s="57"/>
      <c r="ANJ7" s="57"/>
      <c r="ANK7" s="57"/>
      <c r="ANL7" s="57"/>
      <c r="ANM7" s="57"/>
      <c r="ANN7" s="57"/>
      <c r="ANO7" s="57"/>
      <c r="ANP7" s="57"/>
      <c r="ANQ7" s="57"/>
      <c r="ANR7" s="57"/>
      <c r="ANS7" s="57"/>
      <c r="ANT7" s="57"/>
      <c r="ANU7" s="57"/>
      <c r="ANV7" s="57"/>
      <c r="ANW7" s="57"/>
      <c r="ANX7" s="57"/>
      <c r="ANY7" s="57"/>
      <c r="ANZ7" s="57"/>
      <c r="AOA7" s="57"/>
      <c r="AOB7" s="57"/>
      <c r="AOC7" s="57"/>
      <c r="AOD7" s="57"/>
      <c r="AOE7" s="57"/>
      <c r="AOF7" s="57"/>
      <c r="AOG7" s="57"/>
      <c r="AOH7" s="57"/>
      <c r="AOI7" s="57"/>
      <c r="AOJ7" s="57"/>
      <c r="AOK7" s="57"/>
      <c r="AOL7" s="57"/>
      <c r="AOM7" s="57"/>
      <c r="AON7" s="57"/>
      <c r="AOO7" s="57"/>
      <c r="AOP7" s="57"/>
      <c r="AOQ7" s="57"/>
      <c r="AOR7" s="57"/>
      <c r="AOS7" s="57"/>
      <c r="AOT7" s="57"/>
      <c r="AOU7" s="57"/>
      <c r="AOV7" s="57"/>
      <c r="AOW7" s="57"/>
      <c r="AOX7" s="57"/>
      <c r="AOY7" s="57"/>
      <c r="AOZ7" s="57"/>
      <c r="APA7" s="57"/>
      <c r="APB7" s="57"/>
      <c r="APC7" s="57"/>
      <c r="APD7" s="57"/>
      <c r="APE7" s="57"/>
      <c r="APF7" s="57"/>
      <c r="APG7" s="57"/>
      <c r="APH7" s="57"/>
      <c r="API7" s="57"/>
      <c r="APJ7" s="57"/>
      <c r="APK7" s="57"/>
      <c r="APL7" s="57"/>
      <c r="APM7" s="57"/>
      <c r="APN7" s="57"/>
      <c r="APO7" s="57"/>
      <c r="APP7" s="57"/>
      <c r="APQ7" s="57"/>
      <c r="APR7" s="57"/>
      <c r="APS7" s="57"/>
      <c r="APT7" s="57"/>
      <c r="APU7" s="57"/>
      <c r="APV7" s="57"/>
      <c r="APW7" s="57"/>
      <c r="APX7" s="57"/>
      <c r="APY7" s="57"/>
      <c r="APZ7" s="57"/>
      <c r="AQA7" s="57"/>
      <c r="AQB7" s="57"/>
      <c r="AQC7" s="57"/>
      <c r="AQD7" s="57"/>
      <c r="AQE7" s="57"/>
      <c r="AQF7" s="57"/>
      <c r="AQG7" s="57"/>
      <c r="AQH7" s="57"/>
      <c r="AQI7" s="57"/>
      <c r="AQJ7" s="57"/>
      <c r="AQK7" s="57"/>
      <c r="AQL7" s="57"/>
      <c r="AQM7" s="57"/>
      <c r="AQN7" s="57"/>
      <c r="AQO7" s="57"/>
      <c r="AQP7" s="57"/>
      <c r="AQQ7" s="57"/>
      <c r="AQR7" s="57"/>
      <c r="AQS7" s="57"/>
      <c r="AQT7" s="57"/>
      <c r="AQU7" s="57"/>
      <c r="AQV7" s="57"/>
      <c r="AQW7" s="57"/>
      <c r="AQX7" s="57"/>
      <c r="AQY7" s="57"/>
      <c r="AQZ7" s="57"/>
      <c r="ARA7" s="57"/>
      <c r="ARB7" s="57"/>
      <c r="ARC7" s="57"/>
      <c r="ARD7" s="57"/>
      <c r="ARE7" s="57"/>
      <c r="ARF7" s="57"/>
      <c r="ARG7" s="57"/>
      <c r="ARH7" s="57"/>
      <c r="ARI7" s="57"/>
      <c r="ARJ7" s="57"/>
      <c r="ARK7" s="57"/>
      <c r="ARL7" s="57"/>
      <c r="ARM7" s="57"/>
      <c r="ARN7" s="57"/>
      <c r="ARO7" s="57"/>
      <c r="ARP7" s="57"/>
      <c r="ARQ7" s="57"/>
      <c r="ARR7" s="57"/>
      <c r="ARS7" s="57"/>
      <c r="ART7" s="57"/>
      <c r="ARU7" s="57"/>
      <c r="ARV7" s="57"/>
      <c r="ARW7" s="57"/>
      <c r="ARX7" s="57"/>
      <c r="ARY7" s="57"/>
      <c r="ARZ7" s="57"/>
      <c r="ASA7" s="57"/>
      <c r="ASB7" s="57"/>
      <c r="ASC7" s="57"/>
      <c r="ASD7" s="57"/>
      <c r="ASE7" s="57"/>
      <c r="ASF7" s="57"/>
      <c r="ASG7" s="57"/>
      <c r="ASH7" s="57"/>
      <c r="ASI7" s="57"/>
      <c r="ASJ7" s="57"/>
      <c r="ASK7" s="57"/>
      <c r="ASL7" s="57"/>
      <c r="ASM7" s="57"/>
      <c r="ASN7" s="57"/>
      <c r="ASO7" s="57"/>
      <c r="ASP7" s="57"/>
      <c r="ASQ7" s="57"/>
      <c r="ASR7" s="57"/>
      <c r="ASS7" s="57"/>
      <c r="AST7" s="57"/>
      <c r="ASU7" s="57"/>
      <c r="ASV7" s="57"/>
      <c r="ASW7" s="57"/>
      <c r="ASX7" s="57"/>
      <c r="ASY7" s="57"/>
      <c r="ASZ7" s="57"/>
      <c r="ATA7" s="57"/>
      <c r="ATB7" s="57"/>
      <c r="ATC7" s="57"/>
      <c r="ATD7" s="57"/>
      <c r="ATE7" s="57"/>
      <c r="ATF7" s="57"/>
      <c r="ATG7" s="57"/>
      <c r="ATH7" s="57"/>
      <c r="ATI7" s="57"/>
      <c r="ATJ7" s="57"/>
      <c r="ATK7" s="57"/>
      <c r="ATL7" s="57"/>
      <c r="ATM7" s="57"/>
      <c r="ATN7" s="57"/>
      <c r="ATO7" s="57"/>
      <c r="ATP7" s="57"/>
      <c r="ATQ7" s="57"/>
      <c r="ATR7" s="57"/>
      <c r="ATS7" s="57"/>
      <c r="ATT7" s="57"/>
      <c r="ATU7" s="57"/>
      <c r="ATV7" s="57"/>
      <c r="ATW7" s="57"/>
      <c r="ATX7" s="57"/>
      <c r="ATY7" s="57"/>
      <c r="ATZ7" s="57"/>
      <c r="AUA7" s="57"/>
      <c r="AUB7" s="57"/>
      <c r="AUC7" s="57"/>
      <c r="AUD7" s="57"/>
      <c r="AUE7" s="57"/>
      <c r="AUF7" s="57"/>
      <c r="AUG7" s="57"/>
      <c r="AUH7" s="57"/>
      <c r="AUI7" s="57"/>
      <c r="AUJ7" s="57"/>
      <c r="AUK7" s="57"/>
      <c r="AUL7" s="57"/>
      <c r="AUM7" s="57"/>
      <c r="AUN7" s="57"/>
      <c r="AUO7" s="57"/>
      <c r="AUP7" s="57"/>
      <c r="AUQ7" s="57"/>
      <c r="AUR7" s="57"/>
      <c r="AUS7" s="57"/>
      <c r="AUT7" s="57"/>
      <c r="AUU7" s="57"/>
      <c r="AUV7" s="57"/>
      <c r="AUW7" s="57"/>
      <c r="AUX7" s="57"/>
      <c r="AUY7" s="57"/>
      <c r="AUZ7" s="57"/>
      <c r="AVA7" s="57"/>
      <c r="AVB7" s="57"/>
      <c r="AVC7" s="57"/>
      <c r="AVD7" s="57"/>
      <c r="AVE7" s="57"/>
      <c r="AVF7" s="57"/>
      <c r="AVG7" s="57"/>
      <c r="AVH7" s="57"/>
      <c r="AVI7" s="57"/>
      <c r="AVJ7" s="57"/>
      <c r="AVK7" s="57"/>
      <c r="AVL7" s="57"/>
      <c r="AVM7" s="57"/>
      <c r="AVN7" s="57"/>
      <c r="AVO7" s="57"/>
      <c r="AVP7" s="57"/>
      <c r="AVQ7" s="57"/>
      <c r="AVR7" s="57"/>
      <c r="AVS7" s="57"/>
      <c r="AVT7" s="57"/>
      <c r="AVU7" s="57"/>
      <c r="AVV7" s="57"/>
      <c r="AVW7" s="57"/>
      <c r="AVX7" s="57"/>
      <c r="AVY7" s="57"/>
      <c r="AVZ7" s="57"/>
      <c r="AWA7" s="57"/>
      <c r="AWB7" s="57"/>
      <c r="AWC7" s="57"/>
      <c r="AWD7" s="57"/>
      <c r="AWE7" s="57"/>
      <c r="AWF7" s="57"/>
      <c r="AWG7" s="57"/>
      <c r="AWH7" s="57"/>
      <c r="AWI7" s="57"/>
      <c r="AWJ7" s="57"/>
      <c r="AWK7" s="57"/>
      <c r="AWL7" s="57"/>
      <c r="AWM7" s="57"/>
      <c r="AWN7" s="57"/>
      <c r="AWO7" s="57"/>
      <c r="AWP7" s="57"/>
      <c r="AWQ7" s="57"/>
      <c r="AWR7" s="57"/>
      <c r="AWS7" s="57"/>
      <c r="AWT7" s="57"/>
      <c r="AWU7" s="57"/>
      <c r="AWV7" s="57"/>
      <c r="AWW7" s="57"/>
      <c r="AWX7" s="57"/>
      <c r="AWY7" s="57"/>
      <c r="AWZ7" s="57"/>
      <c r="AXA7" s="57"/>
      <c r="AXB7" s="57"/>
      <c r="AXC7" s="57"/>
      <c r="AXD7" s="57"/>
      <c r="AXE7" s="57"/>
      <c r="AXF7" s="57"/>
      <c r="AXG7" s="57"/>
      <c r="AXH7" s="57"/>
      <c r="AXI7" s="57"/>
      <c r="AXJ7" s="57"/>
      <c r="AXK7" s="57"/>
      <c r="AXL7" s="57"/>
      <c r="AXM7" s="57"/>
      <c r="AXN7" s="57"/>
      <c r="AXO7" s="57"/>
      <c r="AXP7" s="57"/>
      <c r="AXQ7" s="57"/>
      <c r="AXR7" s="57"/>
      <c r="AXS7" s="57"/>
      <c r="AXT7" s="57"/>
      <c r="AXU7" s="57"/>
      <c r="AXV7" s="57"/>
      <c r="AXW7" s="57"/>
      <c r="AXX7" s="57"/>
      <c r="AXY7" s="57"/>
      <c r="AXZ7" s="57"/>
      <c r="AYA7" s="57"/>
      <c r="AYB7" s="57"/>
      <c r="AYC7" s="57"/>
      <c r="AYD7" s="57"/>
      <c r="AYE7" s="57"/>
      <c r="AYF7" s="57"/>
      <c r="AYG7" s="57"/>
      <c r="AYH7" s="57"/>
      <c r="AYI7" s="57"/>
      <c r="AYJ7" s="57"/>
      <c r="AYK7" s="57"/>
      <c r="AYL7" s="57"/>
      <c r="AYM7" s="57"/>
      <c r="AYN7" s="57"/>
      <c r="AYO7" s="57"/>
      <c r="AYP7" s="57"/>
      <c r="AYQ7" s="57"/>
      <c r="AYR7" s="57"/>
      <c r="AYS7" s="57"/>
      <c r="AYT7" s="57"/>
      <c r="AYU7" s="57"/>
      <c r="AYV7" s="57"/>
      <c r="AYW7" s="57"/>
      <c r="AYX7" s="57"/>
      <c r="AYY7" s="57"/>
      <c r="AYZ7" s="57"/>
      <c r="AZA7" s="57"/>
      <c r="AZB7" s="57"/>
      <c r="AZC7" s="57"/>
      <c r="AZD7" s="57"/>
      <c r="AZE7" s="57"/>
      <c r="AZF7" s="57"/>
      <c r="AZG7" s="57"/>
      <c r="AZH7" s="57"/>
      <c r="AZI7" s="57"/>
      <c r="AZJ7" s="57"/>
      <c r="AZK7" s="57"/>
      <c r="AZL7" s="57"/>
      <c r="AZM7" s="57"/>
      <c r="AZN7" s="57"/>
      <c r="AZO7" s="57"/>
      <c r="AZP7" s="57"/>
      <c r="AZQ7" s="57"/>
      <c r="AZR7" s="57"/>
      <c r="AZS7" s="57"/>
      <c r="AZT7" s="57"/>
      <c r="AZU7" s="57"/>
      <c r="AZV7" s="57"/>
      <c r="AZW7" s="57"/>
      <c r="AZX7" s="57"/>
      <c r="AZY7" s="57"/>
      <c r="AZZ7" s="57"/>
      <c r="BAA7" s="57"/>
      <c r="BAB7" s="57"/>
      <c r="BAC7" s="57"/>
      <c r="BAD7" s="57"/>
      <c r="BAE7" s="57"/>
      <c r="BAF7" s="57"/>
      <c r="BAG7" s="57"/>
      <c r="BAH7" s="57"/>
      <c r="BAI7" s="57"/>
      <c r="BAJ7" s="57"/>
      <c r="BAK7" s="57"/>
      <c r="BAL7" s="57"/>
      <c r="BAM7" s="57"/>
      <c r="BAN7" s="57"/>
      <c r="BAO7" s="57"/>
      <c r="BAP7" s="57"/>
      <c r="BAQ7" s="57"/>
      <c r="BAR7" s="57"/>
      <c r="BAS7" s="57"/>
      <c r="BAT7" s="57"/>
      <c r="BAU7" s="57"/>
      <c r="BAV7" s="57"/>
      <c r="BAW7" s="57"/>
      <c r="BAX7" s="57"/>
      <c r="BAY7" s="57"/>
      <c r="BAZ7" s="57"/>
      <c r="BBA7" s="57"/>
      <c r="BBB7" s="57"/>
      <c r="BBC7" s="57"/>
      <c r="BBD7" s="57"/>
      <c r="BBE7" s="57"/>
      <c r="BBF7" s="57"/>
      <c r="BBG7" s="57"/>
      <c r="BBH7" s="57"/>
      <c r="BBI7" s="57"/>
      <c r="BBJ7" s="57"/>
      <c r="BBK7" s="57"/>
      <c r="BBL7" s="57"/>
      <c r="BBM7" s="57"/>
      <c r="BBN7" s="57"/>
      <c r="BBO7" s="57"/>
      <c r="BBP7" s="57"/>
      <c r="BBQ7" s="57"/>
      <c r="BBR7" s="57"/>
      <c r="BBS7" s="57"/>
      <c r="BBT7" s="57"/>
      <c r="BBU7" s="57"/>
      <c r="BBV7" s="57"/>
      <c r="BBW7" s="57"/>
      <c r="BBX7" s="57"/>
      <c r="BBY7" s="57"/>
      <c r="BBZ7" s="57"/>
      <c r="BCA7" s="57"/>
      <c r="BCB7" s="57"/>
      <c r="BCC7" s="57"/>
      <c r="BCD7" s="57"/>
      <c r="BCE7" s="57"/>
      <c r="BCF7" s="57"/>
      <c r="BCG7" s="57"/>
      <c r="BCH7" s="57"/>
      <c r="BCI7" s="57"/>
      <c r="BCJ7" s="57"/>
      <c r="BCK7" s="57"/>
      <c r="BCL7" s="57"/>
      <c r="BCM7" s="57"/>
      <c r="BCN7" s="57"/>
      <c r="BCO7" s="57"/>
      <c r="BCP7" s="57"/>
      <c r="BCQ7" s="57"/>
      <c r="BCR7" s="57"/>
      <c r="BCS7" s="57"/>
      <c r="BCT7" s="57"/>
      <c r="BCU7" s="57"/>
      <c r="BCV7" s="57"/>
      <c r="BCW7" s="57"/>
      <c r="BCX7" s="57"/>
      <c r="BCY7" s="57"/>
      <c r="BCZ7" s="57"/>
      <c r="BDA7" s="57"/>
      <c r="BDB7" s="57"/>
      <c r="BDC7" s="57"/>
      <c r="BDD7" s="57"/>
      <c r="BDE7" s="57"/>
      <c r="BDF7" s="57"/>
      <c r="BDG7" s="57"/>
      <c r="BDH7" s="57"/>
      <c r="BDI7" s="57"/>
      <c r="BDJ7" s="57"/>
      <c r="BDK7" s="57"/>
      <c r="BDL7" s="57"/>
      <c r="BDM7" s="57"/>
      <c r="BDN7" s="57"/>
      <c r="BDO7" s="57"/>
      <c r="BDP7" s="57"/>
      <c r="BDQ7" s="57"/>
      <c r="BDR7" s="57"/>
      <c r="BDS7" s="57"/>
      <c r="BDT7" s="57"/>
      <c r="BDU7" s="57"/>
      <c r="BDV7" s="57"/>
      <c r="BDW7" s="57"/>
      <c r="BDX7" s="57"/>
      <c r="BDY7" s="57"/>
      <c r="BDZ7" s="57"/>
      <c r="BEA7" s="57"/>
      <c r="BEB7" s="57"/>
      <c r="BEC7" s="57"/>
      <c r="BED7" s="57"/>
      <c r="BEE7" s="57"/>
      <c r="BEF7" s="57"/>
      <c r="BEG7" s="57"/>
      <c r="BEH7" s="57"/>
      <c r="BEI7" s="57"/>
      <c r="BEJ7" s="57"/>
      <c r="BEK7" s="57"/>
      <c r="BEL7" s="57"/>
      <c r="BEM7" s="57"/>
      <c r="BEN7" s="57"/>
      <c r="BEO7" s="57"/>
      <c r="BEP7" s="57"/>
      <c r="BEQ7" s="57"/>
      <c r="BER7" s="57"/>
      <c r="BES7" s="57"/>
      <c r="BET7" s="57"/>
      <c r="BEU7" s="57"/>
      <c r="BEV7" s="57"/>
      <c r="BEW7" s="57"/>
      <c r="BEX7" s="57"/>
      <c r="BEY7" s="57"/>
      <c r="BEZ7" s="57"/>
      <c r="BFA7" s="57"/>
      <c r="BFB7" s="57"/>
      <c r="BFC7" s="57"/>
      <c r="BFD7" s="57"/>
      <c r="BFE7" s="57"/>
      <c r="BFF7" s="57"/>
      <c r="BFG7" s="57"/>
      <c r="BFH7" s="57"/>
      <c r="BFI7" s="57"/>
      <c r="BFJ7" s="57"/>
      <c r="BFK7" s="57"/>
      <c r="BFL7" s="57"/>
      <c r="BFM7" s="57"/>
      <c r="BFN7" s="57"/>
      <c r="BFO7" s="57"/>
      <c r="BFP7" s="57"/>
      <c r="BFQ7" s="57"/>
      <c r="BFR7" s="57"/>
      <c r="BFS7" s="57"/>
      <c r="BFT7" s="57"/>
      <c r="BFU7" s="57"/>
      <c r="BFV7" s="57"/>
      <c r="BFW7" s="57"/>
      <c r="BFX7" s="57"/>
      <c r="BFY7" s="57"/>
      <c r="BFZ7" s="57"/>
      <c r="BGA7" s="57"/>
      <c r="BGB7" s="57"/>
      <c r="BGC7" s="57"/>
      <c r="BGD7" s="57"/>
      <c r="BGE7" s="57"/>
      <c r="BGF7" s="57"/>
      <c r="BGG7" s="57"/>
      <c r="BGH7" s="57"/>
      <c r="BGI7" s="57"/>
      <c r="BGJ7" s="57"/>
      <c r="BGK7" s="57"/>
      <c r="BGL7" s="57"/>
      <c r="BGM7" s="57"/>
      <c r="BGN7" s="57"/>
      <c r="BGO7" s="57"/>
      <c r="BGP7" s="57"/>
      <c r="BGQ7" s="57"/>
      <c r="BGR7" s="57"/>
      <c r="BGS7" s="57"/>
      <c r="BGT7" s="57"/>
      <c r="BGU7" s="57"/>
      <c r="BGV7" s="57"/>
      <c r="BGW7" s="57"/>
      <c r="BGX7" s="57"/>
      <c r="BGY7" s="57"/>
      <c r="BGZ7" s="57"/>
      <c r="BHA7" s="57"/>
      <c r="BHB7" s="57"/>
      <c r="BHC7" s="57"/>
      <c r="BHD7" s="57"/>
      <c r="BHE7" s="57"/>
      <c r="BHF7" s="57"/>
      <c r="BHG7" s="57"/>
      <c r="BHH7" s="57"/>
      <c r="BHI7" s="57"/>
      <c r="BHJ7" s="57"/>
      <c r="BHK7" s="57"/>
      <c r="BHL7" s="57"/>
      <c r="BHM7" s="57"/>
      <c r="BHN7" s="57"/>
      <c r="BHO7" s="57"/>
      <c r="BHP7" s="57"/>
      <c r="BHQ7" s="57"/>
      <c r="BHR7" s="57"/>
      <c r="BHS7" s="57"/>
      <c r="BHT7" s="57"/>
      <c r="BHU7" s="57"/>
      <c r="BHV7" s="57"/>
      <c r="BHW7" s="57"/>
      <c r="BHX7" s="57"/>
      <c r="BHY7" s="57"/>
      <c r="BHZ7" s="57"/>
      <c r="BIA7" s="57"/>
      <c r="BIB7" s="57"/>
      <c r="BIC7" s="57"/>
      <c r="BID7" s="57"/>
      <c r="BIE7" s="57"/>
      <c r="BIF7" s="57"/>
      <c r="BIG7" s="57"/>
      <c r="BIH7" s="57"/>
      <c r="BII7" s="57"/>
      <c r="BIJ7" s="57"/>
      <c r="BIK7" s="57"/>
      <c r="BIL7" s="57"/>
      <c r="BIM7" s="57"/>
      <c r="BIN7" s="57"/>
      <c r="BIO7" s="57"/>
      <c r="BIP7" s="57"/>
      <c r="BIQ7" s="57"/>
      <c r="BIR7" s="57"/>
      <c r="BIS7" s="57"/>
      <c r="BIT7" s="57"/>
      <c r="BIU7" s="57"/>
      <c r="BIV7" s="57"/>
      <c r="BIW7" s="57"/>
      <c r="BIX7" s="57"/>
      <c r="BIY7" s="57"/>
      <c r="BIZ7" s="57"/>
      <c r="BJA7" s="57"/>
      <c r="BJB7" s="57"/>
      <c r="BJC7" s="57"/>
      <c r="BJD7" s="57"/>
      <c r="BJE7" s="57"/>
      <c r="BJF7" s="57"/>
      <c r="BJG7" s="57"/>
      <c r="BJH7" s="57"/>
      <c r="BJI7" s="57"/>
      <c r="BJJ7" s="57"/>
      <c r="BJK7" s="57"/>
      <c r="BJL7" s="57"/>
      <c r="BJM7" s="57"/>
      <c r="BJN7" s="57"/>
      <c r="BJO7" s="57"/>
      <c r="BJP7" s="57"/>
      <c r="BJQ7" s="57"/>
      <c r="BJR7" s="57"/>
      <c r="BJS7" s="57"/>
      <c r="BJT7" s="57"/>
      <c r="BJU7" s="57"/>
      <c r="BJV7" s="57"/>
      <c r="BJW7" s="57"/>
      <c r="BJX7" s="57"/>
      <c r="BJY7" s="57"/>
      <c r="BJZ7" s="57"/>
      <c r="BKA7" s="57"/>
      <c r="BKB7" s="57"/>
      <c r="BKC7" s="57"/>
      <c r="BKD7" s="57"/>
      <c r="BKE7" s="57"/>
      <c r="BKF7" s="57"/>
      <c r="BKG7" s="57"/>
      <c r="BKH7" s="57"/>
      <c r="BKI7" s="57"/>
      <c r="BKJ7" s="57"/>
      <c r="BKK7" s="57"/>
      <c r="BKL7" s="57"/>
      <c r="BKM7" s="57"/>
      <c r="BKN7" s="57"/>
      <c r="BKO7" s="57"/>
      <c r="BKP7" s="57"/>
      <c r="BKQ7" s="57"/>
      <c r="BKR7" s="57"/>
      <c r="BKS7" s="57"/>
      <c r="BKT7" s="57"/>
      <c r="BKU7" s="57"/>
      <c r="BKV7" s="57"/>
      <c r="BKW7" s="57"/>
      <c r="BKX7" s="57"/>
      <c r="BKY7" s="57"/>
      <c r="BKZ7" s="57"/>
      <c r="BLA7" s="57"/>
      <c r="BLB7" s="57"/>
      <c r="BLC7" s="57"/>
      <c r="BLD7" s="57"/>
      <c r="BLE7" s="57"/>
      <c r="BLF7" s="57"/>
      <c r="BLG7" s="57"/>
      <c r="BLH7" s="57"/>
      <c r="BLI7" s="57"/>
      <c r="BLJ7" s="57"/>
      <c r="BLK7" s="57"/>
      <c r="BLL7" s="57"/>
      <c r="BLM7" s="57"/>
      <c r="BLN7" s="57"/>
      <c r="BLO7" s="57"/>
      <c r="BLP7" s="57"/>
      <c r="BLQ7" s="57"/>
      <c r="BLR7" s="57"/>
      <c r="BLS7" s="57"/>
      <c r="BLT7" s="57"/>
      <c r="BLU7" s="57"/>
      <c r="BLV7" s="57"/>
      <c r="BLW7" s="57"/>
      <c r="BLX7" s="57"/>
      <c r="BLY7" s="57"/>
      <c r="BLZ7" s="57"/>
      <c r="BMA7" s="57"/>
      <c r="BMB7" s="57"/>
      <c r="BMC7" s="57"/>
      <c r="BMD7" s="57"/>
      <c r="BME7" s="57"/>
      <c r="BMF7" s="57"/>
      <c r="BMG7" s="57"/>
      <c r="BMH7" s="57"/>
      <c r="BMI7" s="57"/>
      <c r="BMJ7" s="57"/>
      <c r="BMK7" s="57"/>
      <c r="BML7" s="57"/>
      <c r="BMM7" s="57"/>
      <c r="BMN7" s="57"/>
      <c r="BMO7" s="57"/>
      <c r="BMP7" s="57"/>
      <c r="BMQ7" s="57"/>
      <c r="BMR7" s="57"/>
      <c r="BMS7" s="57"/>
      <c r="BMT7" s="57"/>
      <c r="BMU7" s="57"/>
      <c r="BMV7" s="57"/>
      <c r="BMW7" s="57"/>
      <c r="BMX7" s="57"/>
      <c r="BMY7" s="57"/>
      <c r="BMZ7" s="57"/>
      <c r="BNA7" s="57"/>
      <c r="BNB7" s="57"/>
      <c r="BNC7" s="57"/>
      <c r="BND7" s="57"/>
      <c r="BNE7" s="57"/>
      <c r="BNF7" s="57"/>
      <c r="BNG7" s="57"/>
      <c r="BNH7" s="57"/>
      <c r="BNI7" s="57"/>
      <c r="BNJ7" s="57"/>
      <c r="BNK7" s="57"/>
      <c r="BNL7" s="57"/>
      <c r="BNM7" s="57"/>
      <c r="BNN7" s="57"/>
      <c r="BNO7" s="57"/>
      <c r="BNP7" s="57"/>
      <c r="BNQ7" s="57"/>
      <c r="BNR7" s="57"/>
      <c r="BNS7" s="57"/>
      <c r="BNT7" s="57"/>
      <c r="BNU7" s="57"/>
      <c r="BNV7" s="57"/>
      <c r="BNW7" s="57"/>
      <c r="BNX7" s="57"/>
      <c r="BNY7" s="57"/>
      <c r="BNZ7" s="57"/>
      <c r="BOA7" s="57"/>
      <c r="BOB7" s="57"/>
      <c r="BOC7" s="57"/>
      <c r="BOD7" s="57"/>
      <c r="BOE7" s="57"/>
      <c r="BOF7" s="57"/>
      <c r="BOG7" s="57"/>
      <c r="BOH7" s="57"/>
      <c r="BOI7" s="57"/>
      <c r="BOJ7" s="57"/>
      <c r="BOK7" s="57"/>
      <c r="BOL7" s="57"/>
      <c r="BOM7" s="57"/>
      <c r="BON7" s="57"/>
      <c r="BOO7" s="57"/>
      <c r="BOP7" s="57"/>
      <c r="BOQ7" s="57"/>
      <c r="BOR7" s="57"/>
      <c r="BOS7" s="57"/>
      <c r="BOT7" s="57"/>
      <c r="BOU7" s="57"/>
      <c r="BOV7" s="57"/>
      <c r="BOW7" s="57"/>
      <c r="BOX7" s="57"/>
      <c r="BOY7" s="57"/>
      <c r="BOZ7" s="57"/>
      <c r="BPA7" s="57"/>
      <c r="BPB7" s="57"/>
      <c r="BPC7" s="57"/>
      <c r="BPD7" s="57"/>
      <c r="BPE7" s="57"/>
      <c r="BPF7" s="57"/>
      <c r="BPG7" s="57"/>
      <c r="BPH7" s="57"/>
      <c r="BPI7" s="57"/>
      <c r="BPJ7" s="57"/>
      <c r="BPK7" s="57"/>
      <c r="BPL7" s="57"/>
      <c r="BPM7" s="57"/>
      <c r="BPN7" s="57"/>
      <c r="BPO7" s="57"/>
      <c r="BPP7" s="57"/>
      <c r="BPQ7" s="57"/>
      <c r="BPR7" s="57"/>
      <c r="BPS7" s="57"/>
      <c r="BPT7" s="57"/>
      <c r="BPU7" s="57"/>
      <c r="BPV7" s="57"/>
      <c r="BPW7" s="57"/>
      <c r="BPX7" s="57"/>
      <c r="BPY7" s="57"/>
      <c r="BPZ7" s="57"/>
      <c r="BQA7" s="57"/>
      <c r="BQB7" s="57"/>
      <c r="BQC7" s="57"/>
      <c r="BQD7" s="57"/>
      <c r="BQE7" s="57"/>
      <c r="BQF7" s="57"/>
      <c r="BQG7" s="57"/>
      <c r="BQH7" s="57"/>
      <c r="BQI7" s="57"/>
      <c r="BQJ7" s="57"/>
      <c r="BQK7" s="57"/>
      <c r="BQL7" s="57"/>
      <c r="BQM7" s="57"/>
      <c r="BQN7" s="57"/>
      <c r="BQO7" s="57"/>
      <c r="BQP7" s="57"/>
      <c r="BQQ7" s="57"/>
      <c r="BQR7" s="57"/>
      <c r="BQS7" s="57"/>
      <c r="BQT7" s="57"/>
      <c r="BQU7" s="57"/>
      <c r="BQV7" s="57"/>
      <c r="BQW7" s="57"/>
      <c r="BQX7" s="57"/>
      <c r="BQY7" s="57"/>
      <c r="BQZ7" s="57"/>
      <c r="BRA7" s="57"/>
      <c r="BRB7" s="57"/>
      <c r="BRC7" s="57"/>
      <c r="BRD7" s="57"/>
      <c r="BRE7" s="57"/>
      <c r="BRF7" s="57"/>
      <c r="BRG7" s="57"/>
      <c r="BRH7" s="57"/>
      <c r="BRI7" s="57"/>
      <c r="BRJ7" s="57"/>
      <c r="BRK7" s="57"/>
      <c r="BRL7" s="57"/>
      <c r="BRM7" s="57"/>
      <c r="BRN7" s="57"/>
      <c r="BRO7" s="57"/>
      <c r="BRP7" s="57"/>
      <c r="BRQ7" s="57"/>
      <c r="BRR7" s="57"/>
      <c r="BRS7" s="57"/>
      <c r="BRT7" s="57"/>
      <c r="BRU7" s="57"/>
      <c r="BRV7" s="57"/>
      <c r="BRW7" s="57"/>
      <c r="BRX7" s="57"/>
      <c r="BRY7" s="57"/>
      <c r="BRZ7" s="57"/>
      <c r="BSA7" s="57"/>
      <c r="BSB7" s="57"/>
      <c r="BSC7" s="57"/>
      <c r="BSD7" s="57"/>
      <c r="BSE7" s="57"/>
      <c r="BSF7" s="57"/>
      <c r="BSG7" s="57"/>
      <c r="BSH7" s="57"/>
      <c r="BSI7" s="57"/>
      <c r="BSJ7" s="57"/>
      <c r="BSK7" s="57"/>
      <c r="BSL7" s="57"/>
      <c r="BSM7" s="57"/>
      <c r="BSN7" s="57"/>
      <c r="BSO7" s="57"/>
      <c r="BSP7" s="57"/>
      <c r="BSQ7" s="57"/>
      <c r="BSR7" s="57"/>
      <c r="BSS7" s="57"/>
      <c r="BST7" s="57"/>
      <c r="BSU7" s="57"/>
      <c r="BSV7" s="57"/>
      <c r="BSW7" s="57"/>
      <c r="BSX7" s="57"/>
      <c r="BSY7" s="57"/>
      <c r="BSZ7" s="57"/>
      <c r="BTA7" s="57"/>
      <c r="BTB7" s="57"/>
      <c r="BTC7" s="57"/>
      <c r="BTD7" s="57"/>
      <c r="BTE7" s="57"/>
      <c r="BTF7" s="57"/>
      <c r="BTG7" s="57"/>
      <c r="BTH7" s="57"/>
      <c r="BTI7" s="57"/>
      <c r="BTJ7" s="57"/>
      <c r="BTK7" s="57"/>
      <c r="BTL7" s="57"/>
      <c r="BTM7" s="57"/>
      <c r="BTN7" s="57"/>
      <c r="BTO7" s="57"/>
      <c r="BTP7" s="57"/>
      <c r="BTQ7" s="57"/>
      <c r="BTR7" s="57"/>
      <c r="BTS7" s="57"/>
      <c r="BTT7" s="57"/>
      <c r="BTU7" s="57"/>
      <c r="BTV7" s="57"/>
      <c r="BTW7" s="57"/>
      <c r="BTX7" s="57"/>
      <c r="BTY7" s="57"/>
      <c r="BTZ7" s="57"/>
      <c r="BUA7" s="57"/>
      <c r="BUB7" s="57"/>
      <c r="BUC7" s="57"/>
      <c r="BUD7" s="57"/>
      <c r="BUE7" s="57"/>
      <c r="BUF7" s="57"/>
      <c r="BUG7" s="57"/>
      <c r="BUH7" s="57"/>
      <c r="BUI7" s="57"/>
      <c r="BUJ7" s="57"/>
      <c r="BUK7" s="57"/>
      <c r="BUL7" s="57"/>
      <c r="BUM7" s="57"/>
      <c r="BUN7" s="57"/>
      <c r="BUO7" s="57"/>
      <c r="BUP7" s="57"/>
      <c r="BUQ7" s="57"/>
      <c r="BUR7" s="57"/>
      <c r="BUS7" s="57"/>
      <c r="BUT7" s="57"/>
      <c r="BUU7" s="57"/>
      <c r="BUV7" s="57"/>
      <c r="BUW7" s="57"/>
      <c r="BUX7" s="57"/>
      <c r="BUY7" s="57"/>
      <c r="BUZ7" s="57"/>
      <c r="BVA7" s="57"/>
      <c r="BVB7" s="57"/>
      <c r="BVC7" s="57"/>
      <c r="BVD7" s="57"/>
      <c r="BVE7" s="57"/>
      <c r="BVF7" s="57"/>
      <c r="BVG7" s="57"/>
      <c r="BVH7" s="57"/>
      <c r="BVI7" s="57"/>
      <c r="BVJ7" s="57"/>
      <c r="BVK7" s="57"/>
      <c r="BVL7" s="57"/>
      <c r="BVM7" s="57"/>
      <c r="BVN7" s="57"/>
      <c r="BVO7" s="57"/>
      <c r="BVP7" s="57"/>
      <c r="BVQ7" s="57"/>
      <c r="BVR7" s="57"/>
      <c r="BVS7" s="57"/>
      <c r="BVT7" s="57"/>
      <c r="BVU7" s="57"/>
      <c r="BVV7" s="57"/>
      <c r="BVW7" s="57"/>
      <c r="BVX7" s="57"/>
      <c r="BVY7" s="57"/>
      <c r="BVZ7" s="57"/>
      <c r="BWA7" s="57"/>
      <c r="BWB7" s="57"/>
      <c r="BWC7" s="57"/>
      <c r="BWD7" s="57"/>
      <c r="BWE7" s="57"/>
      <c r="BWF7" s="57"/>
      <c r="BWG7" s="57"/>
      <c r="BWH7" s="57"/>
      <c r="BWI7" s="57"/>
      <c r="BWJ7" s="57"/>
      <c r="BWK7" s="57"/>
      <c r="BWL7" s="57"/>
      <c r="BWM7" s="57"/>
      <c r="BWN7" s="57"/>
      <c r="BWO7" s="57"/>
      <c r="BWP7" s="57"/>
      <c r="BWQ7" s="57"/>
      <c r="BWR7" s="57"/>
      <c r="BWS7" s="57"/>
      <c r="BWT7" s="57"/>
      <c r="BWU7" s="57"/>
      <c r="BWV7" s="57"/>
      <c r="BWW7" s="57"/>
      <c r="BWX7" s="57"/>
      <c r="BWY7" s="57"/>
      <c r="BWZ7" s="57"/>
      <c r="BXA7" s="57"/>
      <c r="BXB7" s="57"/>
      <c r="BXC7" s="57"/>
      <c r="BXD7" s="57"/>
      <c r="BXE7" s="57"/>
      <c r="BXF7" s="57"/>
      <c r="BXG7" s="57"/>
      <c r="BXH7" s="57"/>
      <c r="BXI7" s="57"/>
      <c r="BXJ7" s="57"/>
      <c r="BXK7" s="57"/>
      <c r="BXL7" s="57"/>
      <c r="BXM7" s="57"/>
      <c r="BXN7" s="57"/>
      <c r="BXO7" s="57"/>
      <c r="BXP7" s="57"/>
      <c r="BXQ7" s="57"/>
      <c r="BXR7" s="57"/>
      <c r="BXS7" s="57"/>
      <c r="BXT7" s="57"/>
      <c r="BXU7" s="57"/>
      <c r="BXV7" s="57"/>
      <c r="BXW7" s="57"/>
      <c r="BXX7" s="57"/>
      <c r="BXY7" s="57"/>
      <c r="BXZ7" s="57"/>
      <c r="BYA7" s="57"/>
      <c r="BYB7" s="57"/>
      <c r="BYC7" s="57"/>
      <c r="BYD7" s="57"/>
      <c r="BYE7" s="57"/>
      <c r="BYF7" s="57"/>
      <c r="BYG7" s="57"/>
      <c r="BYH7" s="57"/>
      <c r="BYI7" s="57"/>
      <c r="BYJ7" s="57"/>
      <c r="BYK7" s="57"/>
      <c r="BYL7" s="57"/>
      <c r="BYM7" s="57"/>
      <c r="BYN7" s="57"/>
      <c r="BYO7" s="57"/>
      <c r="BYP7" s="57"/>
      <c r="BYQ7" s="57"/>
      <c r="BYR7" s="57"/>
      <c r="BYS7" s="57"/>
      <c r="BYT7" s="57"/>
      <c r="BYU7" s="57"/>
      <c r="BYV7" s="57"/>
      <c r="BYW7" s="57"/>
      <c r="BYX7" s="57"/>
      <c r="BYY7" s="57"/>
      <c r="BYZ7" s="57"/>
      <c r="BZA7" s="57"/>
      <c r="BZB7" s="57"/>
      <c r="BZC7" s="57"/>
      <c r="BZD7" s="57"/>
      <c r="BZE7" s="57"/>
      <c r="BZF7" s="57"/>
      <c r="BZG7" s="57"/>
      <c r="BZH7" s="57"/>
      <c r="BZI7" s="57"/>
      <c r="BZJ7" s="57"/>
      <c r="BZK7" s="57"/>
      <c r="BZL7" s="57"/>
      <c r="BZM7" s="57"/>
      <c r="BZN7" s="57"/>
      <c r="BZO7" s="57"/>
      <c r="BZP7" s="57"/>
      <c r="BZQ7" s="57"/>
      <c r="BZR7" s="57"/>
      <c r="BZS7" s="57"/>
      <c r="BZT7" s="57"/>
      <c r="BZU7" s="57"/>
      <c r="BZV7" s="57"/>
      <c r="BZW7" s="57"/>
      <c r="BZX7" s="57"/>
      <c r="BZY7" s="57"/>
      <c r="BZZ7" s="57"/>
      <c r="CAA7" s="57"/>
      <c r="CAB7" s="57"/>
      <c r="CAC7" s="57"/>
      <c r="CAD7" s="57"/>
      <c r="CAE7" s="57"/>
      <c r="CAF7" s="57"/>
      <c r="CAG7" s="57"/>
      <c r="CAH7" s="57"/>
      <c r="CAI7" s="57"/>
      <c r="CAJ7" s="57"/>
      <c r="CAK7" s="57"/>
      <c r="CAL7" s="57"/>
      <c r="CAM7" s="57"/>
      <c r="CAN7" s="57"/>
      <c r="CAO7" s="57"/>
      <c r="CAP7" s="57"/>
      <c r="CAQ7" s="57"/>
      <c r="CAR7" s="57"/>
      <c r="CAS7" s="57"/>
      <c r="CAT7" s="57"/>
      <c r="CAU7" s="57"/>
      <c r="CAV7" s="57"/>
      <c r="CAW7" s="57"/>
      <c r="CAX7" s="57"/>
      <c r="CAY7" s="57"/>
      <c r="CAZ7" s="57"/>
      <c r="CBA7" s="57"/>
      <c r="CBB7" s="57"/>
      <c r="CBC7" s="57"/>
      <c r="CBD7" s="57"/>
      <c r="CBE7" s="57"/>
      <c r="CBF7" s="57"/>
      <c r="CBG7" s="57"/>
      <c r="CBH7" s="57"/>
      <c r="CBI7" s="57"/>
      <c r="CBJ7" s="57"/>
      <c r="CBK7" s="57"/>
      <c r="CBL7" s="57"/>
      <c r="CBM7" s="57"/>
      <c r="CBN7" s="57"/>
      <c r="CBO7" s="57"/>
      <c r="CBP7" s="57"/>
      <c r="CBQ7" s="57"/>
      <c r="CBR7" s="57"/>
      <c r="CBS7" s="57"/>
      <c r="CBT7" s="57"/>
      <c r="CBU7" s="57"/>
      <c r="CBV7" s="57"/>
      <c r="CBW7" s="57"/>
      <c r="CBX7" s="57"/>
      <c r="CBY7" s="57"/>
      <c r="CBZ7" s="57"/>
      <c r="CCA7" s="57"/>
      <c r="CCB7" s="57"/>
      <c r="CCC7" s="57"/>
      <c r="CCD7" s="57"/>
      <c r="CCE7" s="57"/>
      <c r="CCF7" s="57"/>
      <c r="CCG7" s="57"/>
      <c r="CCH7" s="57"/>
      <c r="CCI7" s="57"/>
      <c r="CCJ7" s="57"/>
      <c r="CCK7" s="57"/>
      <c r="CCL7" s="57"/>
      <c r="CCM7" s="57"/>
      <c r="CCN7" s="57"/>
      <c r="CCO7" s="57"/>
      <c r="CCP7" s="57"/>
      <c r="CCQ7" s="57"/>
      <c r="CCR7" s="57"/>
      <c r="CCS7" s="57"/>
      <c r="CCT7" s="57"/>
      <c r="CCU7" s="57"/>
      <c r="CCV7" s="57"/>
      <c r="CCW7" s="57"/>
      <c r="CCX7" s="57"/>
      <c r="CCY7" s="57"/>
      <c r="CCZ7" s="57"/>
      <c r="CDA7" s="57"/>
      <c r="CDB7" s="57"/>
      <c r="CDC7" s="57"/>
      <c r="CDD7" s="57"/>
      <c r="CDE7" s="57"/>
      <c r="CDF7" s="57"/>
      <c r="CDG7" s="57"/>
      <c r="CDH7" s="57"/>
      <c r="CDI7" s="57"/>
      <c r="CDJ7" s="57"/>
      <c r="CDK7" s="57"/>
      <c r="CDL7" s="57"/>
      <c r="CDM7" s="57"/>
      <c r="CDN7" s="57"/>
      <c r="CDO7" s="57"/>
      <c r="CDP7" s="57"/>
      <c r="CDQ7" s="57"/>
      <c r="CDR7" s="57"/>
      <c r="CDS7" s="57"/>
      <c r="CDT7" s="57"/>
      <c r="CDU7" s="57"/>
      <c r="CDV7" s="57"/>
      <c r="CDW7" s="57"/>
      <c r="CDX7" s="57"/>
      <c r="CDY7" s="57"/>
      <c r="CDZ7" s="57"/>
      <c r="CEA7" s="57"/>
      <c r="CEB7" s="57"/>
      <c r="CEC7" s="57"/>
      <c r="CED7" s="57"/>
      <c r="CEE7" s="57"/>
      <c r="CEF7" s="57"/>
      <c r="CEG7" s="57"/>
      <c r="CEH7" s="57"/>
      <c r="CEI7" s="57"/>
      <c r="CEJ7" s="57"/>
      <c r="CEK7" s="57"/>
      <c r="CEL7" s="57"/>
      <c r="CEM7" s="57"/>
      <c r="CEN7" s="57"/>
      <c r="CEO7" s="57"/>
      <c r="CEP7" s="57"/>
      <c r="CEQ7" s="57"/>
      <c r="CER7" s="57"/>
      <c r="CES7" s="57"/>
      <c r="CET7" s="57"/>
      <c r="CEU7" s="57"/>
      <c r="CEV7" s="57"/>
      <c r="CEW7" s="57"/>
      <c r="CEX7" s="57"/>
      <c r="CEY7" s="57"/>
      <c r="CEZ7" s="57"/>
      <c r="CFA7" s="57"/>
      <c r="CFB7" s="57"/>
      <c r="CFC7" s="57"/>
      <c r="CFD7" s="57"/>
      <c r="CFE7" s="57"/>
      <c r="CFF7" s="57"/>
      <c r="CFG7" s="57"/>
      <c r="CFH7" s="57"/>
      <c r="CFI7" s="57"/>
      <c r="CFJ7" s="57"/>
      <c r="CFK7" s="57"/>
      <c r="CFL7" s="57"/>
      <c r="CFM7" s="57"/>
      <c r="CFN7" s="57"/>
      <c r="CFO7" s="57"/>
      <c r="CFP7" s="57"/>
      <c r="CFQ7" s="57"/>
      <c r="CFR7" s="57"/>
      <c r="CFS7" s="57"/>
      <c r="CFT7" s="57"/>
      <c r="CFU7" s="57"/>
      <c r="CFV7" s="57"/>
      <c r="CFW7" s="57"/>
      <c r="CFX7" s="57"/>
      <c r="CFY7" s="57"/>
      <c r="CFZ7" s="57"/>
      <c r="CGA7" s="57"/>
      <c r="CGB7" s="57"/>
      <c r="CGC7" s="57"/>
      <c r="CGD7" s="57"/>
      <c r="CGE7" s="57"/>
      <c r="CGF7" s="57"/>
      <c r="CGG7" s="57"/>
      <c r="CGH7" s="57"/>
      <c r="CGI7" s="57"/>
      <c r="CGJ7" s="57"/>
      <c r="CGK7" s="57"/>
      <c r="CGL7" s="57"/>
      <c r="CGM7" s="57"/>
      <c r="CGN7" s="57"/>
      <c r="CGO7" s="57"/>
      <c r="CGP7" s="57"/>
      <c r="CGQ7" s="57"/>
      <c r="CGR7" s="57"/>
      <c r="CGS7" s="57"/>
      <c r="CGT7" s="57"/>
      <c r="CGU7" s="57"/>
      <c r="CGV7" s="57"/>
      <c r="CGW7" s="57"/>
      <c r="CGX7" s="57"/>
      <c r="CGY7" s="57"/>
      <c r="CGZ7" s="57"/>
      <c r="CHA7" s="57"/>
      <c r="CHB7" s="57"/>
      <c r="CHC7" s="57"/>
      <c r="CHD7" s="57"/>
      <c r="CHE7" s="57"/>
      <c r="CHF7" s="57"/>
      <c r="CHG7" s="57"/>
      <c r="CHH7" s="57"/>
      <c r="CHI7" s="57"/>
      <c r="CHJ7" s="57"/>
      <c r="CHK7" s="57"/>
      <c r="CHL7" s="57"/>
      <c r="CHM7" s="57"/>
      <c r="CHN7" s="57"/>
      <c r="CHO7" s="57"/>
      <c r="CHP7" s="57"/>
      <c r="CHQ7" s="57"/>
      <c r="CHR7" s="57"/>
      <c r="CHS7" s="57"/>
      <c r="CHT7" s="57"/>
      <c r="CHU7" s="57"/>
      <c r="CHV7" s="57"/>
      <c r="CHW7" s="57"/>
      <c r="CHX7" s="57"/>
      <c r="CHY7" s="57"/>
      <c r="CHZ7" s="57"/>
      <c r="CIA7" s="57"/>
      <c r="CIB7" s="57"/>
      <c r="CIC7" s="57"/>
      <c r="CID7" s="57"/>
      <c r="CIE7" s="57"/>
      <c r="CIF7" s="57"/>
      <c r="CIG7" s="57"/>
      <c r="CIH7" s="57"/>
      <c r="CII7" s="57"/>
      <c r="CIJ7" s="57"/>
      <c r="CIK7" s="57"/>
      <c r="CIL7" s="57"/>
      <c r="CIM7" s="57"/>
      <c r="CIN7" s="57"/>
      <c r="CIO7" s="57"/>
      <c r="CIP7" s="57"/>
      <c r="CIQ7" s="57"/>
      <c r="CIR7" s="57"/>
      <c r="CIS7" s="57"/>
      <c r="CIT7" s="57"/>
      <c r="CIU7" s="57"/>
      <c r="CIV7" s="57"/>
      <c r="CIW7" s="57"/>
      <c r="CIX7" s="57"/>
      <c r="CIY7" s="57"/>
      <c r="CIZ7" s="57"/>
      <c r="CJA7" s="57"/>
      <c r="CJB7" s="57"/>
      <c r="CJC7" s="57"/>
      <c r="CJD7" s="57"/>
      <c r="CJE7" s="57"/>
      <c r="CJF7" s="57"/>
      <c r="CJG7" s="57"/>
      <c r="CJH7" s="57"/>
      <c r="CJI7" s="57"/>
      <c r="CJJ7" s="57"/>
      <c r="CJK7" s="57"/>
      <c r="CJL7" s="57"/>
      <c r="CJM7" s="57"/>
      <c r="CJN7" s="57"/>
      <c r="CJO7" s="57"/>
      <c r="CJP7" s="57"/>
      <c r="CJQ7" s="57"/>
      <c r="CJR7" s="57"/>
      <c r="CJS7" s="57"/>
      <c r="CJT7" s="57"/>
      <c r="CJU7" s="57"/>
      <c r="CJV7" s="57"/>
      <c r="CJW7" s="57"/>
      <c r="CJX7" s="57"/>
      <c r="CJY7" s="57"/>
      <c r="CJZ7" s="57"/>
      <c r="CKA7" s="57"/>
      <c r="CKB7" s="57"/>
      <c r="CKC7" s="57"/>
      <c r="CKD7" s="57"/>
      <c r="CKE7" s="57"/>
      <c r="CKF7" s="57"/>
      <c r="CKG7" s="57"/>
      <c r="CKH7" s="57"/>
      <c r="CKI7" s="57"/>
      <c r="CKJ7" s="57"/>
      <c r="CKK7" s="57"/>
      <c r="CKL7" s="57"/>
      <c r="CKM7" s="57"/>
      <c r="CKN7" s="57"/>
      <c r="CKO7" s="57"/>
      <c r="CKP7" s="57"/>
      <c r="CKQ7" s="57"/>
      <c r="CKR7" s="57"/>
      <c r="CKS7" s="57"/>
      <c r="CKT7" s="57"/>
      <c r="CKU7" s="57"/>
      <c r="CKV7" s="57"/>
      <c r="CKW7" s="57"/>
      <c r="CKX7" s="57"/>
      <c r="CKY7" s="57"/>
      <c r="CKZ7" s="57"/>
      <c r="CLA7" s="57"/>
      <c r="CLB7" s="57"/>
      <c r="CLC7" s="57"/>
      <c r="CLD7" s="57"/>
      <c r="CLE7" s="57"/>
      <c r="CLF7" s="57"/>
      <c r="CLG7" s="57"/>
      <c r="CLH7" s="57"/>
      <c r="CLI7" s="57"/>
      <c r="CLJ7" s="57"/>
      <c r="CLK7" s="57"/>
      <c r="CLL7" s="57"/>
      <c r="CLM7" s="57"/>
      <c r="CLN7" s="57"/>
      <c r="CLO7" s="57"/>
      <c r="CLP7" s="57"/>
      <c r="CLQ7" s="57"/>
      <c r="CLR7" s="57"/>
      <c r="CLS7" s="57"/>
      <c r="CLT7" s="57"/>
      <c r="CLU7" s="57"/>
      <c r="CLV7" s="57"/>
      <c r="CLW7" s="57"/>
      <c r="CLX7" s="57"/>
      <c r="CLY7" s="57"/>
      <c r="CLZ7" s="57"/>
      <c r="CMA7" s="57"/>
      <c r="CMB7" s="57"/>
      <c r="CMC7" s="57"/>
      <c r="CMD7" s="57"/>
      <c r="CME7" s="57"/>
      <c r="CMF7" s="57"/>
      <c r="CMG7" s="57"/>
      <c r="CMH7" s="57"/>
      <c r="CMI7" s="57"/>
      <c r="CMJ7" s="57"/>
      <c r="CMK7" s="57"/>
      <c r="CML7" s="57"/>
      <c r="CMM7" s="57"/>
      <c r="CMN7" s="57"/>
      <c r="CMO7" s="57"/>
      <c r="CMP7" s="57"/>
      <c r="CMQ7" s="57"/>
      <c r="CMR7" s="57"/>
      <c r="CMS7" s="57"/>
      <c r="CMT7" s="57"/>
      <c r="CMU7" s="57"/>
      <c r="CMV7" s="57"/>
      <c r="CMW7" s="57"/>
      <c r="CMX7" s="57"/>
      <c r="CMY7" s="57"/>
      <c r="CMZ7" s="57"/>
      <c r="CNA7" s="57"/>
      <c r="CNB7" s="57"/>
      <c r="CNC7" s="57"/>
      <c r="CND7" s="57"/>
      <c r="CNE7" s="57"/>
      <c r="CNF7" s="57"/>
      <c r="CNG7" s="57"/>
      <c r="CNH7" s="57"/>
      <c r="CNI7" s="57"/>
      <c r="CNJ7" s="57"/>
      <c r="CNK7" s="57"/>
      <c r="CNL7" s="57"/>
      <c r="CNM7" s="57"/>
      <c r="CNN7" s="57"/>
      <c r="CNO7" s="57"/>
      <c r="CNP7" s="57"/>
      <c r="CNQ7" s="57"/>
      <c r="CNR7" s="57"/>
      <c r="CNS7" s="57"/>
      <c r="CNT7" s="57"/>
      <c r="CNU7" s="57"/>
      <c r="CNV7" s="57"/>
      <c r="CNW7" s="57"/>
      <c r="CNX7" s="57"/>
      <c r="CNY7" s="57"/>
      <c r="CNZ7" s="57"/>
      <c r="COA7" s="57"/>
      <c r="COB7" s="57"/>
      <c r="COC7" s="57"/>
      <c r="COD7" s="57"/>
      <c r="COE7" s="57"/>
      <c r="COF7" s="57"/>
      <c r="COG7" s="57"/>
      <c r="COH7" s="57"/>
      <c r="COI7" s="57"/>
      <c r="COJ7" s="57"/>
      <c r="COK7" s="57"/>
      <c r="COL7" s="57"/>
      <c r="COM7" s="57"/>
      <c r="CON7" s="57"/>
      <c r="COO7" s="57"/>
      <c r="COP7" s="57"/>
      <c r="COQ7" s="57"/>
      <c r="COR7" s="57"/>
      <c r="COS7" s="57"/>
      <c r="COT7" s="57"/>
      <c r="COU7" s="57"/>
      <c r="COV7" s="57"/>
      <c r="COW7" s="57"/>
      <c r="COX7" s="57"/>
      <c r="COY7" s="57"/>
      <c r="COZ7" s="57"/>
      <c r="CPA7" s="57"/>
      <c r="CPB7" s="57"/>
      <c r="CPC7" s="57"/>
      <c r="CPD7" s="57"/>
      <c r="CPE7" s="57"/>
      <c r="CPF7" s="57"/>
      <c r="CPG7" s="57"/>
      <c r="CPH7" s="57"/>
      <c r="CPI7" s="57"/>
      <c r="CPJ7" s="57"/>
      <c r="CPK7" s="57"/>
      <c r="CPL7" s="57"/>
      <c r="CPM7" s="57"/>
      <c r="CPN7" s="57"/>
      <c r="CPO7" s="57"/>
      <c r="CPP7" s="57"/>
      <c r="CPQ7" s="57"/>
      <c r="CPR7" s="57"/>
      <c r="CPS7" s="57"/>
      <c r="CPT7" s="57"/>
      <c r="CPU7" s="57"/>
      <c r="CPV7" s="57"/>
      <c r="CPW7" s="57"/>
      <c r="CPX7" s="57"/>
      <c r="CPY7" s="57"/>
      <c r="CPZ7" s="57"/>
      <c r="CQA7" s="57"/>
      <c r="CQB7" s="57"/>
      <c r="CQC7" s="57"/>
      <c r="CQD7" s="57"/>
      <c r="CQE7" s="57"/>
      <c r="CQF7" s="57"/>
      <c r="CQG7" s="57"/>
      <c r="CQH7" s="57"/>
      <c r="CQI7" s="57"/>
      <c r="CQJ7" s="57"/>
      <c r="CQK7" s="57"/>
      <c r="CQL7" s="57"/>
      <c r="CQM7" s="57"/>
      <c r="CQN7" s="57"/>
      <c r="CQO7" s="57"/>
      <c r="CQP7" s="57"/>
      <c r="CQQ7" s="57"/>
      <c r="CQR7" s="57"/>
      <c r="CQS7" s="57"/>
      <c r="CQT7" s="57"/>
      <c r="CQU7" s="57"/>
      <c r="CQV7" s="57"/>
      <c r="CQW7" s="57"/>
      <c r="CQX7" s="57"/>
      <c r="CQY7" s="57"/>
      <c r="CQZ7" s="57"/>
      <c r="CRA7" s="57"/>
      <c r="CRB7" s="57"/>
      <c r="CRC7" s="57"/>
      <c r="CRD7" s="57"/>
      <c r="CRE7" s="57"/>
      <c r="CRF7" s="57"/>
      <c r="CRG7" s="57"/>
      <c r="CRH7" s="57"/>
      <c r="CRI7" s="57"/>
      <c r="CRJ7" s="57"/>
      <c r="CRK7" s="57"/>
      <c r="CRL7" s="57"/>
      <c r="CRM7" s="57"/>
      <c r="CRN7" s="57"/>
      <c r="CRO7" s="57"/>
      <c r="CRP7" s="57"/>
      <c r="CRQ7" s="57"/>
      <c r="CRR7" s="57"/>
      <c r="CRS7" s="57"/>
      <c r="CRT7" s="57"/>
      <c r="CRU7" s="57"/>
      <c r="CRV7" s="57"/>
      <c r="CRW7" s="57"/>
      <c r="CRX7" s="57"/>
      <c r="CRY7" s="57"/>
      <c r="CRZ7" s="57"/>
      <c r="CSA7" s="57"/>
      <c r="CSB7" s="57"/>
      <c r="CSC7" s="57"/>
      <c r="CSD7" s="57"/>
      <c r="CSE7" s="57"/>
      <c r="CSF7" s="57"/>
      <c r="CSG7" s="57"/>
      <c r="CSH7" s="57"/>
      <c r="CSI7" s="57"/>
      <c r="CSJ7" s="57"/>
      <c r="CSK7" s="57"/>
      <c r="CSL7" s="57"/>
      <c r="CSM7" s="57"/>
      <c r="CSN7" s="57"/>
      <c r="CSO7" s="57"/>
      <c r="CSP7" s="57"/>
      <c r="CSQ7" s="57"/>
      <c r="CSR7" s="57"/>
      <c r="CSS7" s="57"/>
      <c r="CST7" s="57"/>
      <c r="CSU7" s="57"/>
      <c r="CSV7" s="57"/>
      <c r="CSW7" s="57"/>
      <c r="CSX7" s="57"/>
      <c r="CSY7" s="57"/>
      <c r="CSZ7" s="57"/>
      <c r="CTA7" s="57"/>
      <c r="CTB7" s="57"/>
      <c r="CTC7" s="57"/>
      <c r="CTD7" s="57"/>
      <c r="CTE7" s="57"/>
      <c r="CTF7" s="57"/>
      <c r="CTG7" s="57"/>
      <c r="CTH7" s="57"/>
      <c r="CTI7" s="57"/>
      <c r="CTJ7" s="57"/>
      <c r="CTK7" s="57"/>
      <c r="CTL7" s="57"/>
      <c r="CTM7" s="57"/>
      <c r="CTN7" s="57"/>
      <c r="CTO7" s="57"/>
      <c r="CTP7" s="57"/>
      <c r="CTQ7" s="57"/>
      <c r="CTR7" s="57"/>
      <c r="CTS7" s="57"/>
      <c r="CTT7" s="57"/>
      <c r="CTU7" s="57"/>
      <c r="CTV7" s="57"/>
      <c r="CTW7" s="57"/>
      <c r="CTX7" s="57"/>
      <c r="CTY7" s="57"/>
      <c r="CTZ7" s="57"/>
      <c r="CUA7" s="57"/>
      <c r="CUB7" s="57"/>
      <c r="CUC7" s="57"/>
      <c r="CUD7" s="57"/>
      <c r="CUE7" s="57"/>
      <c r="CUF7" s="57"/>
      <c r="CUG7" s="57"/>
      <c r="CUH7" s="57"/>
      <c r="CUI7" s="57"/>
      <c r="CUJ7" s="57"/>
      <c r="CUK7" s="57"/>
      <c r="CUL7" s="57"/>
      <c r="CUM7" s="57"/>
      <c r="CUN7" s="57"/>
      <c r="CUO7" s="57"/>
      <c r="CUP7" s="57"/>
      <c r="CUQ7" s="57"/>
      <c r="CUR7" s="57"/>
      <c r="CUS7" s="57"/>
      <c r="CUT7" s="57"/>
      <c r="CUU7" s="57"/>
      <c r="CUV7" s="57"/>
      <c r="CUW7" s="57"/>
      <c r="CUX7" s="57"/>
      <c r="CUY7" s="57"/>
      <c r="CUZ7" s="57"/>
      <c r="CVA7" s="57"/>
      <c r="CVB7" s="57"/>
      <c r="CVC7" s="57"/>
      <c r="CVD7" s="57"/>
      <c r="CVE7" s="57"/>
      <c r="CVF7" s="57"/>
      <c r="CVG7" s="57"/>
      <c r="CVH7" s="57"/>
      <c r="CVI7" s="57"/>
      <c r="CVJ7" s="57"/>
      <c r="CVK7" s="57"/>
      <c r="CVL7" s="57"/>
      <c r="CVM7" s="57"/>
      <c r="CVN7" s="57"/>
      <c r="CVO7" s="57"/>
      <c r="CVP7" s="57"/>
      <c r="CVQ7" s="57"/>
      <c r="CVR7" s="57"/>
      <c r="CVS7" s="57"/>
      <c r="CVT7" s="57"/>
      <c r="CVU7" s="57"/>
      <c r="CVV7" s="57"/>
      <c r="CVW7" s="57"/>
      <c r="CVX7" s="57"/>
      <c r="CVY7" s="57"/>
      <c r="CVZ7" s="57"/>
      <c r="CWA7" s="57"/>
      <c r="CWB7" s="57"/>
      <c r="CWC7" s="57"/>
      <c r="CWD7" s="57"/>
      <c r="CWE7" s="57"/>
      <c r="CWF7" s="57"/>
      <c r="CWG7" s="57"/>
      <c r="CWH7" s="57"/>
      <c r="CWI7" s="57"/>
      <c r="CWJ7" s="57"/>
      <c r="CWK7" s="57"/>
      <c r="CWL7" s="57"/>
      <c r="CWM7" s="57"/>
      <c r="CWN7" s="57"/>
      <c r="CWO7" s="57"/>
      <c r="CWP7" s="57"/>
      <c r="CWQ7" s="57"/>
      <c r="CWR7" s="57"/>
      <c r="CWS7" s="57"/>
      <c r="CWT7" s="57"/>
      <c r="CWU7" s="57"/>
      <c r="CWV7" s="57"/>
      <c r="CWW7" s="57"/>
      <c r="CWX7" s="57"/>
      <c r="CWY7" s="57"/>
      <c r="CWZ7" s="57"/>
      <c r="CXA7" s="57"/>
      <c r="CXB7" s="57"/>
      <c r="CXC7" s="57"/>
      <c r="CXD7" s="57"/>
      <c r="CXE7" s="57"/>
      <c r="CXF7" s="57"/>
      <c r="CXG7" s="57"/>
      <c r="CXH7" s="57"/>
      <c r="CXI7" s="57"/>
      <c r="CXJ7" s="57"/>
      <c r="CXK7" s="57"/>
      <c r="CXL7" s="57"/>
      <c r="CXM7" s="57"/>
      <c r="CXN7" s="57"/>
      <c r="CXO7" s="57"/>
      <c r="CXP7" s="57"/>
      <c r="CXQ7" s="57"/>
      <c r="CXR7" s="57"/>
      <c r="CXS7" s="57"/>
      <c r="CXT7" s="57"/>
      <c r="CXU7" s="57"/>
      <c r="CXV7" s="57"/>
      <c r="CXW7" s="57"/>
      <c r="CXX7" s="57"/>
      <c r="CXY7" s="57"/>
      <c r="CXZ7" s="57"/>
      <c r="CYA7" s="57"/>
      <c r="CYB7" s="57"/>
      <c r="CYC7" s="57"/>
      <c r="CYD7" s="57"/>
      <c r="CYE7" s="57"/>
      <c r="CYF7" s="57"/>
      <c r="CYG7" s="57"/>
      <c r="CYH7" s="57"/>
      <c r="CYI7" s="57"/>
      <c r="CYJ7" s="57"/>
      <c r="CYK7" s="57"/>
      <c r="CYL7" s="57"/>
      <c r="CYM7" s="57"/>
      <c r="CYN7" s="57"/>
      <c r="CYO7" s="57"/>
      <c r="CYP7" s="57"/>
      <c r="CYQ7" s="57"/>
      <c r="CYR7" s="57"/>
      <c r="CYS7" s="57"/>
      <c r="CYT7" s="57"/>
      <c r="CYU7" s="57"/>
      <c r="CYV7" s="57"/>
      <c r="CYW7" s="57"/>
      <c r="CYX7" s="57"/>
      <c r="CYY7" s="57"/>
      <c r="CYZ7" s="57"/>
      <c r="CZA7" s="57"/>
      <c r="CZB7" s="57"/>
      <c r="CZC7" s="57"/>
      <c r="CZD7" s="57"/>
      <c r="CZE7" s="57"/>
      <c r="CZF7" s="57"/>
      <c r="CZG7" s="57"/>
      <c r="CZH7" s="57"/>
      <c r="CZI7" s="57"/>
      <c r="CZJ7" s="57"/>
      <c r="CZK7" s="57"/>
      <c r="CZL7" s="57"/>
      <c r="CZM7" s="57"/>
      <c r="CZN7" s="57"/>
      <c r="CZO7" s="57"/>
      <c r="CZP7" s="57"/>
      <c r="CZQ7" s="57"/>
      <c r="CZR7" s="57"/>
      <c r="CZS7" s="57"/>
      <c r="CZT7" s="57"/>
      <c r="CZU7" s="57"/>
      <c r="CZV7" s="57"/>
      <c r="CZW7" s="57"/>
      <c r="CZX7" s="57"/>
      <c r="CZY7" s="57"/>
      <c r="CZZ7" s="57"/>
      <c r="DAA7" s="57"/>
      <c r="DAB7" s="57"/>
      <c r="DAC7" s="57"/>
      <c r="DAD7" s="57"/>
      <c r="DAE7" s="57"/>
      <c r="DAF7" s="57"/>
      <c r="DAG7" s="57"/>
      <c r="DAH7" s="57"/>
      <c r="DAI7" s="57"/>
      <c r="DAJ7" s="57"/>
      <c r="DAK7" s="57"/>
      <c r="DAL7" s="57"/>
      <c r="DAM7" s="57"/>
      <c r="DAN7" s="57"/>
      <c r="DAO7" s="57"/>
      <c r="DAP7" s="57"/>
      <c r="DAQ7" s="57"/>
      <c r="DAR7" s="57"/>
      <c r="DAS7" s="57"/>
      <c r="DAT7" s="57"/>
      <c r="DAU7" s="57"/>
      <c r="DAV7" s="57"/>
      <c r="DAW7" s="57"/>
      <c r="DAX7" s="57"/>
      <c r="DAY7" s="57"/>
      <c r="DAZ7" s="57"/>
      <c r="DBA7" s="57"/>
      <c r="DBB7" s="57"/>
      <c r="DBC7" s="57"/>
      <c r="DBD7" s="57"/>
      <c r="DBE7" s="57"/>
      <c r="DBF7" s="57"/>
      <c r="DBG7" s="57"/>
      <c r="DBH7" s="57"/>
      <c r="DBI7" s="57"/>
      <c r="DBJ7" s="57"/>
      <c r="DBK7" s="57"/>
      <c r="DBL7" s="57"/>
      <c r="DBM7" s="57"/>
      <c r="DBN7" s="57"/>
      <c r="DBO7" s="57"/>
      <c r="DBP7" s="57"/>
      <c r="DBQ7" s="57"/>
      <c r="DBR7" s="57"/>
      <c r="DBS7" s="57"/>
      <c r="DBT7" s="57"/>
      <c r="DBU7" s="57"/>
      <c r="DBV7" s="57"/>
      <c r="DBW7" s="57"/>
      <c r="DBX7" s="57"/>
      <c r="DBY7" s="57"/>
      <c r="DBZ7" s="57"/>
      <c r="DCA7" s="57"/>
      <c r="DCB7" s="57"/>
      <c r="DCC7" s="57"/>
      <c r="DCD7" s="57"/>
      <c r="DCE7" s="57"/>
      <c r="DCF7" s="57"/>
      <c r="DCG7" s="57"/>
      <c r="DCH7" s="57"/>
      <c r="DCI7" s="57"/>
      <c r="DCJ7" s="57"/>
      <c r="DCK7" s="57"/>
      <c r="DCL7" s="57"/>
      <c r="DCM7" s="57"/>
      <c r="DCN7" s="57"/>
      <c r="DCO7" s="57"/>
      <c r="DCP7" s="57"/>
      <c r="DCQ7" s="57"/>
      <c r="DCR7" s="57"/>
      <c r="DCS7" s="57"/>
      <c r="DCT7" s="57"/>
      <c r="DCU7" s="57"/>
      <c r="DCV7" s="57"/>
      <c r="DCW7" s="57"/>
      <c r="DCX7" s="57"/>
      <c r="DCY7" s="57"/>
      <c r="DCZ7" s="57"/>
      <c r="DDA7" s="57"/>
      <c r="DDB7" s="57"/>
      <c r="DDC7" s="57"/>
      <c r="DDD7" s="57"/>
      <c r="DDE7" s="57"/>
      <c r="DDF7" s="57"/>
      <c r="DDG7" s="57"/>
      <c r="DDH7" s="57"/>
      <c r="DDI7" s="57"/>
      <c r="DDJ7" s="57"/>
      <c r="DDK7" s="57"/>
      <c r="DDL7" s="57"/>
      <c r="DDM7" s="57"/>
      <c r="DDN7" s="57"/>
      <c r="DDO7" s="57"/>
      <c r="DDP7" s="57"/>
      <c r="DDQ7" s="57"/>
      <c r="DDR7" s="57"/>
      <c r="DDS7" s="57"/>
      <c r="DDT7" s="57"/>
      <c r="DDU7" s="57"/>
      <c r="DDV7" s="57"/>
      <c r="DDW7" s="57"/>
      <c r="DDX7" s="57"/>
      <c r="DDY7" s="57"/>
      <c r="DDZ7" s="57"/>
      <c r="DEA7" s="57"/>
      <c r="DEB7" s="57"/>
      <c r="DEC7" s="57"/>
      <c r="DED7" s="57"/>
      <c r="DEE7" s="57"/>
      <c r="DEF7" s="57"/>
      <c r="DEG7" s="57"/>
      <c r="DEH7" s="57"/>
      <c r="DEI7" s="57"/>
      <c r="DEJ7" s="57"/>
      <c r="DEK7" s="57"/>
      <c r="DEL7" s="57"/>
      <c r="DEM7" s="57"/>
      <c r="DEN7" s="57"/>
      <c r="DEO7" s="57"/>
      <c r="DEP7" s="57"/>
      <c r="DEQ7" s="57"/>
      <c r="DER7" s="57"/>
      <c r="DES7" s="57"/>
      <c r="DET7" s="57"/>
      <c r="DEU7" s="57"/>
      <c r="DEV7" s="57"/>
      <c r="DEW7" s="57"/>
      <c r="DEX7" s="57"/>
      <c r="DEY7" s="57"/>
      <c r="DEZ7" s="57"/>
      <c r="DFA7" s="57"/>
      <c r="DFB7" s="57"/>
      <c r="DFC7" s="57"/>
      <c r="DFD7" s="57"/>
      <c r="DFE7" s="57"/>
      <c r="DFF7" s="57"/>
      <c r="DFG7" s="57"/>
      <c r="DFH7" s="57"/>
      <c r="DFI7" s="57"/>
      <c r="DFJ7" s="57"/>
      <c r="DFK7" s="57"/>
      <c r="DFL7" s="57"/>
      <c r="DFM7" s="57"/>
      <c r="DFN7" s="57"/>
      <c r="DFO7" s="57"/>
      <c r="DFP7" s="57"/>
      <c r="DFQ7" s="57"/>
      <c r="DFR7" s="57"/>
      <c r="DFS7" s="57"/>
      <c r="DFT7" s="57"/>
      <c r="DFU7" s="57"/>
      <c r="DFV7" s="57"/>
      <c r="DFW7" s="57"/>
      <c r="DFX7" s="57"/>
      <c r="DFY7" s="57"/>
      <c r="DFZ7" s="57"/>
      <c r="DGA7" s="57"/>
      <c r="DGB7" s="57"/>
      <c r="DGC7" s="57"/>
      <c r="DGD7" s="57"/>
      <c r="DGE7" s="57"/>
      <c r="DGF7" s="57"/>
      <c r="DGG7" s="57"/>
      <c r="DGH7" s="57"/>
      <c r="DGI7" s="57"/>
      <c r="DGJ7" s="57"/>
      <c r="DGK7" s="57"/>
      <c r="DGL7" s="57"/>
      <c r="DGM7" s="57"/>
      <c r="DGN7" s="57"/>
      <c r="DGO7" s="57"/>
      <c r="DGP7" s="57"/>
      <c r="DGQ7" s="57"/>
      <c r="DGR7" s="57"/>
      <c r="DGS7" s="57"/>
      <c r="DGT7" s="57"/>
      <c r="DGU7" s="57"/>
      <c r="DGV7" s="57"/>
      <c r="DGW7" s="57"/>
      <c r="DGX7" s="57"/>
      <c r="DGY7" s="57"/>
      <c r="DGZ7" s="57"/>
      <c r="DHA7" s="57"/>
      <c r="DHB7" s="57"/>
      <c r="DHC7" s="57"/>
      <c r="DHD7" s="57"/>
      <c r="DHE7" s="57"/>
      <c r="DHF7" s="57"/>
      <c r="DHG7" s="57"/>
      <c r="DHH7" s="57"/>
      <c r="DHI7" s="57"/>
      <c r="DHJ7" s="57"/>
      <c r="DHK7" s="57"/>
      <c r="DHL7" s="57"/>
      <c r="DHM7" s="57"/>
      <c r="DHN7" s="57"/>
      <c r="DHO7" s="57"/>
      <c r="DHP7" s="57"/>
      <c r="DHQ7" s="57"/>
      <c r="DHR7" s="57"/>
      <c r="DHS7" s="57"/>
      <c r="DHT7" s="57"/>
      <c r="DHU7" s="57"/>
      <c r="DHV7" s="57"/>
      <c r="DHW7" s="57"/>
      <c r="DHX7" s="57"/>
      <c r="DHY7" s="57"/>
      <c r="DHZ7" s="57"/>
      <c r="DIA7" s="57"/>
      <c r="DIB7" s="57"/>
      <c r="DIC7" s="57"/>
      <c r="DID7" s="57"/>
      <c r="DIE7" s="57"/>
      <c r="DIF7" s="57"/>
      <c r="DIG7" s="57"/>
      <c r="DIH7" s="57"/>
      <c r="DII7" s="57"/>
      <c r="DIJ7" s="57"/>
      <c r="DIK7" s="57"/>
      <c r="DIL7" s="57"/>
      <c r="DIM7" s="57"/>
      <c r="DIN7" s="57"/>
      <c r="DIO7" s="57"/>
      <c r="DIP7" s="57"/>
      <c r="DIQ7" s="57"/>
      <c r="DIR7" s="57"/>
      <c r="DIS7" s="57"/>
      <c r="DIT7" s="57"/>
      <c r="DIU7" s="57"/>
      <c r="DIV7" s="57"/>
      <c r="DIW7" s="57"/>
      <c r="DIX7" s="57"/>
      <c r="DIY7" s="57"/>
      <c r="DIZ7" s="57"/>
      <c r="DJA7" s="57"/>
      <c r="DJB7" s="57"/>
      <c r="DJC7" s="57"/>
      <c r="DJD7" s="57"/>
      <c r="DJE7" s="57"/>
      <c r="DJF7" s="57"/>
      <c r="DJG7" s="57"/>
      <c r="DJH7" s="57"/>
      <c r="DJI7" s="57"/>
      <c r="DJJ7" s="57"/>
      <c r="DJK7" s="57"/>
      <c r="DJL7" s="57"/>
      <c r="DJM7" s="57"/>
      <c r="DJN7" s="57"/>
      <c r="DJO7" s="57"/>
      <c r="DJP7" s="57"/>
      <c r="DJQ7" s="57"/>
      <c r="DJR7" s="57"/>
      <c r="DJS7" s="57"/>
      <c r="DJT7" s="57"/>
      <c r="DJU7" s="57"/>
      <c r="DJV7" s="57"/>
      <c r="DJW7" s="57"/>
      <c r="DJX7" s="57"/>
      <c r="DJY7" s="57"/>
      <c r="DJZ7" s="57"/>
      <c r="DKA7" s="57"/>
      <c r="DKB7" s="57"/>
      <c r="DKC7" s="57"/>
      <c r="DKD7" s="57"/>
      <c r="DKE7" s="57"/>
      <c r="DKF7" s="57"/>
      <c r="DKG7" s="57"/>
      <c r="DKH7" s="57"/>
      <c r="DKI7" s="57"/>
      <c r="DKJ7" s="57"/>
      <c r="DKK7" s="57"/>
      <c r="DKL7" s="57"/>
      <c r="DKM7" s="57"/>
      <c r="DKN7" s="57"/>
      <c r="DKO7" s="57"/>
      <c r="DKP7" s="57"/>
      <c r="DKQ7" s="57"/>
      <c r="DKR7" s="57"/>
      <c r="DKS7" s="57"/>
      <c r="DKT7" s="57"/>
      <c r="DKU7" s="57"/>
      <c r="DKV7" s="57"/>
      <c r="DKW7" s="57"/>
      <c r="DKX7" s="57"/>
      <c r="DKY7" s="57"/>
      <c r="DKZ7" s="57"/>
      <c r="DLA7" s="57"/>
      <c r="DLB7" s="57"/>
      <c r="DLC7" s="57"/>
      <c r="DLD7" s="57"/>
      <c r="DLE7" s="57"/>
      <c r="DLF7" s="57"/>
      <c r="DLG7" s="57"/>
      <c r="DLH7" s="57"/>
      <c r="DLI7" s="57"/>
      <c r="DLJ7" s="57"/>
      <c r="DLK7" s="57"/>
      <c r="DLL7" s="57"/>
      <c r="DLM7" s="57"/>
      <c r="DLN7" s="57"/>
      <c r="DLO7" s="57"/>
      <c r="DLP7" s="57"/>
      <c r="DLQ7" s="57"/>
      <c r="DLR7" s="57"/>
      <c r="DLS7" s="57"/>
      <c r="DLT7" s="57"/>
      <c r="DLU7" s="57"/>
      <c r="DLV7" s="57"/>
      <c r="DLW7" s="57"/>
      <c r="DLX7" s="57"/>
      <c r="DLY7" s="57"/>
      <c r="DLZ7" s="57"/>
      <c r="DMA7" s="57"/>
      <c r="DMB7" s="57"/>
      <c r="DMC7" s="57"/>
      <c r="DMD7" s="57"/>
      <c r="DME7" s="57"/>
      <c r="DMF7" s="57"/>
      <c r="DMG7" s="57"/>
      <c r="DMH7" s="57"/>
      <c r="DMI7" s="57"/>
      <c r="DMJ7" s="57"/>
      <c r="DMK7" s="57"/>
      <c r="DML7" s="57"/>
      <c r="DMM7" s="57"/>
      <c r="DMN7" s="57"/>
      <c r="DMO7" s="57"/>
      <c r="DMP7" s="57"/>
      <c r="DMQ7" s="57"/>
      <c r="DMR7" s="57"/>
      <c r="DMS7" s="57"/>
      <c r="DMT7" s="57"/>
      <c r="DMU7" s="57"/>
      <c r="DMV7" s="57"/>
      <c r="DMW7" s="57"/>
      <c r="DMX7" s="57"/>
      <c r="DMY7" s="57"/>
      <c r="DMZ7" s="57"/>
      <c r="DNA7" s="57"/>
      <c r="DNB7" s="57"/>
      <c r="DNC7" s="57"/>
      <c r="DND7" s="57"/>
      <c r="DNE7" s="57"/>
      <c r="DNF7" s="57"/>
      <c r="DNG7" s="57"/>
      <c r="DNH7" s="57"/>
      <c r="DNI7" s="57"/>
      <c r="DNJ7" s="57"/>
      <c r="DNK7" s="57"/>
      <c r="DNL7" s="57"/>
      <c r="DNM7" s="57"/>
      <c r="DNN7" s="57"/>
      <c r="DNO7" s="57"/>
      <c r="DNP7" s="57"/>
      <c r="DNQ7" s="57"/>
      <c r="DNR7" s="57"/>
      <c r="DNS7" s="57"/>
      <c r="DNT7" s="57"/>
      <c r="DNU7" s="57"/>
      <c r="DNV7" s="57"/>
      <c r="DNW7" s="57"/>
      <c r="DNX7" s="57"/>
      <c r="DNY7" s="57"/>
      <c r="DNZ7" s="57"/>
      <c r="DOA7" s="57"/>
      <c r="DOB7" s="57"/>
      <c r="DOC7" s="57"/>
      <c r="DOD7" s="57"/>
      <c r="DOE7" s="57"/>
      <c r="DOF7" s="57"/>
      <c r="DOG7" s="57"/>
      <c r="DOH7" s="57"/>
      <c r="DOI7" s="57"/>
      <c r="DOJ7" s="57"/>
      <c r="DOK7" s="57"/>
      <c r="DOL7" s="57"/>
      <c r="DOM7" s="57"/>
      <c r="DON7" s="57"/>
      <c r="DOO7" s="57"/>
      <c r="DOP7" s="57"/>
      <c r="DOQ7" s="57"/>
      <c r="DOR7" s="57"/>
      <c r="DOS7" s="57"/>
      <c r="DOT7" s="57"/>
      <c r="DOU7" s="57"/>
      <c r="DOV7" s="57"/>
      <c r="DOW7" s="57"/>
      <c r="DOX7" s="57"/>
      <c r="DOY7" s="57"/>
      <c r="DOZ7" s="57"/>
      <c r="DPA7" s="57"/>
      <c r="DPB7" s="57"/>
      <c r="DPC7" s="57"/>
      <c r="DPD7" s="57"/>
      <c r="DPE7" s="57"/>
      <c r="DPF7" s="57"/>
      <c r="DPG7" s="57"/>
      <c r="DPH7" s="57"/>
      <c r="DPI7" s="57"/>
      <c r="DPJ7" s="57"/>
      <c r="DPK7" s="57"/>
      <c r="DPL7" s="57"/>
      <c r="DPM7" s="57"/>
      <c r="DPN7" s="57"/>
      <c r="DPO7" s="57"/>
      <c r="DPP7" s="57"/>
      <c r="DPQ7" s="57"/>
      <c r="DPR7" s="57"/>
      <c r="DPS7" s="57"/>
      <c r="DPT7" s="57"/>
      <c r="DPU7" s="57"/>
      <c r="DPV7" s="57"/>
      <c r="DPW7" s="57"/>
      <c r="DPX7" s="57"/>
      <c r="DPY7" s="57"/>
      <c r="DPZ7" s="57"/>
      <c r="DQA7" s="57"/>
      <c r="DQB7" s="57"/>
      <c r="DQC7" s="57"/>
      <c r="DQD7" s="57"/>
      <c r="DQE7" s="57"/>
      <c r="DQF7" s="57"/>
      <c r="DQG7" s="57"/>
      <c r="DQH7" s="57"/>
      <c r="DQI7" s="57"/>
      <c r="DQJ7" s="57"/>
      <c r="DQK7" s="57"/>
      <c r="DQL7" s="57"/>
      <c r="DQM7" s="57"/>
      <c r="DQN7" s="57"/>
      <c r="DQO7" s="57"/>
      <c r="DQP7" s="57"/>
      <c r="DQQ7" s="57"/>
      <c r="DQR7" s="57"/>
      <c r="DQS7" s="57"/>
      <c r="DQT7" s="57"/>
      <c r="DQU7" s="57"/>
      <c r="DQV7" s="57"/>
      <c r="DQW7" s="57"/>
      <c r="DQX7" s="57"/>
      <c r="DQY7" s="57"/>
      <c r="DQZ7" s="57"/>
      <c r="DRA7" s="57"/>
      <c r="DRB7" s="57"/>
      <c r="DRC7" s="57"/>
      <c r="DRD7" s="57"/>
      <c r="DRE7" s="57"/>
      <c r="DRF7" s="57"/>
      <c r="DRG7" s="57"/>
      <c r="DRH7" s="57"/>
      <c r="DRI7" s="57"/>
      <c r="DRJ7" s="57"/>
      <c r="DRK7" s="57"/>
      <c r="DRL7" s="57"/>
      <c r="DRM7" s="57"/>
      <c r="DRN7" s="57"/>
      <c r="DRO7" s="57"/>
      <c r="DRP7" s="57"/>
      <c r="DRQ7" s="57"/>
      <c r="DRR7" s="57"/>
      <c r="DRS7" s="57"/>
      <c r="DRT7" s="57"/>
      <c r="DRU7" s="57"/>
      <c r="DRV7" s="57"/>
      <c r="DRW7" s="57"/>
      <c r="DRX7" s="57"/>
      <c r="DRY7" s="57"/>
      <c r="DRZ7" s="57"/>
      <c r="DSA7" s="57"/>
      <c r="DSB7" s="57"/>
      <c r="DSC7" s="57"/>
      <c r="DSD7" s="57"/>
      <c r="DSE7" s="57"/>
      <c r="DSF7" s="57"/>
      <c r="DSG7" s="57"/>
      <c r="DSH7" s="57"/>
      <c r="DSI7" s="57"/>
      <c r="DSJ7" s="57"/>
      <c r="DSK7" s="57"/>
      <c r="DSL7" s="57"/>
      <c r="DSM7" s="57"/>
      <c r="DSN7" s="57"/>
      <c r="DSO7" s="57"/>
      <c r="DSP7" s="57"/>
      <c r="DSQ7" s="57"/>
      <c r="DSR7" s="57"/>
      <c r="DSS7" s="57"/>
      <c r="DST7" s="57"/>
      <c r="DSU7" s="57"/>
      <c r="DSV7" s="57"/>
      <c r="DSW7" s="57"/>
      <c r="DSX7" s="57"/>
      <c r="DSY7" s="57"/>
      <c r="DSZ7" s="57"/>
      <c r="DTA7" s="57"/>
      <c r="DTB7" s="57"/>
      <c r="DTC7" s="57"/>
      <c r="DTD7" s="57"/>
      <c r="DTE7" s="57"/>
      <c r="DTF7" s="57"/>
      <c r="DTG7" s="57"/>
      <c r="DTH7" s="57"/>
      <c r="DTI7" s="57"/>
      <c r="DTJ7" s="57"/>
      <c r="DTK7" s="57"/>
      <c r="DTL7" s="57"/>
      <c r="DTM7" s="57"/>
      <c r="DTN7" s="57"/>
      <c r="DTO7" s="57"/>
      <c r="DTP7" s="57"/>
      <c r="DTQ7" s="57"/>
      <c r="DTR7" s="57"/>
      <c r="DTS7" s="57"/>
      <c r="DTT7" s="57"/>
      <c r="DTU7" s="57"/>
      <c r="DTV7" s="57"/>
      <c r="DTW7" s="57"/>
      <c r="DTX7" s="57"/>
      <c r="DTY7" s="57"/>
      <c r="DTZ7" s="57"/>
      <c r="DUA7" s="57"/>
      <c r="DUB7" s="57"/>
      <c r="DUC7" s="57"/>
      <c r="DUD7" s="57"/>
      <c r="DUE7" s="57"/>
      <c r="DUF7" s="57"/>
      <c r="DUG7" s="57"/>
      <c r="DUH7" s="57"/>
      <c r="DUI7" s="57"/>
      <c r="DUJ7" s="57"/>
      <c r="DUK7" s="57"/>
      <c r="DUL7" s="57"/>
      <c r="DUM7" s="57"/>
      <c r="DUN7" s="57"/>
      <c r="DUO7" s="57"/>
      <c r="DUP7" s="57"/>
      <c r="DUQ7" s="57"/>
      <c r="DUR7" s="57"/>
      <c r="DUS7" s="57"/>
      <c r="DUT7" s="57"/>
      <c r="DUU7" s="57"/>
      <c r="DUV7" s="57"/>
      <c r="DUW7" s="57"/>
      <c r="DUX7" s="57"/>
      <c r="DUY7" s="57"/>
      <c r="DUZ7" s="57"/>
      <c r="DVA7" s="57"/>
      <c r="DVB7" s="57"/>
      <c r="DVC7" s="57"/>
      <c r="DVD7" s="57"/>
      <c r="DVE7" s="57"/>
      <c r="DVF7" s="57"/>
      <c r="DVG7" s="57"/>
      <c r="DVH7" s="57"/>
      <c r="DVI7" s="57"/>
      <c r="DVJ7" s="57"/>
      <c r="DVK7" s="57"/>
      <c r="DVL7" s="57"/>
      <c r="DVM7" s="57"/>
      <c r="DVN7" s="57"/>
      <c r="DVO7" s="57"/>
      <c r="DVP7" s="57"/>
      <c r="DVQ7" s="57"/>
      <c r="DVR7" s="57"/>
      <c r="DVS7" s="57"/>
      <c r="DVT7" s="57"/>
      <c r="DVU7" s="57"/>
      <c r="DVV7" s="57"/>
      <c r="DVW7" s="57"/>
      <c r="DVX7" s="57"/>
      <c r="DVY7" s="57"/>
      <c r="DVZ7" s="57"/>
      <c r="DWA7" s="57"/>
      <c r="DWB7" s="57"/>
      <c r="DWC7" s="57"/>
      <c r="DWD7" s="57"/>
      <c r="DWE7" s="57"/>
      <c r="DWF7" s="57"/>
      <c r="DWG7" s="57"/>
      <c r="DWH7" s="57"/>
      <c r="DWI7" s="57"/>
      <c r="DWJ7" s="57"/>
      <c r="DWK7" s="57"/>
      <c r="DWL7" s="57"/>
      <c r="DWM7" s="57"/>
      <c r="DWN7" s="57"/>
      <c r="DWO7" s="57"/>
      <c r="DWP7" s="57"/>
      <c r="DWQ7" s="57"/>
      <c r="DWR7" s="57"/>
      <c r="DWS7" s="57"/>
      <c r="DWT7" s="57"/>
      <c r="DWU7" s="57"/>
      <c r="DWV7" s="57"/>
      <c r="DWW7" s="57"/>
      <c r="DWX7" s="57"/>
      <c r="DWY7" s="57"/>
      <c r="DWZ7" s="57"/>
      <c r="DXA7" s="57"/>
      <c r="DXB7" s="57"/>
      <c r="DXC7" s="57"/>
      <c r="DXD7" s="57"/>
      <c r="DXE7" s="57"/>
      <c r="DXF7" s="57"/>
      <c r="DXG7" s="57"/>
      <c r="DXH7" s="57"/>
      <c r="DXI7" s="57"/>
      <c r="DXJ7" s="57"/>
      <c r="DXK7" s="57"/>
      <c r="DXL7" s="57"/>
      <c r="DXM7" s="57"/>
      <c r="DXN7" s="57"/>
      <c r="DXO7" s="57"/>
      <c r="DXP7" s="57"/>
      <c r="DXQ7" s="57"/>
      <c r="DXR7" s="57"/>
      <c r="DXS7" s="57"/>
      <c r="DXT7" s="57"/>
      <c r="DXU7" s="57"/>
      <c r="DXV7" s="57"/>
      <c r="DXW7" s="57"/>
      <c r="DXX7" s="57"/>
      <c r="DXY7" s="57"/>
      <c r="DXZ7" s="57"/>
      <c r="DYA7" s="57"/>
      <c r="DYB7" s="57"/>
      <c r="DYC7" s="57"/>
      <c r="DYD7" s="57"/>
      <c r="DYE7" s="57"/>
      <c r="DYF7" s="57"/>
      <c r="DYG7" s="57"/>
      <c r="DYH7" s="57"/>
      <c r="DYI7" s="57"/>
      <c r="DYJ7" s="57"/>
      <c r="DYK7" s="57"/>
      <c r="DYL7" s="57"/>
      <c r="DYM7" s="57"/>
      <c r="DYN7" s="57"/>
      <c r="DYO7" s="57"/>
      <c r="DYP7" s="57"/>
      <c r="DYQ7" s="57"/>
      <c r="DYR7" s="57"/>
      <c r="DYS7" s="57"/>
      <c r="DYT7" s="57"/>
      <c r="DYU7" s="57"/>
      <c r="DYV7" s="57"/>
      <c r="DYW7" s="57"/>
      <c r="DYX7" s="57"/>
      <c r="DYY7" s="57"/>
      <c r="DYZ7" s="57"/>
      <c r="DZA7" s="57"/>
      <c r="DZB7" s="57"/>
      <c r="DZC7" s="57"/>
      <c r="DZD7" s="57"/>
      <c r="DZE7" s="57"/>
      <c r="DZF7" s="57"/>
      <c r="DZG7" s="57"/>
      <c r="DZH7" s="57"/>
      <c r="DZI7" s="57"/>
      <c r="DZJ7" s="57"/>
      <c r="DZK7" s="57"/>
      <c r="DZL7" s="57"/>
      <c r="DZM7" s="57"/>
      <c r="DZN7" s="57"/>
      <c r="DZO7" s="57"/>
      <c r="DZP7" s="57"/>
      <c r="DZQ7" s="57"/>
      <c r="DZR7" s="57"/>
      <c r="DZS7" s="57"/>
      <c r="DZT7" s="57"/>
      <c r="DZU7" s="57"/>
      <c r="DZV7" s="57"/>
      <c r="DZW7" s="57"/>
      <c r="DZX7" s="57"/>
      <c r="DZY7" s="57"/>
      <c r="DZZ7" s="57"/>
      <c r="EAA7" s="57"/>
      <c r="EAB7" s="57"/>
      <c r="EAC7" s="57"/>
      <c r="EAD7" s="57"/>
      <c r="EAE7" s="57"/>
      <c r="EAF7" s="57"/>
      <c r="EAG7" s="57"/>
      <c r="EAH7" s="57"/>
      <c r="EAI7" s="57"/>
      <c r="EAJ7" s="57"/>
      <c r="EAK7" s="57"/>
      <c r="EAL7" s="57"/>
      <c r="EAM7" s="57"/>
      <c r="EAN7" s="57"/>
      <c r="EAO7" s="57"/>
      <c r="EAP7" s="57"/>
      <c r="EAQ7" s="57"/>
      <c r="EAR7" s="57"/>
      <c r="EAS7" s="57"/>
      <c r="EAT7" s="57"/>
      <c r="EAU7" s="57"/>
      <c r="EAV7" s="57"/>
      <c r="EAW7" s="57"/>
      <c r="EAX7" s="57"/>
      <c r="EAY7" s="57"/>
      <c r="EAZ7" s="57"/>
      <c r="EBA7" s="57"/>
      <c r="EBB7" s="57"/>
      <c r="EBC7" s="57"/>
      <c r="EBD7" s="57"/>
      <c r="EBE7" s="57"/>
      <c r="EBF7" s="57"/>
      <c r="EBG7" s="57"/>
      <c r="EBH7" s="57"/>
      <c r="EBI7" s="57"/>
      <c r="EBJ7" s="57"/>
      <c r="EBK7" s="57"/>
      <c r="EBL7" s="57"/>
      <c r="EBM7" s="57"/>
      <c r="EBN7" s="57"/>
      <c r="EBO7" s="57"/>
      <c r="EBP7" s="57"/>
      <c r="EBQ7" s="57"/>
      <c r="EBR7" s="57"/>
      <c r="EBS7" s="57"/>
      <c r="EBT7" s="57"/>
      <c r="EBU7" s="57"/>
      <c r="EBV7" s="57"/>
      <c r="EBW7" s="57"/>
      <c r="EBX7" s="57"/>
      <c r="EBY7" s="57"/>
      <c r="EBZ7" s="57"/>
      <c r="ECA7" s="57"/>
      <c r="ECB7" s="57"/>
      <c r="ECC7" s="57"/>
      <c r="ECD7" s="57"/>
      <c r="ECE7" s="57"/>
      <c r="ECF7" s="57"/>
      <c r="ECG7" s="57"/>
      <c r="ECH7" s="57"/>
      <c r="ECI7" s="57"/>
      <c r="ECJ7" s="57"/>
      <c r="ECK7" s="57"/>
      <c r="ECL7" s="57"/>
      <c r="ECM7" s="57"/>
      <c r="ECN7" s="57"/>
      <c r="ECO7" s="57"/>
      <c r="ECP7" s="57"/>
      <c r="ECQ7" s="57"/>
      <c r="ECR7" s="57"/>
      <c r="ECS7" s="57"/>
      <c r="ECT7" s="57"/>
      <c r="ECU7" s="57"/>
      <c r="ECV7" s="57"/>
      <c r="ECW7" s="57"/>
      <c r="ECX7" s="57"/>
      <c r="ECY7" s="57"/>
      <c r="ECZ7" s="57"/>
      <c r="EDA7" s="57"/>
      <c r="EDB7" s="57"/>
      <c r="EDC7" s="57"/>
      <c r="EDD7" s="57"/>
      <c r="EDE7" s="57"/>
      <c r="EDF7" s="57"/>
      <c r="EDG7" s="57"/>
      <c r="EDH7" s="57"/>
      <c r="EDI7" s="57"/>
      <c r="EDJ7" s="57"/>
      <c r="EDK7" s="57"/>
      <c r="EDL7" s="57"/>
      <c r="EDM7" s="57"/>
      <c r="EDN7" s="57"/>
      <c r="EDO7" s="57"/>
      <c r="EDP7" s="57"/>
      <c r="EDQ7" s="57"/>
      <c r="EDR7" s="57"/>
      <c r="EDS7" s="57"/>
      <c r="EDT7" s="57"/>
      <c r="EDU7" s="57"/>
      <c r="EDV7" s="57"/>
      <c r="EDW7" s="57"/>
      <c r="EDX7" s="57"/>
      <c r="EDY7" s="57"/>
      <c r="EDZ7" s="57"/>
      <c r="EEA7" s="57"/>
      <c r="EEB7" s="57"/>
      <c r="EEC7" s="57"/>
      <c r="EED7" s="57"/>
      <c r="EEE7" s="57"/>
      <c r="EEF7" s="57"/>
      <c r="EEG7" s="57"/>
      <c r="EEH7" s="57"/>
      <c r="EEI7" s="57"/>
      <c r="EEJ7" s="57"/>
      <c r="EEK7" s="57"/>
      <c r="EEL7" s="57"/>
      <c r="EEM7" s="57"/>
      <c r="EEN7" s="57"/>
      <c r="EEO7" s="57"/>
      <c r="EEP7" s="57"/>
      <c r="EEQ7" s="57"/>
      <c r="EER7" s="57"/>
      <c r="EES7" s="57"/>
      <c r="EET7" s="57"/>
      <c r="EEU7" s="57"/>
      <c r="EEV7" s="57"/>
      <c r="EEW7" s="57"/>
      <c r="EEX7" s="57"/>
      <c r="EEY7" s="57"/>
      <c r="EEZ7" s="57"/>
      <c r="EFA7" s="57"/>
      <c r="EFB7" s="57"/>
      <c r="EFC7" s="57"/>
      <c r="EFD7" s="57"/>
      <c r="EFE7" s="57"/>
      <c r="EFF7" s="57"/>
      <c r="EFG7" s="57"/>
      <c r="EFH7" s="57"/>
      <c r="EFI7" s="57"/>
      <c r="EFJ7" s="57"/>
      <c r="EFK7" s="57"/>
      <c r="EFL7" s="57"/>
      <c r="EFM7" s="57"/>
      <c r="EFN7" s="57"/>
      <c r="EFO7" s="57"/>
      <c r="EFP7" s="57"/>
      <c r="EFQ7" s="57"/>
      <c r="EFR7" s="57"/>
      <c r="EFS7" s="57"/>
      <c r="EFT7" s="57"/>
      <c r="EFU7" s="57"/>
      <c r="EFV7" s="57"/>
      <c r="EFW7" s="57"/>
      <c r="EFX7" s="57"/>
      <c r="EFY7" s="57"/>
      <c r="EFZ7" s="57"/>
      <c r="EGA7" s="57"/>
      <c r="EGB7" s="57"/>
      <c r="EGC7" s="57"/>
      <c r="EGD7" s="57"/>
      <c r="EGE7" s="57"/>
      <c r="EGF7" s="57"/>
      <c r="EGG7" s="57"/>
      <c r="EGH7" s="57"/>
      <c r="EGI7" s="57"/>
      <c r="EGJ7" s="57"/>
      <c r="EGK7" s="57"/>
      <c r="EGL7" s="57"/>
      <c r="EGM7" s="57"/>
      <c r="EGN7" s="57"/>
      <c r="EGO7" s="57"/>
      <c r="EGP7" s="57"/>
      <c r="EGQ7" s="57"/>
      <c r="EGR7" s="57"/>
      <c r="EGS7" s="57"/>
      <c r="EGT7" s="57"/>
      <c r="EGU7" s="57"/>
      <c r="EGV7" s="57"/>
      <c r="EGW7" s="57"/>
      <c r="EGX7" s="57"/>
      <c r="EGY7" s="57"/>
      <c r="EGZ7" s="57"/>
      <c r="EHA7" s="57"/>
      <c r="EHB7" s="57"/>
      <c r="EHC7" s="57"/>
      <c r="EHD7" s="57"/>
      <c r="EHE7" s="57"/>
      <c r="EHF7" s="57"/>
      <c r="EHG7" s="57"/>
      <c r="EHH7" s="57"/>
      <c r="EHI7" s="57"/>
      <c r="EHJ7" s="57"/>
      <c r="EHK7" s="57"/>
      <c r="EHL7" s="57"/>
      <c r="EHM7" s="57"/>
      <c r="EHN7" s="57"/>
      <c r="EHO7" s="57"/>
      <c r="EHP7" s="57"/>
      <c r="EHQ7" s="57"/>
      <c r="EHR7" s="57"/>
      <c r="EHS7" s="57"/>
      <c r="EHT7" s="57"/>
      <c r="EHU7" s="57"/>
      <c r="EHV7" s="57"/>
      <c r="EHW7" s="57"/>
      <c r="EHX7" s="57"/>
      <c r="EHY7" s="57"/>
      <c r="EHZ7" s="57"/>
      <c r="EIA7" s="57"/>
      <c r="EIB7" s="57"/>
      <c r="EIC7" s="57"/>
      <c r="EID7" s="57"/>
      <c r="EIE7" s="57"/>
      <c r="EIF7" s="57"/>
      <c r="EIG7" s="57"/>
      <c r="EIH7" s="57"/>
      <c r="EII7" s="57"/>
      <c r="EIJ7" s="57"/>
      <c r="EIK7" s="57"/>
      <c r="EIL7" s="57"/>
      <c r="EIM7" s="57"/>
      <c r="EIN7" s="57"/>
      <c r="EIO7" s="57"/>
      <c r="EIP7" s="57"/>
      <c r="EIQ7" s="57"/>
      <c r="EIR7" s="57"/>
      <c r="EIS7" s="57"/>
      <c r="EIT7" s="57"/>
      <c r="EIU7" s="57"/>
      <c r="EIV7" s="57"/>
      <c r="EIW7" s="57"/>
      <c r="EIX7" s="57"/>
      <c r="EIY7" s="57"/>
      <c r="EIZ7" s="57"/>
      <c r="EJA7" s="57"/>
      <c r="EJB7" s="57"/>
      <c r="EJC7" s="57"/>
      <c r="EJD7" s="57"/>
      <c r="EJE7" s="57"/>
      <c r="EJF7" s="57"/>
      <c r="EJG7" s="57"/>
      <c r="EJH7" s="57"/>
      <c r="EJI7" s="57"/>
      <c r="EJJ7" s="57"/>
      <c r="EJK7" s="57"/>
      <c r="EJL7" s="57"/>
      <c r="EJM7" s="57"/>
      <c r="EJN7" s="57"/>
      <c r="EJO7" s="57"/>
      <c r="EJP7" s="57"/>
      <c r="EJQ7" s="57"/>
      <c r="EJR7" s="57"/>
      <c r="EJS7" s="57"/>
      <c r="EJT7" s="57"/>
      <c r="EJU7" s="57"/>
      <c r="EJV7" s="57"/>
      <c r="EJW7" s="57"/>
      <c r="EJX7" s="57"/>
      <c r="EJY7" s="57"/>
      <c r="EJZ7" s="57"/>
      <c r="EKA7" s="57"/>
      <c r="EKB7" s="57"/>
      <c r="EKC7" s="57"/>
      <c r="EKD7" s="57"/>
      <c r="EKE7" s="57"/>
      <c r="EKF7" s="57"/>
      <c r="EKG7" s="57"/>
      <c r="EKH7" s="57"/>
      <c r="EKI7" s="57"/>
      <c r="EKJ7" s="57"/>
      <c r="EKK7" s="57"/>
      <c r="EKL7" s="57"/>
      <c r="EKM7" s="57"/>
      <c r="EKN7" s="57"/>
      <c r="EKO7" s="57"/>
      <c r="EKP7" s="57"/>
      <c r="EKQ7" s="57"/>
      <c r="EKR7" s="57"/>
      <c r="EKS7" s="57"/>
      <c r="EKT7" s="57"/>
      <c r="EKU7" s="57"/>
      <c r="EKV7" s="57"/>
      <c r="EKW7" s="57"/>
      <c r="EKX7" s="57"/>
      <c r="EKY7" s="57"/>
      <c r="EKZ7" s="57"/>
      <c r="ELA7" s="57"/>
      <c r="ELB7" s="57"/>
      <c r="ELC7" s="57"/>
      <c r="ELD7" s="57"/>
      <c r="ELE7" s="57"/>
      <c r="ELF7" s="57"/>
      <c r="ELG7" s="57"/>
      <c r="ELH7" s="57"/>
      <c r="ELI7" s="57"/>
      <c r="ELJ7" s="57"/>
      <c r="ELK7" s="57"/>
      <c r="ELL7" s="57"/>
      <c r="ELM7" s="57"/>
      <c r="ELN7" s="57"/>
      <c r="ELO7" s="57"/>
      <c r="ELP7" s="57"/>
      <c r="ELQ7" s="57"/>
      <c r="ELR7" s="57"/>
      <c r="ELS7" s="57"/>
      <c r="ELT7" s="57"/>
      <c r="ELU7" s="57"/>
      <c r="ELV7" s="57"/>
      <c r="ELW7" s="57"/>
      <c r="ELX7" s="57"/>
      <c r="ELY7" s="57"/>
      <c r="ELZ7" s="57"/>
      <c r="EMA7" s="57"/>
      <c r="EMB7" s="57"/>
      <c r="EMC7" s="57"/>
      <c r="EMD7" s="57"/>
      <c r="EME7" s="57"/>
      <c r="EMF7" s="57"/>
      <c r="EMG7" s="57"/>
      <c r="EMH7" s="57"/>
      <c r="EMI7" s="57"/>
      <c r="EMJ7" s="57"/>
      <c r="EMK7" s="57"/>
      <c r="EML7" s="57"/>
      <c r="EMM7" s="57"/>
      <c r="EMN7" s="57"/>
      <c r="EMO7" s="57"/>
      <c r="EMP7" s="57"/>
      <c r="EMQ7" s="57"/>
      <c r="EMR7" s="57"/>
      <c r="EMS7" s="57"/>
      <c r="EMT7" s="57"/>
      <c r="EMU7" s="57"/>
      <c r="EMV7" s="57"/>
      <c r="EMW7" s="57"/>
      <c r="EMX7" s="57"/>
      <c r="EMY7" s="57"/>
      <c r="EMZ7" s="57"/>
      <c r="ENA7" s="57"/>
      <c r="ENB7" s="57"/>
      <c r="ENC7" s="57"/>
      <c r="END7" s="57"/>
      <c r="ENE7" s="57"/>
      <c r="ENF7" s="57"/>
      <c r="ENG7" s="57"/>
      <c r="ENH7" s="57"/>
      <c r="ENI7" s="57"/>
      <c r="ENJ7" s="57"/>
      <c r="ENK7" s="57"/>
      <c r="ENL7" s="57"/>
      <c r="ENM7" s="57"/>
      <c r="ENN7" s="57"/>
      <c r="ENO7" s="57"/>
      <c r="ENP7" s="57"/>
      <c r="ENQ7" s="57"/>
      <c r="ENR7" s="57"/>
      <c r="ENS7" s="57"/>
      <c r="ENT7" s="57"/>
      <c r="ENU7" s="57"/>
      <c r="ENV7" s="57"/>
      <c r="ENW7" s="57"/>
      <c r="ENX7" s="57"/>
      <c r="ENY7" s="57"/>
      <c r="ENZ7" s="57"/>
      <c r="EOA7" s="57"/>
      <c r="EOB7" s="57"/>
      <c r="EOC7" s="57"/>
      <c r="EOD7" s="57"/>
      <c r="EOE7" s="57"/>
      <c r="EOF7" s="57"/>
      <c r="EOG7" s="57"/>
      <c r="EOH7" s="57"/>
      <c r="EOI7" s="57"/>
      <c r="EOJ7" s="57"/>
      <c r="EOK7" s="57"/>
      <c r="EOL7" s="57"/>
      <c r="EOM7" s="57"/>
      <c r="EON7" s="57"/>
      <c r="EOO7" s="57"/>
      <c r="EOP7" s="57"/>
      <c r="EOQ7" s="57"/>
      <c r="EOR7" s="57"/>
      <c r="EOS7" s="57"/>
      <c r="EOT7" s="57"/>
      <c r="EOU7" s="57"/>
      <c r="EOV7" s="57"/>
      <c r="EOW7" s="57"/>
      <c r="EOX7" s="57"/>
      <c r="EOY7" s="57"/>
      <c r="EOZ7" s="57"/>
      <c r="EPA7" s="57"/>
      <c r="EPB7" s="57"/>
      <c r="EPC7" s="57"/>
      <c r="EPD7" s="57"/>
      <c r="EPE7" s="57"/>
      <c r="EPF7" s="57"/>
      <c r="EPG7" s="57"/>
      <c r="EPH7" s="57"/>
      <c r="EPI7" s="57"/>
      <c r="EPJ7" s="57"/>
      <c r="EPK7" s="57"/>
      <c r="EPL7" s="57"/>
      <c r="EPM7" s="57"/>
      <c r="EPN7" s="57"/>
      <c r="EPO7" s="57"/>
      <c r="EPP7" s="57"/>
      <c r="EPQ7" s="57"/>
      <c r="EPR7" s="57"/>
      <c r="EPS7" s="57"/>
      <c r="EPT7" s="57"/>
      <c r="EPU7" s="57"/>
      <c r="EPV7" s="57"/>
      <c r="EPW7" s="57"/>
      <c r="EPX7" s="57"/>
      <c r="EPY7" s="57"/>
      <c r="EPZ7" s="57"/>
      <c r="EQA7" s="57"/>
      <c r="EQB7" s="57"/>
      <c r="EQC7" s="57"/>
      <c r="EQD7" s="57"/>
      <c r="EQE7" s="57"/>
      <c r="EQF7" s="57"/>
      <c r="EQG7" s="57"/>
      <c r="EQH7" s="57"/>
      <c r="EQI7" s="57"/>
      <c r="EQJ7" s="57"/>
      <c r="EQK7" s="57"/>
      <c r="EQL7" s="57"/>
      <c r="EQM7" s="57"/>
      <c r="EQN7" s="57"/>
      <c r="EQO7" s="57"/>
      <c r="EQP7" s="57"/>
      <c r="EQQ7" s="57"/>
      <c r="EQR7" s="57"/>
      <c r="EQS7" s="57"/>
      <c r="EQT7" s="57"/>
      <c r="EQU7" s="57"/>
      <c r="EQV7" s="57"/>
      <c r="EQW7" s="57"/>
      <c r="EQX7" s="57"/>
      <c r="EQY7" s="57"/>
      <c r="EQZ7" s="57"/>
      <c r="ERA7" s="57"/>
      <c r="ERB7" s="57"/>
      <c r="ERC7" s="57"/>
      <c r="ERD7" s="57"/>
      <c r="ERE7" s="57"/>
      <c r="ERF7" s="57"/>
      <c r="ERG7" s="57"/>
      <c r="ERH7" s="57"/>
      <c r="ERI7" s="57"/>
      <c r="ERJ7" s="57"/>
      <c r="ERK7" s="57"/>
      <c r="ERL7" s="57"/>
      <c r="ERM7" s="57"/>
      <c r="ERN7" s="57"/>
      <c r="ERO7" s="57"/>
      <c r="ERP7" s="57"/>
      <c r="ERQ7" s="57"/>
      <c r="ERR7" s="57"/>
      <c r="ERS7" s="57"/>
      <c r="ERT7" s="57"/>
      <c r="ERU7" s="57"/>
      <c r="ERV7" s="57"/>
      <c r="ERW7" s="57"/>
      <c r="ERX7" s="57"/>
      <c r="ERY7" s="57"/>
      <c r="ERZ7" s="57"/>
      <c r="ESA7" s="57"/>
      <c r="ESB7" s="57"/>
      <c r="ESC7" s="57"/>
      <c r="ESD7" s="57"/>
      <c r="ESE7" s="57"/>
      <c r="ESF7" s="57"/>
      <c r="ESG7" s="57"/>
      <c r="ESH7" s="57"/>
      <c r="ESI7" s="57"/>
      <c r="ESJ7" s="57"/>
      <c r="ESK7" s="57"/>
      <c r="ESL7" s="57"/>
      <c r="ESM7" s="57"/>
      <c r="ESN7" s="57"/>
      <c r="ESO7" s="57"/>
      <c r="ESP7" s="57"/>
      <c r="ESQ7" s="57"/>
      <c r="ESR7" s="57"/>
      <c r="ESS7" s="57"/>
      <c r="EST7" s="57"/>
      <c r="ESU7" s="57"/>
      <c r="ESV7" s="57"/>
      <c r="ESW7" s="57"/>
      <c r="ESX7" s="57"/>
      <c r="ESY7" s="57"/>
      <c r="ESZ7" s="57"/>
      <c r="ETA7" s="57"/>
      <c r="ETB7" s="57"/>
      <c r="ETC7" s="57"/>
      <c r="ETD7" s="57"/>
      <c r="ETE7" s="57"/>
      <c r="ETF7" s="57"/>
      <c r="ETG7" s="57"/>
      <c r="ETH7" s="57"/>
      <c r="ETI7" s="57"/>
      <c r="ETJ7" s="57"/>
      <c r="ETK7" s="57"/>
      <c r="ETL7" s="57"/>
      <c r="ETM7" s="57"/>
      <c r="ETN7" s="57"/>
      <c r="ETO7" s="57"/>
      <c r="ETP7" s="57"/>
      <c r="ETQ7" s="57"/>
      <c r="ETR7" s="57"/>
      <c r="ETS7" s="57"/>
      <c r="ETT7" s="57"/>
      <c r="ETU7" s="57"/>
      <c r="ETV7" s="57"/>
      <c r="ETW7" s="57"/>
      <c r="ETX7" s="57"/>
      <c r="ETY7" s="57"/>
      <c r="ETZ7" s="57"/>
      <c r="EUA7" s="57"/>
      <c r="EUB7" s="57"/>
      <c r="EUC7" s="57"/>
      <c r="EUD7" s="57"/>
      <c r="EUE7" s="57"/>
      <c r="EUF7" s="57"/>
      <c r="EUG7" s="57"/>
      <c r="EUH7" s="57"/>
      <c r="EUI7" s="57"/>
      <c r="EUJ7" s="57"/>
      <c r="EUK7" s="57"/>
      <c r="EUL7" s="57"/>
      <c r="EUM7" s="57"/>
      <c r="EUN7" s="57"/>
      <c r="EUO7" s="57"/>
      <c r="EUP7" s="57"/>
      <c r="EUQ7" s="57"/>
      <c r="EUR7" s="57"/>
      <c r="EUS7" s="57"/>
      <c r="EUT7" s="57"/>
      <c r="EUU7" s="57"/>
      <c r="EUV7" s="57"/>
      <c r="EUW7" s="57"/>
      <c r="EUX7" s="57"/>
      <c r="EUY7" s="57"/>
      <c r="EUZ7" s="57"/>
      <c r="EVA7" s="57"/>
      <c r="EVB7" s="57"/>
      <c r="EVC7" s="57"/>
      <c r="EVD7" s="57"/>
      <c r="EVE7" s="57"/>
      <c r="EVF7" s="57"/>
      <c r="EVG7" s="57"/>
      <c r="EVH7" s="57"/>
      <c r="EVI7" s="57"/>
      <c r="EVJ7" s="57"/>
      <c r="EVK7" s="57"/>
      <c r="EVL7" s="57"/>
      <c r="EVM7" s="57"/>
      <c r="EVN7" s="57"/>
      <c r="EVO7" s="57"/>
      <c r="EVP7" s="57"/>
      <c r="EVQ7" s="57"/>
      <c r="EVR7" s="57"/>
      <c r="EVS7" s="57"/>
      <c r="EVT7" s="57"/>
      <c r="EVU7" s="57"/>
      <c r="EVV7" s="57"/>
      <c r="EVW7" s="57"/>
      <c r="EVX7" s="57"/>
      <c r="EVY7" s="57"/>
      <c r="EVZ7" s="57"/>
      <c r="EWA7" s="57"/>
      <c r="EWB7" s="57"/>
      <c r="EWC7" s="57"/>
      <c r="EWD7" s="57"/>
      <c r="EWE7" s="57"/>
      <c r="EWF7" s="57"/>
      <c r="EWG7" s="57"/>
      <c r="EWH7" s="57"/>
      <c r="EWI7" s="57"/>
      <c r="EWJ7" s="57"/>
      <c r="EWK7" s="57"/>
      <c r="EWL7" s="57"/>
      <c r="EWM7" s="57"/>
      <c r="EWN7" s="57"/>
      <c r="EWO7" s="57"/>
      <c r="EWP7" s="57"/>
      <c r="EWQ7" s="57"/>
      <c r="EWR7" s="57"/>
      <c r="EWS7" s="57"/>
      <c r="EWT7" s="57"/>
      <c r="EWU7" s="57"/>
      <c r="EWV7" s="57"/>
      <c r="EWW7" s="57"/>
      <c r="EWX7" s="57"/>
      <c r="EWY7" s="57"/>
      <c r="EWZ7" s="57"/>
      <c r="EXA7" s="57"/>
      <c r="EXB7" s="57"/>
      <c r="EXC7" s="57"/>
      <c r="EXD7" s="57"/>
      <c r="EXE7" s="57"/>
      <c r="EXF7" s="57"/>
      <c r="EXG7" s="57"/>
      <c r="EXH7" s="57"/>
      <c r="EXI7" s="57"/>
      <c r="EXJ7" s="57"/>
      <c r="EXK7" s="57"/>
      <c r="EXL7" s="57"/>
      <c r="EXM7" s="57"/>
      <c r="EXN7" s="57"/>
      <c r="EXO7" s="57"/>
      <c r="EXP7" s="57"/>
      <c r="EXQ7" s="57"/>
      <c r="EXR7" s="57"/>
      <c r="EXS7" s="57"/>
      <c r="EXT7" s="57"/>
      <c r="EXU7" s="57"/>
      <c r="EXV7" s="57"/>
      <c r="EXW7" s="57"/>
      <c r="EXX7" s="57"/>
      <c r="EXY7" s="57"/>
      <c r="EXZ7" s="57"/>
      <c r="EYA7" s="57"/>
      <c r="EYB7" s="57"/>
      <c r="EYC7" s="57"/>
      <c r="EYD7" s="57"/>
      <c r="EYE7" s="57"/>
      <c r="EYF7" s="57"/>
      <c r="EYG7" s="57"/>
      <c r="EYH7" s="57"/>
      <c r="EYI7" s="57"/>
      <c r="EYJ7" s="57"/>
      <c r="EYK7" s="57"/>
      <c r="EYL7" s="57"/>
      <c r="EYM7" s="57"/>
      <c r="EYN7" s="57"/>
      <c r="EYO7" s="57"/>
      <c r="EYP7" s="57"/>
      <c r="EYQ7" s="57"/>
      <c r="EYR7" s="57"/>
      <c r="EYS7" s="57"/>
      <c r="EYT7" s="57"/>
      <c r="EYU7" s="57"/>
      <c r="EYV7" s="57"/>
      <c r="EYW7" s="57"/>
      <c r="EYX7" s="57"/>
      <c r="EYY7" s="57"/>
      <c r="EYZ7" s="57"/>
      <c r="EZA7" s="57"/>
      <c r="EZB7" s="57"/>
      <c r="EZC7" s="57"/>
      <c r="EZD7" s="57"/>
      <c r="EZE7" s="57"/>
      <c r="EZF7" s="57"/>
      <c r="EZG7" s="57"/>
      <c r="EZH7" s="57"/>
      <c r="EZI7" s="57"/>
      <c r="EZJ7" s="57"/>
      <c r="EZK7" s="57"/>
      <c r="EZL7" s="57"/>
      <c r="EZM7" s="57"/>
      <c r="EZN7" s="57"/>
      <c r="EZO7" s="57"/>
      <c r="EZP7" s="57"/>
      <c r="EZQ7" s="57"/>
      <c r="EZR7" s="57"/>
      <c r="EZS7" s="57"/>
      <c r="EZT7" s="57"/>
      <c r="EZU7" s="57"/>
      <c r="EZV7" s="57"/>
      <c r="EZW7" s="57"/>
      <c r="EZX7" s="57"/>
      <c r="EZY7" s="57"/>
      <c r="EZZ7" s="57"/>
      <c r="FAA7" s="57"/>
      <c r="FAB7" s="57"/>
      <c r="FAC7" s="57"/>
      <c r="FAD7" s="57"/>
      <c r="FAE7" s="57"/>
      <c r="FAF7" s="57"/>
      <c r="FAG7" s="57"/>
      <c r="FAH7" s="57"/>
      <c r="FAI7" s="57"/>
      <c r="FAJ7" s="57"/>
      <c r="FAK7" s="57"/>
      <c r="FAL7" s="57"/>
      <c r="FAM7" s="57"/>
      <c r="FAN7" s="57"/>
      <c r="FAO7" s="57"/>
      <c r="FAP7" s="57"/>
      <c r="FAQ7" s="57"/>
      <c r="FAR7" s="57"/>
      <c r="FAS7" s="57"/>
      <c r="FAT7" s="57"/>
      <c r="FAU7" s="57"/>
      <c r="FAV7" s="57"/>
      <c r="FAW7" s="57"/>
      <c r="FAX7" s="57"/>
      <c r="FAY7" s="57"/>
      <c r="FAZ7" s="57"/>
      <c r="FBA7" s="57"/>
      <c r="FBB7" s="57"/>
      <c r="FBC7" s="57"/>
      <c r="FBD7" s="57"/>
      <c r="FBE7" s="57"/>
      <c r="FBF7" s="57"/>
      <c r="FBG7" s="57"/>
      <c r="FBH7" s="57"/>
      <c r="FBI7" s="57"/>
      <c r="FBJ7" s="57"/>
      <c r="FBK7" s="57"/>
      <c r="FBL7" s="57"/>
      <c r="FBM7" s="57"/>
      <c r="FBN7" s="57"/>
      <c r="FBO7" s="57"/>
      <c r="FBP7" s="57"/>
      <c r="FBQ7" s="57"/>
      <c r="FBR7" s="57"/>
      <c r="FBS7" s="57"/>
      <c r="FBT7" s="57"/>
      <c r="FBU7" s="57"/>
      <c r="FBV7" s="57"/>
      <c r="FBW7" s="57"/>
      <c r="FBX7" s="57"/>
      <c r="FBY7" s="57"/>
      <c r="FBZ7" s="57"/>
      <c r="FCA7" s="57"/>
      <c r="FCB7" s="57"/>
      <c r="FCC7" s="57"/>
      <c r="FCD7" s="57"/>
      <c r="FCE7" s="57"/>
      <c r="FCF7" s="57"/>
      <c r="FCG7" s="57"/>
      <c r="FCH7" s="57"/>
      <c r="FCI7" s="57"/>
      <c r="FCJ7" s="57"/>
      <c r="FCK7" s="57"/>
      <c r="FCL7" s="57"/>
      <c r="FCM7" s="57"/>
      <c r="FCN7" s="57"/>
      <c r="FCO7" s="57"/>
      <c r="FCP7" s="57"/>
      <c r="FCQ7" s="57"/>
      <c r="FCR7" s="57"/>
      <c r="FCS7" s="57"/>
      <c r="FCT7" s="57"/>
      <c r="FCU7" s="57"/>
      <c r="FCV7" s="57"/>
      <c r="FCW7" s="57"/>
      <c r="FCX7" s="57"/>
      <c r="FCY7" s="57"/>
      <c r="FCZ7" s="57"/>
      <c r="FDA7" s="57"/>
      <c r="FDB7" s="57"/>
      <c r="FDC7" s="57"/>
      <c r="FDD7" s="57"/>
      <c r="FDE7" s="57"/>
      <c r="FDF7" s="57"/>
      <c r="FDG7" s="57"/>
      <c r="FDH7" s="57"/>
      <c r="FDI7" s="57"/>
      <c r="FDJ7" s="57"/>
      <c r="FDK7" s="57"/>
      <c r="FDL7" s="57"/>
      <c r="FDM7" s="57"/>
      <c r="FDN7" s="57"/>
      <c r="FDO7" s="57"/>
      <c r="FDP7" s="57"/>
      <c r="FDQ7" s="57"/>
      <c r="FDR7" s="57"/>
      <c r="FDS7" s="57"/>
      <c r="FDT7" s="57"/>
      <c r="FDU7" s="57"/>
      <c r="FDV7" s="57"/>
      <c r="FDW7" s="57"/>
      <c r="FDX7" s="57"/>
      <c r="FDY7" s="57"/>
      <c r="FDZ7" s="57"/>
      <c r="FEA7" s="57"/>
      <c r="FEB7" s="57"/>
      <c r="FEC7" s="57"/>
      <c r="FED7" s="57"/>
      <c r="FEE7" s="57"/>
      <c r="FEF7" s="57"/>
      <c r="FEG7" s="57"/>
      <c r="FEH7" s="57"/>
      <c r="FEI7" s="57"/>
      <c r="FEJ7" s="57"/>
      <c r="FEK7" s="57"/>
      <c r="FEL7" s="57"/>
      <c r="FEM7" s="57"/>
      <c r="FEN7" s="57"/>
      <c r="FEO7" s="57"/>
      <c r="FEP7" s="57"/>
      <c r="FEQ7" s="57"/>
      <c r="FER7" s="57"/>
      <c r="FES7" s="57"/>
      <c r="FET7" s="57"/>
      <c r="FEU7" s="57"/>
      <c r="FEV7" s="57"/>
      <c r="FEW7" s="57"/>
      <c r="FEX7" s="57"/>
      <c r="FEY7" s="57"/>
      <c r="FEZ7" s="57"/>
      <c r="FFA7" s="57"/>
      <c r="FFB7" s="57"/>
      <c r="FFC7" s="57"/>
      <c r="FFD7" s="57"/>
      <c r="FFE7" s="57"/>
      <c r="FFF7" s="57"/>
      <c r="FFG7" s="57"/>
      <c r="FFH7" s="57"/>
      <c r="FFI7" s="57"/>
      <c r="FFJ7" s="57"/>
      <c r="FFK7" s="57"/>
      <c r="FFL7" s="57"/>
      <c r="FFM7" s="57"/>
      <c r="FFN7" s="57"/>
      <c r="FFO7" s="57"/>
      <c r="FFP7" s="57"/>
      <c r="FFQ7" s="57"/>
      <c r="FFR7" s="57"/>
      <c r="FFS7" s="57"/>
      <c r="FFT7" s="57"/>
      <c r="FFU7" s="57"/>
      <c r="FFV7" s="57"/>
      <c r="FFW7" s="57"/>
      <c r="FFX7" s="57"/>
      <c r="FFY7" s="57"/>
      <c r="FFZ7" s="57"/>
      <c r="FGA7" s="57"/>
      <c r="FGB7" s="57"/>
      <c r="FGC7" s="57"/>
      <c r="FGD7" s="57"/>
      <c r="FGE7" s="57"/>
      <c r="FGF7" s="57"/>
      <c r="FGG7" s="57"/>
      <c r="FGH7" s="57"/>
      <c r="FGI7" s="57"/>
      <c r="FGJ7" s="57"/>
      <c r="FGK7" s="57"/>
      <c r="FGL7" s="57"/>
      <c r="FGM7" s="57"/>
      <c r="FGN7" s="57"/>
      <c r="FGO7" s="57"/>
      <c r="FGP7" s="57"/>
      <c r="FGQ7" s="57"/>
      <c r="FGR7" s="57"/>
      <c r="FGS7" s="57"/>
      <c r="FGT7" s="57"/>
      <c r="FGU7" s="57"/>
      <c r="FGV7" s="57"/>
      <c r="FGW7" s="57"/>
      <c r="FGX7" s="57"/>
      <c r="FGY7" s="57"/>
      <c r="FGZ7" s="57"/>
      <c r="FHA7" s="57"/>
      <c r="FHB7" s="57"/>
      <c r="FHC7" s="57"/>
      <c r="FHD7" s="57"/>
      <c r="FHE7" s="57"/>
      <c r="FHF7" s="57"/>
      <c r="FHG7" s="57"/>
      <c r="FHH7" s="57"/>
      <c r="FHI7" s="57"/>
      <c r="FHJ7" s="57"/>
      <c r="FHK7" s="57"/>
      <c r="FHL7" s="57"/>
      <c r="FHM7" s="57"/>
      <c r="FHN7" s="57"/>
      <c r="FHO7" s="57"/>
      <c r="FHP7" s="57"/>
      <c r="FHQ7" s="57"/>
      <c r="FHR7" s="57"/>
      <c r="FHS7" s="57"/>
      <c r="FHT7" s="57"/>
      <c r="FHU7" s="57"/>
      <c r="FHV7" s="57"/>
      <c r="FHW7" s="57"/>
      <c r="FHX7" s="57"/>
      <c r="FHY7" s="57"/>
      <c r="FHZ7" s="57"/>
      <c r="FIA7" s="57"/>
      <c r="FIB7" s="57"/>
      <c r="FIC7" s="57"/>
      <c r="FID7" s="57"/>
      <c r="FIE7" s="57"/>
      <c r="FIF7" s="57"/>
      <c r="FIG7" s="57"/>
      <c r="FIH7" s="57"/>
      <c r="FII7" s="57"/>
      <c r="FIJ7" s="57"/>
      <c r="FIK7" s="57"/>
      <c r="FIL7" s="57"/>
      <c r="FIM7" s="57"/>
      <c r="FIN7" s="57"/>
      <c r="FIO7" s="57"/>
      <c r="FIP7" s="57"/>
      <c r="FIQ7" s="57"/>
      <c r="FIR7" s="57"/>
      <c r="FIS7" s="57"/>
      <c r="FIT7" s="57"/>
      <c r="FIU7" s="57"/>
      <c r="FIV7" s="57"/>
      <c r="FIW7" s="57"/>
      <c r="FIX7" s="57"/>
      <c r="FIY7" s="57"/>
      <c r="FIZ7" s="57"/>
      <c r="FJA7" s="57"/>
      <c r="FJB7" s="57"/>
      <c r="FJC7" s="57"/>
      <c r="FJD7" s="57"/>
      <c r="FJE7" s="57"/>
      <c r="FJF7" s="57"/>
      <c r="FJG7" s="57"/>
      <c r="FJH7" s="57"/>
      <c r="FJI7" s="57"/>
      <c r="FJJ7" s="57"/>
      <c r="FJK7" s="57"/>
      <c r="FJL7" s="57"/>
      <c r="FJM7" s="57"/>
      <c r="FJN7" s="57"/>
      <c r="FJO7" s="57"/>
      <c r="FJP7" s="57"/>
      <c r="FJQ7" s="57"/>
      <c r="FJR7" s="57"/>
      <c r="FJS7" s="57"/>
      <c r="FJT7" s="57"/>
      <c r="FJU7" s="57"/>
      <c r="FJV7" s="57"/>
      <c r="FJW7" s="57"/>
      <c r="FJX7" s="57"/>
      <c r="FJY7" s="57"/>
      <c r="FJZ7" s="57"/>
      <c r="FKA7" s="57"/>
      <c r="FKB7" s="57"/>
      <c r="FKC7" s="57"/>
      <c r="FKD7" s="57"/>
      <c r="FKE7" s="57"/>
      <c r="FKF7" s="57"/>
      <c r="FKG7" s="57"/>
      <c r="FKH7" s="57"/>
      <c r="FKI7" s="57"/>
      <c r="FKJ7" s="57"/>
      <c r="FKK7" s="57"/>
      <c r="FKL7" s="57"/>
      <c r="FKM7" s="57"/>
      <c r="FKN7" s="57"/>
      <c r="FKO7" s="57"/>
      <c r="FKP7" s="57"/>
      <c r="FKQ7" s="57"/>
      <c r="FKR7" s="57"/>
      <c r="FKS7" s="57"/>
      <c r="FKT7" s="57"/>
      <c r="FKU7" s="57"/>
      <c r="FKV7" s="57"/>
      <c r="FKW7" s="57"/>
      <c r="FKX7" s="57"/>
      <c r="FKY7" s="57"/>
      <c r="FKZ7" s="57"/>
      <c r="FLA7" s="57"/>
      <c r="FLB7" s="57"/>
      <c r="FLC7" s="57"/>
      <c r="FLD7" s="57"/>
      <c r="FLE7" s="57"/>
      <c r="FLF7" s="57"/>
      <c r="FLG7" s="57"/>
      <c r="FLH7" s="57"/>
      <c r="FLI7" s="57"/>
      <c r="FLJ7" s="57"/>
      <c r="FLK7" s="57"/>
      <c r="FLL7" s="57"/>
      <c r="FLM7" s="57"/>
      <c r="FLN7" s="57"/>
      <c r="FLO7" s="57"/>
      <c r="FLP7" s="57"/>
      <c r="FLQ7" s="57"/>
      <c r="FLR7" s="57"/>
      <c r="FLS7" s="57"/>
      <c r="FLT7" s="57"/>
      <c r="FLU7" s="57"/>
      <c r="FLV7" s="57"/>
      <c r="FLW7" s="57"/>
      <c r="FLX7" s="57"/>
      <c r="FLY7" s="57"/>
      <c r="FLZ7" s="57"/>
      <c r="FMA7" s="57"/>
      <c r="FMB7" s="57"/>
      <c r="FMC7" s="57"/>
      <c r="FMD7" s="57"/>
      <c r="FME7" s="57"/>
      <c r="FMF7" s="57"/>
      <c r="FMG7" s="57"/>
      <c r="FMH7" s="57"/>
      <c r="FMI7" s="57"/>
      <c r="FMJ7" s="57"/>
      <c r="FMK7" s="57"/>
      <c r="FML7" s="57"/>
      <c r="FMM7" s="57"/>
      <c r="FMN7" s="57"/>
      <c r="FMO7" s="57"/>
      <c r="FMP7" s="57"/>
      <c r="FMQ7" s="57"/>
      <c r="FMR7" s="57"/>
      <c r="FMS7" s="57"/>
      <c r="FMT7" s="57"/>
      <c r="FMU7" s="57"/>
      <c r="FMV7" s="57"/>
      <c r="FMW7" s="57"/>
      <c r="FMX7" s="57"/>
      <c r="FMY7" s="57"/>
      <c r="FMZ7" s="57"/>
      <c r="FNA7" s="57"/>
      <c r="FNB7" s="57"/>
      <c r="FNC7" s="57"/>
      <c r="FND7" s="57"/>
      <c r="FNE7" s="57"/>
      <c r="FNF7" s="57"/>
      <c r="FNG7" s="57"/>
      <c r="FNH7" s="57"/>
      <c r="FNI7" s="57"/>
      <c r="FNJ7" s="57"/>
      <c r="FNK7" s="57"/>
      <c r="FNL7" s="57"/>
      <c r="FNM7" s="57"/>
      <c r="FNN7" s="57"/>
      <c r="FNO7" s="57"/>
      <c r="FNP7" s="57"/>
      <c r="FNQ7" s="57"/>
      <c r="FNR7" s="57"/>
      <c r="FNS7" s="57"/>
      <c r="FNT7" s="57"/>
      <c r="FNU7" s="57"/>
      <c r="FNV7" s="57"/>
      <c r="FNW7" s="57"/>
      <c r="FNX7" s="57"/>
      <c r="FNY7" s="57"/>
      <c r="FNZ7" s="57"/>
      <c r="FOA7" s="57"/>
      <c r="FOB7" s="57"/>
      <c r="FOC7" s="57"/>
      <c r="FOD7" s="57"/>
      <c r="FOE7" s="57"/>
      <c r="FOF7" s="57"/>
      <c r="FOG7" s="57"/>
      <c r="FOH7" s="57"/>
      <c r="FOI7" s="57"/>
      <c r="FOJ7" s="57"/>
      <c r="FOK7" s="57"/>
      <c r="FOL7" s="57"/>
      <c r="FOM7" s="57"/>
      <c r="FON7" s="57"/>
      <c r="FOO7" s="57"/>
      <c r="FOP7" s="57"/>
      <c r="FOQ7" s="57"/>
      <c r="FOR7" s="57"/>
      <c r="FOS7" s="57"/>
      <c r="FOT7" s="57"/>
      <c r="FOU7" s="57"/>
      <c r="FOV7" s="57"/>
      <c r="FOW7" s="57"/>
      <c r="FOX7" s="57"/>
      <c r="FOY7" s="57"/>
      <c r="FOZ7" s="57"/>
      <c r="FPA7" s="57"/>
      <c r="FPB7" s="57"/>
      <c r="FPC7" s="57"/>
      <c r="FPD7" s="57"/>
      <c r="FPE7" s="57"/>
      <c r="FPF7" s="57"/>
      <c r="FPG7" s="57"/>
      <c r="FPH7" s="57"/>
      <c r="FPI7" s="57"/>
      <c r="FPJ7" s="57"/>
      <c r="FPK7" s="57"/>
      <c r="FPL7" s="57"/>
      <c r="FPM7" s="57"/>
      <c r="FPN7" s="57"/>
      <c r="FPO7" s="57"/>
      <c r="FPP7" s="57"/>
      <c r="FPQ7" s="57"/>
      <c r="FPR7" s="57"/>
      <c r="FPS7" s="57"/>
      <c r="FPT7" s="57"/>
      <c r="FPU7" s="57"/>
      <c r="FPV7" s="57"/>
      <c r="FPW7" s="57"/>
      <c r="FPX7" s="57"/>
      <c r="FPY7" s="57"/>
      <c r="FPZ7" s="57"/>
      <c r="FQA7" s="57"/>
      <c r="FQB7" s="57"/>
      <c r="FQC7" s="57"/>
      <c r="FQD7" s="57"/>
      <c r="FQE7" s="57"/>
      <c r="FQF7" s="57"/>
      <c r="FQG7" s="57"/>
      <c r="FQH7" s="57"/>
      <c r="FQI7" s="57"/>
      <c r="FQJ7" s="57"/>
      <c r="FQK7" s="57"/>
      <c r="FQL7" s="57"/>
      <c r="FQM7" s="57"/>
      <c r="FQN7" s="57"/>
      <c r="FQO7" s="57"/>
      <c r="FQP7" s="57"/>
      <c r="FQQ7" s="57"/>
      <c r="FQR7" s="57"/>
      <c r="FQS7" s="57"/>
      <c r="FQT7" s="57"/>
      <c r="FQU7" s="57"/>
      <c r="FQV7" s="57"/>
      <c r="FQW7" s="57"/>
      <c r="FQX7" s="57"/>
      <c r="FQY7" s="57"/>
      <c r="FQZ7" s="57"/>
      <c r="FRA7" s="57"/>
      <c r="FRB7" s="57"/>
      <c r="FRC7" s="57"/>
      <c r="FRD7" s="57"/>
      <c r="FRE7" s="57"/>
      <c r="FRF7" s="57"/>
      <c r="FRG7" s="57"/>
      <c r="FRH7" s="57"/>
      <c r="FRI7" s="57"/>
      <c r="FRJ7" s="57"/>
      <c r="FRK7" s="57"/>
      <c r="FRL7" s="57"/>
      <c r="FRM7" s="57"/>
      <c r="FRN7" s="57"/>
      <c r="FRO7" s="57"/>
      <c r="FRP7" s="57"/>
      <c r="FRQ7" s="57"/>
      <c r="FRR7" s="57"/>
      <c r="FRS7" s="57"/>
      <c r="FRT7" s="57"/>
      <c r="FRU7" s="57"/>
      <c r="FRV7" s="57"/>
      <c r="FRW7" s="57"/>
      <c r="FRX7" s="57"/>
      <c r="FRY7" s="57"/>
      <c r="FRZ7" s="57"/>
      <c r="FSA7" s="57"/>
      <c r="FSB7" s="57"/>
      <c r="FSC7" s="57"/>
      <c r="FSD7" s="57"/>
      <c r="FSE7" s="57"/>
      <c r="FSF7" s="57"/>
      <c r="FSG7" s="57"/>
      <c r="FSH7" s="57"/>
      <c r="FSI7" s="57"/>
      <c r="FSJ7" s="57"/>
      <c r="FSK7" s="57"/>
      <c r="FSL7" s="57"/>
      <c r="FSM7" s="57"/>
      <c r="FSN7" s="57"/>
      <c r="FSO7" s="57"/>
      <c r="FSP7" s="57"/>
      <c r="FSQ7" s="57"/>
      <c r="FSR7" s="57"/>
      <c r="FSS7" s="57"/>
      <c r="FST7" s="57"/>
      <c r="FSU7" s="57"/>
      <c r="FSV7" s="57"/>
      <c r="FSW7" s="57"/>
      <c r="FSX7" s="57"/>
      <c r="FSY7" s="57"/>
      <c r="FSZ7" s="57"/>
      <c r="FTA7" s="57"/>
      <c r="FTB7" s="57"/>
      <c r="FTC7" s="57"/>
      <c r="FTD7" s="57"/>
      <c r="FTE7" s="57"/>
      <c r="FTF7" s="57"/>
      <c r="FTG7" s="57"/>
      <c r="FTH7" s="57"/>
      <c r="FTI7" s="57"/>
      <c r="FTJ7" s="57"/>
      <c r="FTK7" s="57"/>
      <c r="FTL7" s="57"/>
      <c r="FTM7" s="57"/>
      <c r="FTN7" s="57"/>
      <c r="FTO7" s="57"/>
      <c r="FTP7" s="57"/>
      <c r="FTQ7" s="57"/>
      <c r="FTR7" s="57"/>
      <c r="FTS7" s="57"/>
      <c r="FTT7" s="57"/>
      <c r="FTU7" s="57"/>
      <c r="FTV7" s="57"/>
      <c r="FTW7" s="57"/>
      <c r="FTX7" s="57"/>
      <c r="FTY7" s="57"/>
      <c r="FTZ7" s="57"/>
      <c r="FUA7" s="57"/>
      <c r="FUB7" s="57"/>
      <c r="FUC7" s="57"/>
      <c r="FUD7" s="57"/>
      <c r="FUE7" s="57"/>
      <c r="FUF7" s="57"/>
      <c r="FUG7" s="57"/>
      <c r="FUH7" s="57"/>
      <c r="FUI7" s="57"/>
      <c r="FUJ7" s="57"/>
      <c r="FUK7" s="57"/>
      <c r="FUL7" s="57"/>
      <c r="FUM7" s="57"/>
      <c r="FUN7" s="57"/>
      <c r="FUO7" s="57"/>
      <c r="FUP7" s="57"/>
      <c r="FUQ7" s="57"/>
      <c r="FUR7" s="57"/>
      <c r="FUS7" s="57"/>
      <c r="FUT7" s="57"/>
      <c r="FUU7" s="57"/>
      <c r="FUV7" s="57"/>
      <c r="FUW7" s="57"/>
      <c r="FUX7" s="57"/>
      <c r="FUY7" s="57"/>
      <c r="FUZ7" s="57"/>
      <c r="FVA7" s="57"/>
      <c r="FVB7" s="57"/>
      <c r="FVC7" s="57"/>
      <c r="FVD7" s="57"/>
      <c r="FVE7" s="57"/>
      <c r="FVF7" s="57"/>
      <c r="FVG7" s="57"/>
      <c r="FVH7" s="57"/>
      <c r="FVI7" s="57"/>
      <c r="FVJ7" s="57"/>
      <c r="FVK7" s="57"/>
      <c r="FVL7" s="57"/>
      <c r="FVM7" s="57"/>
      <c r="FVN7" s="57"/>
      <c r="FVO7" s="57"/>
      <c r="FVP7" s="57"/>
      <c r="FVQ7" s="57"/>
      <c r="FVR7" s="57"/>
      <c r="FVS7" s="57"/>
      <c r="FVT7" s="57"/>
      <c r="FVU7" s="57"/>
      <c r="FVV7" s="57"/>
      <c r="FVW7" s="57"/>
      <c r="FVX7" s="57"/>
      <c r="FVY7" s="57"/>
      <c r="FVZ7" s="57"/>
      <c r="FWA7" s="57"/>
      <c r="FWB7" s="57"/>
      <c r="FWC7" s="57"/>
      <c r="FWD7" s="57"/>
      <c r="FWE7" s="57"/>
      <c r="FWF7" s="57"/>
      <c r="FWG7" s="57"/>
      <c r="FWH7" s="57"/>
      <c r="FWI7" s="57"/>
      <c r="FWJ7" s="57"/>
      <c r="FWK7" s="57"/>
      <c r="FWL7" s="57"/>
      <c r="FWM7" s="57"/>
      <c r="FWN7" s="57"/>
      <c r="FWO7" s="57"/>
      <c r="FWP7" s="57"/>
      <c r="FWQ7" s="57"/>
      <c r="FWR7" s="57"/>
      <c r="FWS7" s="57"/>
      <c r="FWT7" s="57"/>
      <c r="FWU7" s="57"/>
      <c r="FWV7" s="57"/>
      <c r="FWW7" s="57"/>
      <c r="FWX7" s="57"/>
      <c r="FWY7" s="57"/>
      <c r="FWZ7" s="57"/>
      <c r="FXA7" s="57"/>
      <c r="FXB7" s="57"/>
      <c r="FXC7" s="57"/>
      <c r="FXD7" s="57"/>
      <c r="FXE7" s="57"/>
      <c r="FXF7" s="57"/>
      <c r="FXG7" s="57"/>
      <c r="FXH7" s="57"/>
      <c r="FXI7" s="57"/>
      <c r="FXJ7" s="57"/>
      <c r="FXK7" s="57"/>
      <c r="FXL7" s="57"/>
      <c r="FXM7" s="57"/>
      <c r="FXN7" s="57"/>
      <c r="FXO7" s="57"/>
      <c r="FXP7" s="57"/>
      <c r="FXQ7" s="57"/>
      <c r="FXR7" s="57"/>
      <c r="FXS7" s="57"/>
      <c r="FXT7" s="57"/>
      <c r="FXU7" s="57"/>
      <c r="FXV7" s="57"/>
      <c r="FXW7" s="57"/>
      <c r="FXX7" s="57"/>
      <c r="FXY7" s="57"/>
      <c r="FXZ7" s="57"/>
      <c r="FYA7" s="57"/>
      <c r="FYB7" s="57"/>
      <c r="FYC7" s="57"/>
      <c r="FYD7" s="57"/>
      <c r="FYE7" s="57"/>
      <c r="FYF7" s="57"/>
      <c r="FYG7" s="57"/>
      <c r="FYH7" s="57"/>
      <c r="FYI7" s="57"/>
      <c r="FYJ7" s="57"/>
      <c r="FYK7" s="57"/>
      <c r="FYL7" s="57"/>
      <c r="FYM7" s="57"/>
      <c r="FYN7" s="57"/>
      <c r="FYO7" s="57"/>
      <c r="FYP7" s="57"/>
      <c r="FYQ7" s="57"/>
      <c r="FYR7" s="57"/>
      <c r="FYS7" s="57"/>
      <c r="FYT7" s="57"/>
      <c r="FYU7" s="57"/>
      <c r="FYV7" s="57"/>
      <c r="FYW7" s="57"/>
      <c r="FYX7" s="57"/>
      <c r="FYY7" s="57"/>
      <c r="FYZ7" s="57"/>
      <c r="FZA7" s="57"/>
      <c r="FZB7" s="57"/>
      <c r="FZC7" s="57"/>
      <c r="FZD7" s="57"/>
      <c r="FZE7" s="57"/>
      <c r="FZF7" s="57"/>
      <c r="FZG7" s="57"/>
      <c r="FZH7" s="57"/>
      <c r="FZI7" s="57"/>
      <c r="FZJ7" s="57"/>
      <c r="FZK7" s="57"/>
      <c r="FZL7" s="57"/>
      <c r="FZM7" s="57"/>
      <c r="FZN7" s="57"/>
      <c r="FZO7" s="57"/>
      <c r="FZP7" s="57"/>
      <c r="FZQ7" s="57"/>
      <c r="FZR7" s="57"/>
      <c r="FZS7" s="57"/>
      <c r="FZT7" s="57"/>
      <c r="FZU7" s="57"/>
      <c r="FZV7" s="57"/>
      <c r="FZW7" s="57"/>
      <c r="FZX7" s="57"/>
      <c r="FZY7" s="57"/>
      <c r="FZZ7" s="57"/>
      <c r="GAA7" s="57"/>
      <c r="GAB7" s="57"/>
      <c r="GAC7" s="57"/>
      <c r="GAD7" s="57"/>
      <c r="GAE7" s="57"/>
      <c r="GAF7" s="57"/>
      <c r="GAG7" s="57"/>
      <c r="GAH7" s="57"/>
      <c r="GAI7" s="57"/>
      <c r="GAJ7" s="57"/>
      <c r="GAK7" s="57"/>
      <c r="GAL7" s="57"/>
      <c r="GAM7" s="57"/>
      <c r="GAN7" s="57"/>
      <c r="GAO7" s="57"/>
      <c r="GAP7" s="57"/>
      <c r="GAQ7" s="57"/>
      <c r="GAR7" s="57"/>
      <c r="GAS7" s="57"/>
      <c r="GAT7" s="57"/>
      <c r="GAU7" s="57"/>
      <c r="GAV7" s="57"/>
      <c r="GAW7" s="57"/>
      <c r="GAX7" s="57"/>
      <c r="GAY7" s="57"/>
      <c r="GAZ7" s="57"/>
      <c r="GBA7" s="57"/>
      <c r="GBB7" s="57"/>
      <c r="GBC7" s="57"/>
      <c r="GBD7" s="57"/>
      <c r="GBE7" s="57"/>
      <c r="GBF7" s="57"/>
      <c r="GBG7" s="57"/>
      <c r="GBH7" s="57"/>
      <c r="GBI7" s="57"/>
      <c r="GBJ7" s="57"/>
      <c r="GBK7" s="57"/>
      <c r="GBL7" s="57"/>
      <c r="GBM7" s="57"/>
      <c r="GBN7" s="57"/>
      <c r="GBO7" s="57"/>
      <c r="GBP7" s="57"/>
      <c r="GBQ7" s="57"/>
      <c r="GBR7" s="57"/>
      <c r="GBS7" s="57"/>
      <c r="GBT7" s="57"/>
      <c r="GBU7" s="57"/>
      <c r="GBV7" s="57"/>
      <c r="GBW7" s="57"/>
      <c r="GBX7" s="57"/>
      <c r="GBY7" s="57"/>
      <c r="GBZ7" s="57"/>
      <c r="GCA7" s="57"/>
      <c r="GCB7" s="57"/>
      <c r="GCC7" s="57"/>
      <c r="GCD7" s="57"/>
      <c r="GCE7" s="57"/>
      <c r="GCF7" s="57"/>
      <c r="GCG7" s="57"/>
      <c r="GCH7" s="57"/>
      <c r="GCI7" s="57"/>
      <c r="GCJ7" s="57"/>
      <c r="GCK7" s="57"/>
      <c r="GCL7" s="57"/>
      <c r="GCM7" s="57"/>
      <c r="GCN7" s="57"/>
      <c r="GCO7" s="57"/>
      <c r="GCP7" s="57"/>
      <c r="GCQ7" s="57"/>
      <c r="GCR7" s="57"/>
      <c r="GCS7" s="57"/>
      <c r="GCT7" s="57"/>
      <c r="GCU7" s="57"/>
      <c r="GCV7" s="57"/>
      <c r="GCW7" s="57"/>
      <c r="GCX7" s="57"/>
      <c r="GCY7" s="57"/>
      <c r="GCZ7" s="57"/>
      <c r="GDA7" s="57"/>
      <c r="GDB7" s="57"/>
      <c r="GDC7" s="57"/>
      <c r="GDD7" s="57"/>
      <c r="GDE7" s="57"/>
      <c r="GDF7" s="57"/>
      <c r="GDG7" s="57"/>
      <c r="GDH7" s="57"/>
      <c r="GDI7" s="57"/>
      <c r="GDJ7" s="57"/>
      <c r="GDK7" s="57"/>
      <c r="GDL7" s="57"/>
      <c r="GDM7" s="57"/>
      <c r="GDN7" s="57"/>
      <c r="GDO7" s="57"/>
      <c r="GDP7" s="57"/>
      <c r="GDQ7" s="57"/>
      <c r="GDR7" s="57"/>
      <c r="GDS7" s="57"/>
      <c r="GDT7" s="57"/>
      <c r="GDU7" s="57"/>
      <c r="GDV7" s="57"/>
      <c r="GDW7" s="57"/>
      <c r="GDX7" s="57"/>
      <c r="GDY7" s="57"/>
      <c r="GDZ7" s="57"/>
      <c r="GEA7" s="57"/>
      <c r="GEB7" s="57"/>
      <c r="GEC7" s="57"/>
      <c r="GED7" s="57"/>
      <c r="GEE7" s="57"/>
      <c r="GEF7" s="57"/>
      <c r="GEG7" s="57"/>
      <c r="GEH7" s="57"/>
      <c r="GEI7" s="57"/>
      <c r="GEJ7" s="57"/>
      <c r="GEK7" s="57"/>
      <c r="GEL7" s="57"/>
      <c r="GEM7" s="57"/>
      <c r="GEN7" s="57"/>
      <c r="GEO7" s="57"/>
      <c r="GEP7" s="57"/>
      <c r="GEQ7" s="57"/>
      <c r="GER7" s="57"/>
      <c r="GES7" s="57"/>
      <c r="GET7" s="57"/>
      <c r="GEU7" s="57"/>
      <c r="GEV7" s="57"/>
      <c r="GEW7" s="57"/>
      <c r="GEX7" s="57"/>
      <c r="GEY7" s="57"/>
      <c r="GEZ7" s="57"/>
      <c r="GFA7" s="57"/>
      <c r="GFB7" s="57"/>
      <c r="GFC7" s="57"/>
      <c r="GFD7" s="57"/>
      <c r="GFE7" s="57"/>
      <c r="GFF7" s="57"/>
      <c r="GFG7" s="57"/>
      <c r="GFH7" s="57"/>
      <c r="GFI7" s="57"/>
      <c r="GFJ7" s="57"/>
      <c r="GFK7" s="57"/>
      <c r="GFL7" s="57"/>
      <c r="GFM7" s="57"/>
      <c r="GFN7" s="57"/>
      <c r="GFO7" s="57"/>
      <c r="GFP7" s="57"/>
      <c r="GFQ7" s="57"/>
      <c r="GFR7" s="57"/>
      <c r="GFS7" s="57"/>
      <c r="GFT7" s="57"/>
      <c r="GFU7" s="57"/>
      <c r="GFV7" s="57"/>
      <c r="GFW7" s="57"/>
      <c r="GFX7" s="57"/>
      <c r="GFY7" s="57"/>
      <c r="GFZ7" s="57"/>
      <c r="GGA7" s="57"/>
      <c r="GGB7" s="57"/>
      <c r="GGC7" s="57"/>
      <c r="GGD7" s="57"/>
      <c r="GGE7" s="57"/>
      <c r="GGF7" s="57"/>
      <c r="GGG7" s="57"/>
      <c r="GGH7" s="57"/>
      <c r="GGI7" s="57"/>
      <c r="GGJ7" s="57"/>
      <c r="GGK7" s="57"/>
      <c r="GGL7" s="57"/>
      <c r="GGM7" s="57"/>
      <c r="GGN7" s="57"/>
      <c r="GGO7" s="57"/>
      <c r="GGP7" s="57"/>
      <c r="GGQ7" s="57"/>
      <c r="GGR7" s="57"/>
      <c r="GGS7" s="57"/>
      <c r="GGT7" s="57"/>
      <c r="GGU7" s="57"/>
      <c r="GGV7" s="57"/>
      <c r="GGW7" s="57"/>
      <c r="GGX7" s="57"/>
      <c r="GGY7" s="57"/>
      <c r="GGZ7" s="57"/>
      <c r="GHA7" s="57"/>
      <c r="GHB7" s="57"/>
      <c r="GHC7" s="57"/>
      <c r="GHD7" s="57"/>
      <c r="GHE7" s="57"/>
      <c r="GHF7" s="57"/>
      <c r="GHG7" s="57"/>
      <c r="GHH7" s="57"/>
      <c r="GHI7" s="57"/>
      <c r="GHJ7" s="57"/>
      <c r="GHK7" s="57"/>
      <c r="GHL7" s="57"/>
      <c r="GHM7" s="57"/>
      <c r="GHN7" s="57"/>
      <c r="GHO7" s="57"/>
      <c r="GHP7" s="57"/>
      <c r="GHQ7" s="57"/>
      <c r="GHR7" s="57"/>
      <c r="GHS7" s="57"/>
      <c r="GHT7" s="57"/>
      <c r="GHU7" s="57"/>
      <c r="GHV7" s="57"/>
      <c r="GHW7" s="57"/>
      <c r="GHX7" s="57"/>
      <c r="GHY7" s="57"/>
      <c r="GHZ7" s="57"/>
      <c r="GIA7" s="57"/>
      <c r="GIB7" s="57"/>
      <c r="GIC7" s="57"/>
      <c r="GID7" s="57"/>
      <c r="GIE7" s="57"/>
      <c r="GIF7" s="57"/>
      <c r="GIG7" s="57"/>
      <c r="GIH7" s="57"/>
      <c r="GII7" s="57"/>
      <c r="GIJ7" s="57"/>
      <c r="GIK7" s="57"/>
      <c r="GIL7" s="57"/>
      <c r="GIM7" s="57"/>
      <c r="GIN7" s="57"/>
      <c r="GIO7" s="57"/>
      <c r="GIP7" s="57"/>
      <c r="GIQ7" s="57"/>
      <c r="GIR7" s="57"/>
      <c r="GIS7" s="57"/>
      <c r="GIT7" s="57"/>
      <c r="GIU7" s="57"/>
      <c r="GIV7" s="57"/>
      <c r="GIW7" s="57"/>
      <c r="GIX7" s="57"/>
      <c r="GIY7" s="57"/>
      <c r="GIZ7" s="57"/>
      <c r="GJA7" s="57"/>
      <c r="GJB7" s="57"/>
      <c r="GJC7" s="57"/>
      <c r="GJD7" s="57"/>
      <c r="GJE7" s="57"/>
      <c r="GJF7" s="57"/>
      <c r="GJG7" s="57"/>
      <c r="GJH7" s="57"/>
      <c r="GJI7" s="57"/>
      <c r="GJJ7" s="57"/>
      <c r="GJK7" s="57"/>
      <c r="GJL7" s="57"/>
      <c r="GJM7" s="57"/>
      <c r="GJN7" s="57"/>
      <c r="GJO7" s="57"/>
      <c r="GJP7" s="57"/>
      <c r="GJQ7" s="57"/>
      <c r="GJR7" s="57"/>
      <c r="GJS7" s="57"/>
      <c r="GJT7" s="57"/>
      <c r="GJU7" s="57"/>
      <c r="GJV7" s="57"/>
      <c r="GJW7" s="57"/>
      <c r="GJX7" s="57"/>
      <c r="GJY7" s="57"/>
      <c r="GJZ7" s="57"/>
      <c r="GKA7" s="57"/>
      <c r="GKB7" s="57"/>
      <c r="GKC7" s="57"/>
      <c r="GKD7" s="57"/>
      <c r="GKE7" s="57"/>
      <c r="GKF7" s="57"/>
      <c r="GKG7" s="57"/>
      <c r="GKH7" s="57"/>
      <c r="GKI7" s="57"/>
      <c r="GKJ7" s="57"/>
      <c r="GKK7" s="57"/>
      <c r="GKL7" s="57"/>
      <c r="GKM7" s="57"/>
      <c r="GKN7" s="57"/>
      <c r="GKO7" s="57"/>
      <c r="GKP7" s="57"/>
      <c r="GKQ7" s="57"/>
      <c r="GKR7" s="57"/>
      <c r="GKS7" s="57"/>
      <c r="GKT7" s="57"/>
      <c r="GKU7" s="57"/>
      <c r="GKV7" s="57"/>
      <c r="GKW7" s="57"/>
      <c r="GKX7" s="57"/>
      <c r="GKY7" s="57"/>
      <c r="GKZ7" s="57"/>
      <c r="GLA7" s="57"/>
      <c r="GLB7" s="57"/>
      <c r="GLC7" s="57"/>
      <c r="GLD7" s="57"/>
      <c r="GLE7" s="57"/>
      <c r="GLF7" s="57"/>
      <c r="GLG7" s="57"/>
      <c r="GLH7" s="57"/>
      <c r="GLI7" s="57"/>
      <c r="GLJ7" s="57"/>
      <c r="GLK7" s="57"/>
      <c r="GLL7" s="57"/>
      <c r="GLM7" s="57"/>
      <c r="GLN7" s="57"/>
      <c r="GLO7" s="57"/>
      <c r="GLP7" s="57"/>
      <c r="GLQ7" s="57"/>
      <c r="GLR7" s="57"/>
      <c r="GLS7" s="57"/>
      <c r="GLT7" s="57"/>
      <c r="GLU7" s="57"/>
      <c r="GLV7" s="57"/>
      <c r="GLW7" s="57"/>
      <c r="GLX7" s="57"/>
      <c r="GLY7" s="57"/>
      <c r="GLZ7" s="57"/>
      <c r="GMA7" s="57"/>
      <c r="GMB7" s="57"/>
      <c r="GMC7" s="57"/>
      <c r="GMD7" s="57"/>
      <c r="GME7" s="57"/>
      <c r="GMF7" s="57"/>
      <c r="GMG7" s="57"/>
      <c r="GMH7" s="57"/>
      <c r="GMI7" s="57"/>
      <c r="GMJ7" s="57"/>
      <c r="GMK7" s="57"/>
      <c r="GML7" s="57"/>
      <c r="GMM7" s="57"/>
      <c r="GMN7" s="57"/>
      <c r="GMO7" s="57"/>
      <c r="GMP7" s="57"/>
      <c r="GMQ7" s="57"/>
      <c r="GMR7" s="57"/>
      <c r="GMS7" s="57"/>
      <c r="GMT7" s="57"/>
      <c r="GMU7" s="57"/>
      <c r="GMV7" s="57"/>
      <c r="GMW7" s="57"/>
      <c r="GMX7" s="57"/>
      <c r="GMY7" s="57"/>
      <c r="GMZ7" s="57"/>
      <c r="GNA7" s="57"/>
      <c r="GNB7" s="57"/>
      <c r="GNC7" s="57"/>
      <c r="GND7" s="57"/>
      <c r="GNE7" s="57"/>
      <c r="GNF7" s="57"/>
      <c r="GNG7" s="57"/>
      <c r="GNH7" s="57"/>
      <c r="GNI7" s="57"/>
      <c r="GNJ7" s="57"/>
      <c r="GNK7" s="57"/>
      <c r="GNL7" s="57"/>
      <c r="GNM7" s="57"/>
      <c r="GNN7" s="57"/>
      <c r="GNO7" s="57"/>
      <c r="GNP7" s="57"/>
      <c r="GNQ7" s="57"/>
      <c r="GNR7" s="57"/>
      <c r="GNS7" s="57"/>
      <c r="GNT7" s="57"/>
      <c r="GNU7" s="57"/>
      <c r="GNV7" s="57"/>
      <c r="GNW7" s="57"/>
      <c r="GNX7" s="57"/>
      <c r="GNY7" s="57"/>
      <c r="GNZ7" s="57"/>
      <c r="GOA7" s="57"/>
      <c r="GOB7" s="57"/>
      <c r="GOC7" s="57"/>
      <c r="GOD7" s="57"/>
      <c r="GOE7" s="57"/>
      <c r="GOF7" s="57"/>
      <c r="GOG7" s="57"/>
      <c r="GOH7" s="57"/>
      <c r="GOI7" s="57"/>
      <c r="GOJ7" s="57"/>
      <c r="GOK7" s="57"/>
      <c r="GOL7" s="57"/>
      <c r="GOM7" s="57"/>
      <c r="GON7" s="57"/>
      <c r="GOO7" s="57"/>
      <c r="GOP7" s="57"/>
      <c r="GOQ7" s="57"/>
      <c r="GOR7" s="57"/>
      <c r="GOS7" s="57"/>
      <c r="GOT7" s="57"/>
      <c r="GOU7" s="57"/>
      <c r="GOV7" s="57"/>
      <c r="GOW7" s="57"/>
      <c r="GOX7" s="57"/>
      <c r="GOY7" s="57"/>
      <c r="GOZ7" s="57"/>
      <c r="GPA7" s="57"/>
      <c r="GPB7" s="57"/>
      <c r="GPC7" s="57"/>
      <c r="GPD7" s="57"/>
      <c r="GPE7" s="57"/>
      <c r="GPF7" s="57"/>
      <c r="GPG7" s="57"/>
      <c r="GPH7" s="57"/>
      <c r="GPI7" s="57"/>
      <c r="GPJ7" s="57"/>
      <c r="GPK7" s="57"/>
      <c r="GPL7" s="57"/>
      <c r="GPM7" s="57"/>
      <c r="GPN7" s="57"/>
      <c r="GPO7" s="57"/>
      <c r="GPP7" s="57"/>
      <c r="GPQ7" s="57"/>
      <c r="GPR7" s="57"/>
      <c r="GPS7" s="57"/>
      <c r="GPT7" s="57"/>
      <c r="GPU7" s="57"/>
      <c r="GPV7" s="57"/>
      <c r="GPW7" s="57"/>
      <c r="GPX7" s="57"/>
      <c r="GPY7" s="57"/>
      <c r="GPZ7" s="57"/>
      <c r="GQA7" s="57"/>
      <c r="GQB7" s="57"/>
      <c r="GQC7" s="57"/>
      <c r="GQD7" s="57"/>
      <c r="GQE7" s="57"/>
      <c r="GQF7" s="57"/>
      <c r="GQG7" s="57"/>
      <c r="GQH7" s="57"/>
      <c r="GQI7" s="57"/>
      <c r="GQJ7" s="57"/>
      <c r="GQK7" s="57"/>
      <c r="GQL7" s="57"/>
      <c r="GQM7" s="57"/>
      <c r="GQN7" s="57"/>
      <c r="GQO7" s="57"/>
      <c r="GQP7" s="57"/>
      <c r="GQQ7" s="57"/>
      <c r="GQR7" s="57"/>
      <c r="GQS7" s="57"/>
      <c r="GQT7" s="57"/>
      <c r="GQU7" s="57"/>
      <c r="GQV7" s="57"/>
      <c r="GQW7" s="57"/>
      <c r="GQX7" s="57"/>
      <c r="GQY7" s="57"/>
      <c r="GQZ7" s="57"/>
      <c r="GRA7" s="57"/>
      <c r="GRB7" s="57"/>
      <c r="GRC7" s="57"/>
      <c r="GRD7" s="57"/>
      <c r="GRE7" s="57"/>
      <c r="GRF7" s="57"/>
      <c r="GRG7" s="57"/>
      <c r="GRH7" s="57"/>
      <c r="GRI7" s="57"/>
      <c r="GRJ7" s="57"/>
      <c r="GRK7" s="57"/>
      <c r="GRL7" s="57"/>
      <c r="GRM7" s="57"/>
      <c r="GRN7" s="57"/>
      <c r="GRO7" s="57"/>
      <c r="GRP7" s="57"/>
      <c r="GRQ7" s="57"/>
      <c r="GRR7" s="57"/>
      <c r="GRS7" s="57"/>
      <c r="GRT7" s="57"/>
      <c r="GRU7" s="57"/>
      <c r="GRV7" s="57"/>
      <c r="GRW7" s="57"/>
      <c r="GRX7" s="57"/>
      <c r="GRY7" s="57"/>
      <c r="GRZ7" s="57"/>
      <c r="GSA7" s="57"/>
      <c r="GSB7" s="57"/>
      <c r="GSC7" s="57"/>
      <c r="GSD7" s="57"/>
      <c r="GSE7" s="57"/>
      <c r="GSF7" s="57"/>
      <c r="GSG7" s="57"/>
      <c r="GSH7" s="57"/>
      <c r="GSI7" s="57"/>
      <c r="GSJ7" s="57"/>
      <c r="GSK7" s="57"/>
      <c r="GSL7" s="57"/>
      <c r="GSM7" s="57"/>
      <c r="GSN7" s="57"/>
      <c r="GSO7" s="57"/>
      <c r="GSP7" s="57"/>
      <c r="GSQ7" s="57"/>
      <c r="GSR7" s="57"/>
      <c r="GSS7" s="57"/>
      <c r="GST7" s="57"/>
      <c r="GSU7" s="57"/>
      <c r="GSV7" s="57"/>
      <c r="GSW7" s="57"/>
      <c r="GSX7" s="57"/>
      <c r="GSY7" s="57"/>
      <c r="GSZ7" s="57"/>
      <c r="GTA7" s="57"/>
      <c r="GTB7" s="57"/>
      <c r="GTC7" s="57"/>
      <c r="GTD7" s="57"/>
      <c r="GTE7" s="57"/>
      <c r="GTF7" s="57"/>
      <c r="GTG7" s="57"/>
      <c r="GTH7" s="57"/>
      <c r="GTI7" s="57"/>
      <c r="GTJ7" s="57"/>
      <c r="GTK7" s="57"/>
      <c r="GTL7" s="57"/>
      <c r="GTM7" s="57"/>
      <c r="GTN7" s="57"/>
      <c r="GTO7" s="57"/>
      <c r="GTP7" s="57"/>
      <c r="GTQ7" s="57"/>
      <c r="GTR7" s="57"/>
      <c r="GTS7" s="57"/>
      <c r="GTT7" s="57"/>
      <c r="GTU7" s="57"/>
      <c r="GTV7" s="57"/>
      <c r="GTW7" s="57"/>
      <c r="GTX7" s="57"/>
      <c r="GTY7" s="57"/>
      <c r="GTZ7" s="57"/>
      <c r="GUA7" s="57"/>
      <c r="GUB7" s="57"/>
      <c r="GUC7" s="57"/>
      <c r="GUD7" s="57"/>
      <c r="GUE7" s="57"/>
      <c r="GUF7" s="57"/>
      <c r="GUG7" s="57"/>
      <c r="GUH7" s="57"/>
      <c r="GUI7" s="57"/>
      <c r="GUJ7" s="57"/>
      <c r="GUK7" s="57"/>
      <c r="GUL7" s="57"/>
      <c r="GUM7" s="57"/>
      <c r="GUN7" s="57"/>
      <c r="GUO7" s="57"/>
      <c r="GUP7" s="57"/>
      <c r="GUQ7" s="57"/>
      <c r="GUR7" s="57"/>
      <c r="GUS7" s="57"/>
      <c r="GUT7" s="57"/>
      <c r="GUU7" s="57"/>
      <c r="GUV7" s="57"/>
      <c r="GUW7" s="57"/>
      <c r="GUX7" s="57"/>
      <c r="GUY7" s="57"/>
      <c r="GUZ7" s="57"/>
      <c r="GVA7" s="57"/>
      <c r="GVB7" s="57"/>
      <c r="GVC7" s="57"/>
      <c r="GVD7" s="57"/>
      <c r="GVE7" s="57"/>
      <c r="GVF7" s="57"/>
      <c r="GVG7" s="57"/>
      <c r="GVH7" s="57"/>
      <c r="GVI7" s="57"/>
      <c r="GVJ7" s="57"/>
      <c r="GVK7" s="57"/>
      <c r="GVL7" s="57"/>
      <c r="GVM7" s="57"/>
      <c r="GVN7" s="57"/>
      <c r="GVO7" s="57"/>
      <c r="GVP7" s="57"/>
      <c r="GVQ7" s="57"/>
      <c r="GVR7" s="57"/>
      <c r="GVS7" s="57"/>
      <c r="GVT7" s="57"/>
      <c r="GVU7" s="57"/>
      <c r="GVV7" s="57"/>
      <c r="GVW7" s="57"/>
      <c r="GVX7" s="57"/>
      <c r="GVY7" s="57"/>
      <c r="GVZ7" s="57"/>
      <c r="GWA7" s="57"/>
      <c r="GWB7" s="57"/>
      <c r="GWC7" s="57"/>
      <c r="GWD7" s="57"/>
      <c r="GWE7" s="57"/>
      <c r="GWF7" s="57"/>
      <c r="GWG7" s="57"/>
      <c r="GWH7" s="57"/>
      <c r="GWI7" s="57"/>
      <c r="GWJ7" s="57"/>
      <c r="GWK7" s="57"/>
      <c r="GWL7" s="57"/>
      <c r="GWM7" s="57"/>
      <c r="GWN7" s="57"/>
      <c r="GWO7" s="57"/>
      <c r="GWP7" s="57"/>
      <c r="GWQ7" s="57"/>
      <c r="GWR7" s="57"/>
      <c r="GWS7" s="57"/>
      <c r="GWT7" s="57"/>
      <c r="GWU7" s="57"/>
      <c r="GWV7" s="57"/>
      <c r="GWW7" s="57"/>
      <c r="GWX7" s="57"/>
      <c r="GWY7" s="57"/>
      <c r="GWZ7" s="57"/>
      <c r="GXA7" s="57"/>
      <c r="GXB7" s="57"/>
      <c r="GXC7" s="57"/>
      <c r="GXD7" s="57"/>
      <c r="GXE7" s="57"/>
      <c r="GXF7" s="57"/>
      <c r="GXG7" s="57"/>
      <c r="GXH7" s="57"/>
      <c r="GXI7" s="57"/>
      <c r="GXJ7" s="57"/>
      <c r="GXK7" s="57"/>
      <c r="GXL7" s="57"/>
      <c r="GXM7" s="57"/>
      <c r="GXN7" s="57"/>
      <c r="GXO7" s="57"/>
      <c r="GXP7" s="57"/>
      <c r="GXQ7" s="57"/>
      <c r="GXR7" s="57"/>
      <c r="GXS7" s="57"/>
      <c r="GXT7" s="57"/>
      <c r="GXU7" s="57"/>
      <c r="GXV7" s="57"/>
      <c r="GXW7" s="57"/>
      <c r="GXX7" s="57"/>
      <c r="GXY7" s="57"/>
      <c r="GXZ7" s="57"/>
      <c r="GYA7" s="57"/>
      <c r="GYB7" s="57"/>
      <c r="GYC7" s="57"/>
      <c r="GYD7" s="57"/>
      <c r="GYE7" s="57"/>
      <c r="GYF7" s="57"/>
      <c r="GYG7" s="57"/>
      <c r="GYH7" s="57"/>
      <c r="GYI7" s="57"/>
      <c r="GYJ7" s="57"/>
      <c r="GYK7" s="57"/>
      <c r="GYL7" s="57"/>
      <c r="GYM7" s="57"/>
      <c r="GYN7" s="57"/>
      <c r="GYO7" s="57"/>
      <c r="GYP7" s="57"/>
      <c r="GYQ7" s="57"/>
      <c r="GYR7" s="57"/>
      <c r="GYS7" s="57"/>
      <c r="GYT7" s="57"/>
      <c r="GYU7" s="57"/>
      <c r="GYV7" s="57"/>
      <c r="GYW7" s="57"/>
      <c r="GYX7" s="57"/>
      <c r="GYY7" s="57"/>
      <c r="GYZ7" s="57"/>
      <c r="GZA7" s="57"/>
      <c r="GZB7" s="57"/>
      <c r="GZC7" s="57"/>
      <c r="GZD7" s="57"/>
      <c r="GZE7" s="57"/>
      <c r="GZF7" s="57"/>
      <c r="GZG7" s="57"/>
      <c r="GZH7" s="57"/>
      <c r="GZI7" s="57"/>
      <c r="GZJ7" s="57"/>
      <c r="GZK7" s="57"/>
      <c r="GZL7" s="57"/>
      <c r="GZM7" s="57"/>
      <c r="GZN7" s="57"/>
      <c r="GZO7" s="57"/>
      <c r="GZP7" s="57"/>
      <c r="GZQ7" s="57"/>
      <c r="GZR7" s="57"/>
      <c r="GZS7" s="57"/>
      <c r="GZT7" s="57"/>
      <c r="GZU7" s="57"/>
      <c r="GZV7" s="57"/>
      <c r="GZW7" s="57"/>
      <c r="GZX7" s="57"/>
      <c r="GZY7" s="57"/>
      <c r="GZZ7" s="57"/>
      <c r="HAA7" s="57"/>
      <c r="HAB7" s="57"/>
      <c r="HAC7" s="57"/>
      <c r="HAD7" s="57"/>
      <c r="HAE7" s="57"/>
      <c r="HAF7" s="57"/>
      <c r="HAG7" s="57"/>
      <c r="HAH7" s="57"/>
      <c r="HAI7" s="57"/>
      <c r="HAJ7" s="57"/>
      <c r="HAK7" s="57"/>
      <c r="HAL7" s="57"/>
      <c r="HAM7" s="57"/>
      <c r="HAN7" s="57"/>
      <c r="HAO7" s="57"/>
      <c r="HAP7" s="57"/>
      <c r="HAQ7" s="57"/>
      <c r="HAR7" s="57"/>
      <c r="HAS7" s="57"/>
      <c r="HAT7" s="57"/>
      <c r="HAU7" s="57"/>
      <c r="HAV7" s="57"/>
      <c r="HAW7" s="57"/>
      <c r="HAX7" s="57"/>
      <c r="HAY7" s="57"/>
      <c r="HAZ7" s="57"/>
      <c r="HBA7" s="57"/>
      <c r="HBB7" s="57"/>
      <c r="HBC7" s="57"/>
      <c r="HBD7" s="57"/>
      <c r="HBE7" s="57"/>
      <c r="HBF7" s="57"/>
      <c r="HBG7" s="57"/>
      <c r="HBH7" s="57"/>
      <c r="HBI7" s="57"/>
      <c r="HBJ7" s="57"/>
      <c r="HBK7" s="57"/>
      <c r="HBL7" s="57"/>
      <c r="HBM7" s="57"/>
      <c r="HBN7" s="57"/>
      <c r="HBO7" s="57"/>
      <c r="HBP7" s="57"/>
      <c r="HBQ7" s="57"/>
      <c r="HBR7" s="57"/>
      <c r="HBS7" s="57"/>
      <c r="HBT7" s="57"/>
      <c r="HBU7" s="57"/>
      <c r="HBV7" s="57"/>
      <c r="HBW7" s="57"/>
      <c r="HBX7" s="57"/>
      <c r="HBY7" s="57"/>
      <c r="HBZ7" s="57"/>
      <c r="HCA7" s="57"/>
      <c r="HCB7" s="57"/>
      <c r="HCC7" s="57"/>
      <c r="HCD7" s="57"/>
      <c r="HCE7" s="57"/>
      <c r="HCF7" s="57"/>
      <c r="HCG7" s="57"/>
      <c r="HCH7" s="57"/>
      <c r="HCI7" s="57"/>
      <c r="HCJ7" s="57"/>
      <c r="HCK7" s="57"/>
      <c r="HCL7" s="57"/>
      <c r="HCM7" s="57"/>
      <c r="HCN7" s="57"/>
      <c r="HCO7" s="57"/>
      <c r="HCP7" s="57"/>
      <c r="HCQ7" s="57"/>
      <c r="HCR7" s="57"/>
      <c r="HCS7" s="57"/>
      <c r="HCT7" s="57"/>
      <c r="HCU7" s="57"/>
      <c r="HCV7" s="57"/>
      <c r="HCW7" s="57"/>
      <c r="HCX7" s="57"/>
      <c r="HCY7" s="57"/>
      <c r="HCZ7" s="57"/>
      <c r="HDA7" s="57"/>
      <c r="HDB7" s="57"/>
      <c r="HDC7" s="57"/>
      <c r="HDD7" s="57"/>
      <c r="HDE7" s="57"/>
      <c r="HDF7" s="57"/>
      <c r="HDG7" s="57"/>
      <c r="HDH7" s="57"/>
      <c r="HDI7" s="57"/>
      <c r="HDJ7" s="57"/>
      <c r="HDK7" s="57"/>
      <c r="HDL7" s="57"/>
      <c r="HDM7" s="57"/>
      <c r="HDN7" s="57"/>
      <c r="HDO7" s="57"/>
      <c r="HDP7" s="57"/>
      <c r="HDQ7" s="57"/>
      <c r="HDR7" s="57"/>
      <c r="HDS7" s="57"/>
      <c r="HDT7" s="57"/>
      <c r="HDU7" s="57"/>
      <c r="HDV7" s="57"/>
      <c r="HDW7" s="57"/>
      <c r="HDX7" s="57"/>
      <c r="HDY7" s="57"/>
      <c r="HDZ7" s="57"/>
      <c r="HEA7" s="57"/>
      <c r="HEB7" s="57"/>
      <c r="HEC7" s="57"/>
      <c r="HED7" s="57"/>
      <c r="HEE7" s="57"/>
      <c r="HEF7" s="57"/>
      <c r="HEG7" s="57"/>
      <c r="HEH7" s="57"/>
      <c r="HEI7" s="57"/>
      <c r="HEJ7" s="57"/>
      <c r="HEK7" s="57"/>
      <c r="HEL7" s="57"/>
      <c r="HEM7" s="57"/>
      <c r="HEN7" s="57"/>
      <c r="HEO7" s="57"/>
      <c r="HEP7" s="57"/>
      <c r="HEQ7" s="57"/>
      <c r="HER7" s="57"/>
      <c r="HES7" s="57"/>
      <c r="HET7" s="57"/>
      <c r="HEU7" s="57"/>
      <c r="HEV7" s="57"/>
      <c r="HEW7" s="57"/>
      <c r="HEX7" s="57"/>
      <c r="HEY7" s="57"/>
      <c r="HEZ7" s="57"/>
      <c r="HFA7" s="57"/>
      <c r="HFB7" s="57"/>
      <c r="HFC7" s="57"/>
      <c r="HFD7" s="57"/>
      <c r="HFE7" s="57"/>
      <c r="HFF7" s="57"/>
      <c r="HFG7" s="57"/>
      <c r="HFH7" s="57"/>
      <c r="HFI7" s="57"/>
      <c r="HFJ7" s="57"/>
      <c r="HFK7" s="57"/>
      <c r="HFL7" s="57"/>
      <c r="HFM7" s="57"/>
      <c r="HFN7" s="57"/>
      <c r="HFO7" s="57"/>
      <c r="HFP7" s="57"/>
      <c r="HFQ7" s="57"/>
      <c r="HFR7" s="57"/>
      <c r="HFS7" s="57"/>
      <c r="HFT7" s="57"/>
      <c r="HFU7" s="57"/>
      <c r="HFV7" s="57"/>
      <c r="HFW7" s="57"/>
      <c r="HFX7" s="57"/>
      <c r="HFY7" s="57"/>
      <c r="HFZ7" s="57"/>
      <c r="HGA7" s="57"/>
      <c r="HGB7" s="57"/>
      <c r="HGC7" s="57"/>
      <c r="HGD7" s="57"/>
      <c r="HGE7" s="57"/>
      <c r="HGF7" s="57"/>
      <c r="HGG7" s="57"/>
      <c r="HGH7" s="57"/>
      <c r="HGI7" s="57"/>
      <c r="HGJ7" s="57"/>
      <c r="HGK7" s="57"/>
      <c r="HGL7" s="57"/>
      <c r="HGM7" s="57"/>
      <c r="HGN7" s="57"/>
      <c r="HGO7" s="57"/>
      <c r="HGP7" s="57"/>
      <c r="HGQ7" s="57"/>
      <c r="HGR7" s="57"/>
      <c r="HGS7" s="57"/>
      <c r="HGT7" s="57"/>
      <c r="HGU7" s="57"/>
      <c r="HGV7" s="57"/>
      <c r="HGW7" s="57"/>
      <c r="HGX7" s="57"/>
      <c r="HGY7" s="57"/>
      <c r="HGZ7" s="57"/>
      <c r="HHA7" s="57"/>
      <c r="HHB7" s="57"/>
      <c r="HHC7" s="57"/>
      <c r="HHD7" s="57"/>
      <c r="HHE7" s="57"/>
      <c r="HHF7" s="57"/>
      <c r="HHG7" s="57"/>
      <c r="HHH7" s="57"/>
      <c r="HHI7" s="57"/>
      <c r="HHJ7" s="57"/>
      <c r="HHK7" s="57"/>
      <c r="HHL7" s="57"/>
      <c r="HHM7" s="57"/>
      <c r="HHN7" s="57"/>
      <c r="HHO7" s="57"/>
      <c r="HHP7" s="57"/>
      <c r="HHQ7" s="57"/>
      <c r="HHR7" s="57"/>
      <c r="HHS7" s="57"/>
      <c r="HHT7" s="57"/>
      <c r="HHU7" s="57"/>
      <c r="HHV7" s="57"/>
      <c r="HHW7" s="57"/>
      <c r="HHX7" s="57"/>
      <c r="HHY7" s="57"/>
      <c r="HHZ7" s="57"/>
      <c r="HIA7" s="57"/>
      <c r="HIB7" s="57"/>
      <c r="HIC7" s="57"/>
      <c r="HID7" s="57"/>
      <c r="HIE7" s="57"/>
      <c r="HIF7" s="57"/>
      <c r="HIG7" s="57"/>
      <c r="HIH7" s="57"/>
      <c r="HII7" s="57"/>
      <c r="HIJ7" s="57"/>
      <c r="HIK7" s="57"/>
      <c r="HIL7" s="57"/>
      <c r="HIM7" s="57"/>
      <c r="HIN7" s="57"/>
      <c r="HIO7" s="57"/>
      <c r="HIP7" s="57"/>
      <c r="HIQ7" s="57"/>
      <c r="HIR7" s="57"/>
      <c r="HIS7" s="57"/>
      <c r="HIT7" s="57"/>
      <c r="HIU7" s="57"/>
      <c r="HIV7" s="57"/>
      <c r="HIW7" s="57"/>
      <c r="HIX7" s="57"/>
      <c r="HIY7" s="57"/>
      <c r="HIZ7" s="57"/>
      <c r="HJA7" s="57"/>
      <c r="HJB7" s="57"/>
      <c r="HJC7" s="57"/>
      <c r="HJD7" s="57"/>
      <c r="HJE7" s="57"/>
      <c r="HJF7" s="57"/>
      <c r="HJG7" s="57"/>
      <c r="HJH7" s="57"/>
      <c r="HJI7" s="57"/>
      <c r="HJJ7" s="57"/>
      <c r="HJK7" s="57"/>
      <c r="HJL7" s="57"/>
      <c r="HJM7" s="57"/>
      <c r="HJN7" s="57"/>
      <c r="HJO7" s="57"/>
      <c r="HJP7" s="57"/>
      <c r="HJQ7" s="57"/>
      <c r="HJR7" s="57"/>
      <c r="HJS7" s="57"/>
      <c r="HJT7" s="57"/>
      <c r="HJU7" s="57"/>
      <c r="HJV7" s="57"/>
      <c r="HJW7" s="57"/>
      <c r="HJX7" s="57"/>
      <c r="HJY7" s="57"/>
      <c r="HJZ7" s="57"/>
      <c r="HKA7" s="57"/>
      <c r="HKB7" s="57"/>
      <c r="HKC7" s="57"/>
      <c r="HKD7" s="57"/>
      <c r="HKE7" s="57"/>
      <c r="HKF7" s="57"/>
      <c r="HKG7" s="57"/>
      <c r="HKH7" s="57"/>
      <c r="HKI7" s="57"/>
      <c r="HKJ7" s="57"/>
      <c r="HKK7" s="57"/>
      <c r="HKL7" s="57"/>
      <c r="HKM7" s="57"/>
      <c r="HKN7" s="57"/>
      <c r="HKO7" s="57"/>
      <c r="HKP7" s="57"/>
      <c r="HKQ7" s="57"/>
      <c r="HKR7" s="57"/>
      <c r="HKS7" s="57"/>
      <c r="HKT7" s="57"/>
      <c r="HKU7" s="57"/>
      <c r="HKV7" s="57"/>
      <c r="HKW7" s="57"/>
      <c r="HKX7" s="57"/>
      <c r="HKY7" s="57"/>
      <c r="HKZ7" s="57"/>
      <c r="HLA7" s="57"/>
      <c r="HLB7" s="57"/>
      <c r="HLC7" s="57"/>
      <c r="HLD7" s="57"/>
      <c r="HLE7" s="57"/>
      <c r="HLF7" s="57"/>
      <c r="HLG7" s="57"/>
      <c r="HLH7" s="57"/>
      <c r="HLI7" s="57"/>
      <c r="HLJ7" s="57"/>
      <c r="HLK7" s="57"/>
      <c r="HLL7" s="57"/>
      <c r="HLM7" s="57"/>
      <c r="HLN7" s="57"/>
      <c r="HLO7" s="57"/>
      <c r="HLP7" s="57"/>
      <c r="HLQ7" s="57"/>
      <c r="HLR7" s="57"/>
      <c r="HLS7" s="57"/>
      <c r="HLT7" s="57"/>
      <c r="HLU7" s="57"/>
      <c r="HLV7" s="57"/>
      <c r="HLW7" s="57"/>
      <c r="HLX7" s="57"/>
      <c r="HLY7" s="57"/>
      <c r="HLZ7" s="57"/>
      <c r="HMA7" s="57"/>
      <c r="HMB7" s="57"/>
      <c r="HMC7" s="57"/>
      <c r="HMD7" s="57"/>
      <c r="HME7" s="57"/>
      <c r="HMF7" s="57"/>
      <c r="HMG7" s="57"/>
      <c r="HMH7" s="57"/>
      <c r="HMI7" s="57"/>
      <c r="HMJ7" s="57"/>
      <c r="HMK7" s="57"/>
      <c r="HML7" s="57"/>
      <c r="HMM7" s="57"/>
      <c r="HMN7" s="57"/>
      <c r="HMO7" s="57"/>
      <c r="HMP7" s="57"/>
      <c r="HMQ7" s="57"/>
      <c r="HMR7" s="57"/>
      <c r="HMS7" s="57"/>
      <c r="HMT7" s="57"/>
      <c r="HMU7" s="57"/>
      <c r="HMV7" s="57"/>
      <c r="HMW7" s="57"/>
      <c r="HMX7" s="57"/>
      <c r="HMY7" s="57"/>
      <c r="HMZ7" s="57"/>
      <c r="HNA7" s="57"/>
      <c r="HNB7" s="57"/>
      <c r="HNC7" s="57"/>
      <c r="HND7" s="57"/>
      <c r="HNE7" s="57"/>
      <c r="HNF7" s="57"/>
      <c r="HNG7" s="57"/>
      <c r="HNH7" s="57"/>
      <c r="HNI7" s="57"/>
      <c r="HNJ7" s="57"/>
      <c r="HNK7" s="57"/>
      <c r="HNL7" s="57"/>
      <c r="HNM7" s="57"/>
      <c r="HNN7" s="57"/>
      <c r="HNO7" s="57"/>
      <c r="HNP7" s="57"/>
      <c r="HNQ7" s="57"/>
      <c r="HNR7" s="57"/>
      <c r="HNS7" s="57"/>
      <c r="HNT7" s="57"/>
      <c r="HNU7" s="57"/>
      <c r="HNV7" s="57"/>
      <c r="HNW7" s="57"/>
      <c r="HNX7" s="57"/>
      <c r="HNY7" s="57"/>
      <c r="HNZ7" s="57"/>
      <c r="HOA7" s="57"/>
      <c r="HOB7" s="57"/>
      <c r="HOC7" s="57"/>
      <c r="HOD7" s="57"/>
      <c r="HOE7" s="57"/>
      <c r="HOF7" s="57"/>
      <c r="HOG7" s="57"/>
      <c r="HOH7" s="57"/>
      <c r="HOI7" s="57"/>
      <c r="HOJ7" s="57"/>
      <c r="HOK7" s="57"/>
      <c r="HOL7" s="57"/>
      <c r="HOM7" s="57"/>
      <c r="HON7" s="57"/>
      <c r="HOO7" s="57"/>
      <c r="HOP7" s="57"/>
      <c r="HOQ7" s="57"/>
      <c r="HOR7" s="57"/>
      <c r="HOS7" s="57"/>
      <c r="HOT7" s="57"/>
      <c r="HOU7" s="57"/>
      <c r="HOV7" s="57"/>
      <c r="HOW7" s="57"/>
      <c r="HOX7" s="57"/>
      <c r="HOY7" s="57"/>
      <c r="HOZ7" s="57"/>
      <c r="HPA7" s="57"/>
      <c r="HPB7" s="57"/>
      <c r="HPC7" s="57"/>
      <c r="HPD7" s="57"/>
      <c r="HPE7" s="57"/>
      <c r="HPF7" s="57"/>
      <c r="HPG7" s="57"/>
      <c r="HPH7" s="57"/>
      <c r="HPI7" s="57"/>
      <c r="HPJ7" s="57"/>
      <c r="HPK7" s="57"/>
      <c r="HPL7" s="57"/>
      <c r="HPM7" s="57"/>
      <c r="HPN7" s="57"/>
      <c r="HPO7" s="57"/>
      <c r="HPP7" s="57"/>
      <c r="HPQ7" s="57"/>
      <c r="HPR7" s="57"/>
      <c r="HPS7" s="57"/>
      <c r="HPT7" s="57"/>
      <c r="HPU7" s="57"/>
      <c r="HPV7" s="57"/>
      <c r="HPW7" s="57"/>
      <c r="HPX7" s="57"/>
      <c r="HPY7" s="57"/>
      <c r="HPZ7" s="57"/>
      <c r="HQA7" s="57"/>
      <c r="HQB7" s="57"/>
      <c r="HQC7" s="57"/>
      <c r="HQD7" s="57"/>
      <c r="HQE7" s="57"/>
      <c r="HQF7" s="57"/>
      <c r="HQG7" s="57"/>
      <c r="HQH7" s="57"/>
      <c r="HQI7" s="57"/>
      <c r="HQJ7" s="57"/>
      <c r="HQK7" s="57"/>
      <c r="HQL7" s="57"/>
      <c r="HQM7" s="57"/>
      <c r="HQN7" s="57"/>
      <c r="HQO7" s="57"/>
      <c r="HQP7" s="57"/>
      <c r="HQQ7" s="57"/>
      <c r="HQR7" s="57"/>
      <c r="HQS7" s="57"/>
      <c r="HQT7" s="57"/>
      <c r="HQU7" s="57"/>
      <c r="HQV7" s="57"/>
      <c r="HQW7" s="57"/>
      <c r="HQX7" s="57"/>
      <c r="HQY7" s="57"/>
      <c r="HQZ7" s="57"/>
      <c r="HRA7" s="57"/>
      <c r="HRB7" s="57"/>
      <c r="HRC7" s="57"/>
      <c r="HRD7" s="57"/>
      <c r="HRE7" s="57"/>
      <c r="HRF7" s="57"/>
      <c r="HRG7" s="57"/>
      <c r="HRH7" s="57"/>
      <c r="HRI7" s="57"/>
      <c r="HRJ7" s="57"/>
      <c r="HRK7" s="57"/>
      <c r="HRL7" s="57"/>
      <c r="HRM7" s="57"/>
      <c r="HRN7" s="57"/>
      <c r="HRO7" s="57"/>
      <c r="HRP7" s="57"/>
      <c r="HRQ7" s="57"/>
      <c r="HRR7" s="57"/>
      <c r="HRS7" s="57"/>
      <c r="HRT7" s="57"/>
      <c r="HRU7" s="57"/>
      <c r="HRV7" s="57"/>
      <c r="HRW7" s="57"/>
      <c r="HRX7" s="57"/>
      <c r="HRY7" s="57"/>
      <c r="HRZ7" s="57"/>
      <c r="HSA7" s="57"/>
      <c r="HSB7" s="57"/>
      <c r="HSC7" s="57"/>
      <c r="HSD7" s="57"/>
      <c r="HSE7" s="57"/>
      <c r="HSF7" s="57"/>
      <c r="HSG7" s="57"/>
      <c r="HSH7" s="57"/>
      <c r="HSI7" s="57"/>
      <c r="HSJ7" s="57"/>
      <c r="HSK7" s="57"/>
      <c r="HSL7" s="57"/>
      <c r="HSM7" s="57"/>
      <c r="HSN7" s="57"/>
      <c r="HSO7" s="57"/>
      <c r="HSP7" s="57"/>
      <c r="HSQ7" s="57"/>
      <c r="HSR7" s="57"/>
      <c r="HSS7" s="57"/>
      <c r="HST7" s="57"/>
      <c r="HSU7" s="57"/>
      <c r="HSV7" s="57"/>
      <c r="HSW7" s="57"/>
      <c r="HSX7" s="57"/>
      <c r="HSY7" s="57"/>
      <c r="HSZ7" s="57"/>
      <c r="HTA7" s="57"/>
      <c r="HTB7" s="57"/>
      <c r="HTC7" s="57"/>
      <c r="HTD7" s="57"/>
      <c r="HTE7" s="57"/>
      <c r="HTF7" s="57"/>
      <c r="HTG7" s="57"/>
      <c r="HTH7" s="57"/>
      <c r="HTI7" s="57"/>
      <c r="HTJ7" s="57"/>
      <c r="HTK7" s="57"/>
      <c r="HTL7" s="57"/>
      <c r="HTM7" s="57"/>
      <c r="HTN7" s="57"/>
      <c r="HTO7" s="57"/>
      <c r="HTP7" s="57"/>
      <c r="HTQ7" s="57"/>
      <c r="HTR7" s="57"/>
      <c r="HTS7" s="57"/>
      <c r="HTT7" s="57"/>
      <c r="HTU7" s="57"/>
      <c r="HTV7" s="57"/>
      <c r="HTW7" s="57"/>
      <c r="HTX7" s="57"/>
      <c r="HTY7" s="57"/>
      <c r="HTZ7" s="57"/>
      <c r="HUA7" s="57"/>
      <c r="HUB7" s="57"/>
      <c r="HUC7" s="57"/>
      <c r="HUD7" s="57"/>
      <c r="HUE7" s="57"/>
      <c r="HUF7" s="57"/>
      <c r="HUG7" s="57"/>
      <c r="HUH7" s="57"/>
      <c r="HUI7" s="57"/>
      <c r="HUJ7" s="57"/>
      <c r="HUK7" s="57"/>
      <c r="HUL7" s="57"/>
      <c r="HUM7" s="57"/>
      <c r="HUN7" s="57"/>
      <c r="HUO7" s="57"/>
      <c r="HUP7" s="57"/>
      <c r="HUQ7" s="57"/>
      <c r="HUR7" s="57"/>
      <c r="HUS7" s="57"/>
      <c r="HUT7" s="57"/>
      <c r="HUU7" s="57"/>
      <c r="HUV7" s="57"/>
      <c r="HUW7" s="57"/>
      <c r="HUX7" s="57"/>
      <c r="HUY7" s="57"/>
      <c r="HUZ7" s="57"/>
      <c r="HVA7" s="57"/>
      <c r="HVB7" s="57"/>
      <c r="HVC7" s="57"/>
      <c r="HVD7" s="57"/>
      <c r="HVE7" s="57"/>
      <c r="HVF7" s="57"/>
      <c r="HVG7" s="57"/>
      <c r="HVH7" s="57"/>
      <c r="HVI7" s="57"/>
      <c r="HVJ7" s="57"/>
      <c r="HVK7" s="57"/>
      <c r="HVL7" s="57"/>
      <c r="HVM7" s="57"/>
      <c r="HVN7" s="57"/>
      <c r="HVO7" s="57"/>
      <c r="HVP7" s="57"/>
      <c r="HVQ7" s="57"/>
      <c r="HVR7" s="57"/>
      <c r="HVS7" s="57"/>
      <c r="HVT7" s="57"/>
      <c r="HVU7" s="57"/>
      <c r="HVV7" s="57"/>
      <c r="HVW7" s="57"/>
      <c r="HVX7" s="57"/>
      <c r="HVY7" s="57"/>
      <c r="HVZ7" s="57"/>
      <c r="HWA7" s="57"/>
      <c r="HWB7" s="57"/>
      <c r="HWC7" s="57"/>
      <c r="HWD7" s="57"/>
      <c r="HWE7" s="57"/>
      <c r="HWF7" s="57"/>
      <c r="HWG7" s="57"/>
      <c r="HWH7" s="57"/>
      <c r="HWI7" s="57"/>
      <c r="HWJ7" s="57"/>
      <c r="HWK7" s="57"/>
      <c r="HWL7" s="57"/>
      <c r="HWM7" s="57"/>
      <c r="HWN7" s="57"/>
      <c r="HWO7" s="57"/>
      <c r="HWP7" s="57"/>
      <c r="HWQ7" s="57"/>
      <c r="HWR7" s="57"/>
      <c r="HWS7" s="57"/>
      <c r="HWT7" s="57"/>
      <c r="HWU7" s="57"/>
      <c r="HWV7" s="57"/>
      <c r="HWW7" s="57"/>
      <c r="HWX7" s="57"/>
      <c r="HWY7" s="57"/>
      <c r="HWZ7" s="57"/>
      <c r="HXA7" s="57"/>
      <c r="HXB7" s="57"/>
      <c r="HXC7" s="57"/>
      <c r="HXD7" s="57"/>
      <c r="HXE7" s="57"/>
      <c r="HXF7" s="57"/>
      <c r="HXG7" s="57"/>
      <c r="HXH7" s="57"/>
      <c r="HXI7" s="57"/>
      <c r="HXJ7" s="57"/>
      <c r="HXK7" s="57"/>
      <c r="HXL7" s="57"/>
      <c r="HXM7" s="57"/>
      <c r="HXN7" s="57"/>
      <c r="HXO7" s="57"/>
      <c r="HXP7" s="57"/>
      <c r="HXQ7" s="57"/>
      <c r="HXR7" s="57"/>
      <c r="HXS7" s="57"/>
      <c r="HXT7" s="57"/>
      <c r="HXU7" s="57"/>
      <c r="HXV7" s="57"/>
      <c r="HXW7" s="57"/>
      <c r="HXX7" s="57"/>
      <c r="HXY7" s="57"/>
      <c r="HXZ7" s="57"/>
      <c r="HYA7" s="57"/>
      <c r="HYB7" s="57"/>
      <c r="HYC7" s="57"/>
      <c r="HYD7" s="57"/>
      <c r="HYE7" s="57"/>
      <c r="HYF7" s="57"/>
      <c r="HYG7" s="57"/>
      <c r="HYH7" s="57"/>
      <c r="HYI7" s="57"/>
      <c r="HYJ7" s="57"/>
      <c r="HYK7" s="57"/>
      <c r="HYL7" s="57"/>
      <c r="HYM7" s="57"/>
      <c r="HYN7" s="57"/>
      <c r="HYO7" s="57"/>
      <c r="HYP7" s="57"/>
      <c r="HYQ7" s="57"/>
      <c r="HYR7" s="57"/>
      <c r="HYS7" s="57"/>
      <c r="HYT7" s="57"/>
      <c r="HYU7" s="57"/>
      <c r="HYV7" s="57"/>
      <c r="HYW7" s="57"/>
      <c r="HYX7" s="57"/>
      <c r="HYY7" s="57"/>
      <c r="HYZ7" s="57"/>
      <c r="HZA7" s="57"/>
      <c r="HZB7" s="57"/>
      <c r="HZC7" s="57"/>
      <c r="HZD7" s="57"/>
      <c r="HZE7" s="57"/>
      <c r="HZF7" s="57"/>
      <c r="HZG7" s="57"/>
      <c r="HZH7" s="57"/>
      <c r="HZI7" s="57"/>
      <c r="HZJ7" s="57"/>
      <c r="HZK7" s="57"/>
      <c r="HZL7" s="57"/>
      <c r="HZM7" s="57"/>
      <c r="HZN7" s="57"/>
      <c r="HZO7" s="57"/>
      <c r="HZP7" s="57"/>
      <c r="HZQ7" s="57"/>
      <c r="HZR7" s="57"/>
      <c r="HZS7" s="57"/>
      <c r="HZT7" s="57"/>
      <c r="HZU7" s="57"/>
      <c r="HZV7" s="57"/>
      <c r="HZW7" s="57"/>
      <c r="HZX7" s="57"/>
      <c r="HZY7" s="57"/>
      <c r="HZZ7" s="57"/>
      <c r="IAA7" s="57"/>
      <c r="IAB7" s="57"/>
      <c r="IAC7" s="57"/>
      <c r="IAD7" s="57"/>
      <c r="IAE7" s="57"/>
      <c r="IAF7" s="57"/>
      <c r="IAG7" s="57"/>
      <c r="IAH7" s="57"/>
      <c r="IAI7" s="57"/>
      <c r="IAJ7" s="57"/>
      <c r="IAK7" s="57"/>
      <c r="IAL7" s="57"/>
      <c r="IAM7" s="57"/>
      <c r="IAN7" s="57"/>
      <c r="IAO7" s="57"/>
      <c r="IAP7" s="57"/>
      <c r="IAQ7" s="57"/>
      <c r="IAR7" s="57"/>
      <c r="IAS7" s="57"/>
      <c r="IAT7" s="57"/>
      <c r="IAU7" s="57"/>
      <c r="IAV7" s="57"/>
      <c r="IAW7" s="57"/>
      <c r="IAX7" s="57"/>
      <c r="IAY7" s="57"/>
      <c r="IAZ7" s="57"/>
      <c r="IBA7" s="57"/>
      <c r="IBB7" s="57"/>
      <c r="IBC7" s="57"/>
      <c r="IBD7" s="57"/>
      <c r="IBE7" s="57"/>
      <c r="IBF7" s="57"/>
      <c r="IBG7" s="57"/>
      <c r="IBH7" s="57"/>
      <c r="IBI7" s="57"/>
      <c r="IBJ7" s="57"/>
      <c r="IBK7" s="57"/>
      <c r="IBL7" s="57"/>
      <c r="IBM7" s="57"/>
      <c r="IBN7" s="57"/>
      <c r="IBO7" s="57"/>
      <c r="IBP7" s="57"/>
      <c r="IBQ7" s="57"/>
      <c r="IBR7" s="57"/>
      <c r="IBS7" s="57"/>
      <c r="IBT7" s="57"/>
      <c r="IBU7" s="57"/>
      <c r="IBV7" s="57"/>
      <c r="IBW7" s="57"/>
      <c r="IBX7" s="57"/>
      <c r="IBY7" s="57"/>
      <c r="IBZ7" s="57"/>
      <c r="ICA7" s="57"/>
      <c r="ICB7" s="57"/>
      <c r="ICC7" s="57"/>
      <c r="ICD7" s="57"/>
      <c r="ICE7" s="57"/>
      <c r="ICF7" s="57"/>
      <c r="ICG7" s="57"/>
      <c r="ICH7" s="57"/>
      <c r="ICI7" s="57"/>
      <c r="ICJ7" s="57"/>
      <c r="ICK7" s="57"/>
      <c r="ICL7" s="57"/>
      <c r="ICM7" s="57"/>
      <c r="ICN7" s="57"/>
      <c r="ICO7" s="57"/>
      <c r="ICP7" s="57"/>
      <c r="ICQ7" s="57"/>
      <c r="ICR7" s="57"/>
      <c r="ICS7" s="57"/>
      <c r="ICT7" s="57"/>
      <c r="ICU7" s="57"/>
      <c r="ICV7" s="57"/>
      <c r="ICW7" s="57"/>
      <c r="ICX7" s="57"/>
      <c r="ICY7" s="57"/>
      <c r="ICZ7" s="57"/>
      <c r="IDA7" s="57"/>
      <c r="IDB7" s="57"/>
      <c r="IDC7" s="57"/>
      <c r="IDD7" s="57"/>
      <c r="IDE7" s="57"/>
      <c r="IDF7" s="57"/>
      <c r="IDG7" s="57"/>
      <c r="IDH7" s="57"/>
      <c r="IDI7" s="57"/>
      <c r="IDJ7" s="57"/>
      <c r="IDK7" s="57"/>
      <c r="IDL7" s="57"/>
      <c r="IDM7" s="57"/>
      <c r="IDN7" s="57"/>
      <c r="IDO7" s="57"/>
      <c r="IDP7" s="57"/>
      <c r="IDQ7" s="57"/>
      <c r="IDR7" s="57"/>
      <c r="IDS7" s="57"/>
      <c r="IDT7" s="57"/>
      <c r="IDU7" s="57"/>
      <c r="IDV7" s="57"/>
      <c r="IDW7" s="57"/>
      <c r="IDX7" s="57"/>
      <c r="IDY7" s="57"/>
      <c r="IDZ7" s="57"/>
      <c r="IEA7" s="57"/>
      <c r="IEB7" s="57"/>
      <c r="IEC7" s="57"/>
      <c r="IED7" s="57"/>
      <c r="IEE7" s="57"/>
      <c r="IEF7" s="57"/>
      <c r="IEG7" s="57"/>
      <c r="IEH7" s="57"/>
      <c r="IEI7" s="57"/>
      <c r="IEJ7" s="57"/>
      <c r="IEK7" s="57"/>
      <c r="IEL7" s="57"/>
      <c r="IEM7" s="57"/>
      <c r="IEN7" s="57"/>
      <c r="IEO7" s="57"/>
      <c r="IEP7" s="57"/>
      <c r="IEQ7" s="57"/>
      <c r="IER7" s="57"/>
      <c r="IES7" s="57"/>
      <c r="IET7" s="57"/>
      <c r="IEU7" s="57"/>
      <c r="IEV7" s="57"/>
      <c r="IEW7" s="57"/>
      <c r="IEX7" s="57"/>
      <c r="IEY7" s="57"/>
      <c r="IEZ7" s="57"/>
      <c r="IFA7" s="57"/>
      <c r="IFB7" s="57"/>
      <c r="IFC7" s="57"/>
      <c r="IFD7" s="57"/>
      <c r="IFE7" s="57"/>
      <c r="IFF7" s="57"/>
      <c r="IFG7" s="57"/>
      <c r="IFH7" s="57"/>
      <c r="IFI7" s="57"/>
      <c r="IFJ7" s="57"/>
      <c r="IFK7" s="57"/>
      <c r="IFL7" s="57"/>
      <c r="IFM7" s="57"/>
      <c r="IFN7" s="57"/>
      <c r="IFO7" s="57"/>
      <c r="IFP7" s="57"/>
      <c r="IFQ7" s="57"/>
      <c r="IFR7" s="57"/>
      <c r="IFS7" s="57"/>
      <c r="IFT7" s="57"/>
      <c r="IFU7" s="57"/>
      <c r="IFV7" s="57"/>
      <c r="IFW7" s="57"/>
      <c r="IFX7" s="57"/>
      <c r="IFY7" s="57"/>
      <c r="IFZ7" s="57"/>
      <c r="IGA7" s="57"/>
      <c r="IGB7" s="57"/>
      <c r="IGC7" s="57"/>
      <c r="IGD7" s="57"/>
      <c r="IGE7" s="57"/>
      <c r="IGF7" s="57"/>
      <c r="IGG7" s="57"/>
      <c r="IGH7" s="57"/>
      <c r="IGI7" s="57"/>
      <c r="IGJ7" s="57"/>
      <c r="IGK7" s="57"/>
      <c r="IGL7" s="57"/>
      <c r="IGM7" s="57"/>
      <c r="IGN7" s="57"/>
      <c r="IGO7" s="57"/>
      <c r="IGP7" s="57"/>
      <c r="IGQ7" s="57"/>
      <c r="IGR7" s="57"/>
      <c r="IGS7" s="57"/>
      <c r="IGT7" s="57"/>
      <c r="IGU7" s="57"/>
      <c r="IGV7" s="57"/>
      <c r="IGW7" s="57"/>
      <c r="IGX7" s="57"/>
      <c r="IGY7" s="57"/>
      <c r="IGZ7" s="57"/>
      <c r="IHA7" s="57"/>
      <c r="IHB7" s="57"/>
      <c r="IHC7" s="57"/>
      <c r="IHD7" s="57"/>
      <c r="IHE7" s="57"/>
      <c r="IHF7" s="57"/>
      <c r="IHG7" s="57"/>
      <c r="IHH7" s="57"/>
      <c r="IHI7" s="57"/>
      <c r="IHJ7" s="57"/>
      <c r="IHK7" s="57"/>
      <c r="IHL7" s="57"/>
      <c r="IHM7" s="57"/>
      <c r="IHN7" s="57"/>
      <c r="IHO7" s="57"/>
      <c r="IHP7" s="57"/>
      <c r="IHQ7" s="57"/>
      <c r="IHR7" s="57"/>
      <c r="IHS7" s="57"/>
      <c r="IHT7" s="57"/>
      <c r="IHU7" s="57"/>
      <c r="IHV7" s="57"/>
      <c r="IHW7" s="57"/>
      <c r="IHX7" s="57"/>
      <c r="IHY7" s="57"/>
      <c r="IHZ7" s="57"/>
      <c r="IIA7" s="57"/>
      <c r="IIB7" s="57"/>
      <c r="IIC7" s="57"/>
      <c r="IID7" s="57"/>
      <c r="IIE7" s="57"/>
      <c r="IIF7" s="57"/>
      <c r="IIG7" s="57"/>
      <c r="IIH7" s="57"/>
      <c r="III7" s="57"/>
      <c r="IIJ7" s="57"/>
      <c r="IIK7" s="57"/>
      <c r="IIL7" s="57"/>
      <c r="IIM7" s="57"/>
      <c r="IIN7" s="57"/>
      <c r="IIO7" s="57"/>
      <c r="IIP7" s="57"/>
      <c r="IIQ7" s="57"/>
      <c r="IIR7" s="57"/>
      <c r="IIS7" s="57"/>
      <c r="IIT7" s="57"/>
      <c r="IIU7" s="57"/>
      <c r="IIV7" s="57"/>
      <c r="IIW7" s="57"/>
      <c r="IIX7" s="57"/>
      <c r="IIY7" s="57"/>
      <c r="IIZ7" s="57"/>
      <c r="IJA7" s="57"/>
      <c r="IJB7" s="57"/>
      <c r="IJC7" s="57"/>
      <c r="IJD7" s="57"/>
      <c r="IJE7" s="57"/>
      <c r="IJF7" s="57"/>
      <c r="IJG7" s="57"/>
      <c r="IJH7" s="57"/>
      <c r="IJI7" s="57"/>
      <c r="IJJ7" s="57"/>
      <c r="IJK7" s="57"/>
      <c r="IJL7" s="57"/>
      <c r="IJM7" s="57"/>
      <c r="IJN7" s="57"/>
      <c r="IJO7" s="57"/>
      <c r="IJP7" s="57"/>
      <c r="IJQ7" s="57"/>
      <c r="IJR7" s="57"/>
      <c r="IJS7" s="57"/>
      <c r="IJT7" s="57"/>
      <c r="IJU7" s="57"/>
      <c r="IJV7" s="57"/>
      <c r="IJW7" s="57"/>
      <c r="IJX7" s="57"/>
      <c r="IJY7" s="57"/>
      <c r="IJZ7" s="57"/>
      <c r="IKA7" s="57"/>
      <c r="IKB7" s="57"/>
      <c r="IKC7" s="57"/>
      <c r="IKD7" s="57"/>
      <c r="IKE7" s="57"/>
      <c r="IKF7" s="57"/>
      <c r="IKG7" s="57"/>
      <c r="IKH7" s="57"/>
      <c r="IKI7" s="57"/>
      <c r="IKJ7" s="57"/>
      <c r="IKK7" s="57"/>
      <c r="IKL7" s="57"/>
      <c r="IKM7" s="57"/>
      <c r="IKN7" s="57"/>
      <c r="IKO7" s="57"/>
      <c r="IKP7" s="57"/>
      <c r="IKQ7" s="57"/>
      <c r="IKR7" s="57"/>
      <c r="IKS7" s="57"/>
      <c r="IKT7" s="57"/>
      <c r="IKU7" s="57"/>
      <c r="IKV7" s="57"/>
      <c r="IKW7" s="57"/>
      <c r="IKX7" s="57"/>
      <c r="IKY7" s="57"/>
      <c r="IKZ7" s="57"/>
      <c r="ILA7" s="57"/>
      <c r="ILB7" s="57"/>
      <c r="ILC7" s="57"/>
      <c r="ILD7" s="57"/>
      <c r="ILE7" s="57"/>
      <c r="ILF7" s="57"/>
      <c r="ILG7" s="57"/>
      <c r="ILH7" s="57"/>
      <c r="ILI7" s="57"/>
      <c r="ILJ7" s="57"/>
      <c r="ILK7" s="57"/>
      <c r="ILL7" s="57"/>
      <c r="ILM7" s="57"/>
      <c r="ILN7" s="57"/>
      <c r="ILO7" s="57"/>
      <c r="ILP7" s="57"/>
      <c r="ILQ7" s="57"/>
      <c r="ILR7" s="57"/>
      <c r="ILS7" s="57"/>
      <c r="ILT7" s="57"/>
      <c r="ILU7" s="57"/>
      <c r="ILV7" s="57"/>
      <c r="ILW7" s="57"/>
      <c r="ILX7" s="57"/>
      <c r="ILY7" s="57"/>
      <c r="ILZ7" s="57"/>
      <c r="IMA7" s="57"/>
      <c r="IMB7" s="57"/>
      <c r="IMC7" s="57"/>
      <c r="IMD7" s="57"/>
      <c r="IME7" s="57"/>
      <c r="IMF7" s="57"/>
      <c r="IMG7" s="57"/>
      <c r="IMH7" s="57"/>
      <c r="IMI7" s="57"/>
      <c r="IMJ7" s="57"/>
      <c r="IMK7" s="57"/>
      <c r="IML7" s="57"/>
      <c r="IMM7" s="57"/>
      <c r="IMN7" s="57"/>
      <c r="IMO7" s="57"/>
      <c r="IMP7" s="57"/>
      <c r="IMQ7" s="57"/>
      <c r="IMR7" s="57"/>
      <c r="IMS7" s="57"/>
      <c r="IMT7" s="57"/>
      <c r="IMU7" s="57"/>
      <c r="IMV7" s="57"/>
      <c r="IMW7" s="57"/>
      <c r="IMX7" s="57"/>
      <c r="IMY7" s="57"/>
      <c r="IMZ7" s="57"/>
      <c r="INA7" s="57"/>
      <c r="INB7" s="57"/>
      <c r="INC7" s="57"/>
      <c r="IND7" s="57"/>
      <c r="INE7" s="57"/>
      <c r="INF7" s="57"/>
      <c r="ING7" s="57"/>
      <c r="INH7" s="57"/>
      <c r="INI7" s="57"/>
      <c r="INJ7" s="57"/>
      <c r="INK7" s="57"/>
      <c r="INL7" s="57"/>
      <c r="INM7" s="57"/>
      <c r="INN7" s="57"/>
      <c r="INO7" s="57"/>
      <c r="INP7" s="57"/>
      <c r="INQ7" s="57"/>
      <c r="INR7" s="57"/>
      <c r="INS7" s="57"/>
      <c r="INT7" s="57"/>
      <c r="INU7" s="57"/>
      <c r="INV7" s="57"/>
      <c r="INW7" s="57"/>
      <c r="INX7" s="57"/>
      <c r="INY7" s="57"/>
      <c r="INZ7" s="57"/>
      <c r="IOA7" s="57"/>
      <c r="IOB7" s="57"/>
      <c r="IOC7" s="57"/>
      <c r="IOD7" s="57"/>
      <c r="IOE7" s="57"/>
      <c r="IOF7" s="57"/>
      <c r="IOG7" s="57"/>
      <c r="IOH7" s="57"/>
      <c r="IOI7" s="57"/>
      <c r="IOJ7" s="57"/>
      <c r="IOK7" s="57"/>
      <c r="IOL7" s="57"/>
      <c r="IOM7" s="57"/>
      <c r="ION7" s="57"/>
      <c r="IOO7" s="57"/>
      <c r="IOP7" s="57"/>
      <c r="IOQ7" s="57"/>
      <c r="IOR7" s="57"/>
      <c r="IOS7" s="57"/>
      <c r="IOT7" s="57"/>
      <c r="IOU7" s="57"/>
      <c r="IOV7" s="57"/>
      <c r="IOW7" s="57"/>
      <c r="IOX7" s="57"/>
      <c r="IOY7" s="57"/>
      <c r="IOZ7" s="57"/>
      <c r="IPA7" s="57"/>
      <c r="IPB7" s="57"/>
      <c r="IPC7" s="57"/>
      <c r="IPD7" s="57"/>
      <c r="IPE7" s="57"/>
      <c r="IPF7" s="57"/>
      <c r="IPG7" s="57"/>
      <c r="IPH7" s="57"/>
      <c r="IPI7" s="57"/>
      <c r="IPJ7" s="57"/>
      <c r="IPK7" s="57"/>
      <c r="IPL7" s="57"/>
      <c r="IPM7" s="57"/>
      <c r="IPN7" s="57"/>
      <c r="IPO7" s="57"/>
      <c r="IPP7" s="57"/>
      <c r="IPQ7" s="57"/>
      <c r="IPR7" s="57"/>
      <c r="IPS7" s="57"/>
      <c r="IPT7" s="57"/>
      <c r="IPU7" s="57"/>
      <c r="IPV7" s="57"/>
      <c r="IPW7" s="57"/>
      <c r="IPX7" s="57"/>
      <c r="IPY7" s="57"/>
      <c r="IPZ7" s="57"/>
      <c r="IQA7" s="57"/>
      <c r="IQB7" s="57"/>
      <c r="IQC7" s="57"/>
      <c r="IQD7" s="57"/>
      <c r="IQE7" s="57"/>
      <c r="IQF7" s="57"/>
      <c r="IQG7" s="57"/>
      <c r="IQH7" s="57"/>
      <c r="IQI7" s="57"/>
      <c r="IQJ7" s="57"/>
      <c r="IQK7" s="57"/>
      <c r="IQL7" s="57"/>
      <c r="IQM7" s="57"/>
      <c r="IQN7" s="57"/>
      <c r="IQO7" s="57"/>
      <c r="IQP7" s="57"/>
      <c r="IQQ7" s="57"/>
      <c r="IQR7" s="57"/>
      <c r="IQS7" s="57"/>
      <c r="IQT7" s="57"/>
      <c r="IQU7" s="57"/>
      <c r="IQV7" s="57"/>
      <c r="IQW7" s="57"/>
      <c r="IQX7" s="57"/>
      <c r="IQY7" s="57"/>
      <c r="IQZ7" s="57"/>
      <c r="IRA7" s="57"/>
      <c r="IRB7" s="57"/>
      <c r="IRC7" s="57"/>
      <c r="IRD7" s="57"/>
      <c r="IRE7" s="57"/>
      <c r="IRF7" s="57"/>
      <c r="IRG7" s="57"/>
      <c r="IRH7" s="57"/>
      <c r="IRI7" s="57"/>
      <c r="IRJ7" s="57"/>
      <c r="IRK7" s="57"/>
      <c r="IRL7" s="57"/>
      <c r="IRM7" s="57"/>
      <c r="IRN7" s="57"/>
      <c r="IRO7" s="57"/>
      <c r="IRP7" s="57"/>
      <c r="IRQ7" s="57"/>
      <c r="IRR7" s="57"/>
      <c r="IRS7" s="57"/>
      <c r="IRT7" s="57"/>
      <c r="IRU7" s="57"/>
      <c r="IRV7" s="57"/>
      <c r="IRW7" s="57"/>
      <c r="IRX7" s="57"/>
      <c r="IRY7" s="57"/>
      <c r="IRZ7" s="57"/>
      <c r="ISA7" s="57"/>
      <c r="ISB7" s="57"/>
      <c r="ISC7" s="57"/>
      <c r="ISD7" s="57"/>
      <c r="ISE7" s="57"/>
      <c r="ISF7" s="57"/>
      <c r="ISG7" s="57"/>
      <c r="ISH7" s="57"/>
      <c r="ISI7" s="57"/>
      <c r="ISJ7" s="57"/>
      <c r="ISK7" s="57"/>
      <c r="ISL7" s="57"/>
      <c r="ISM7" s="57"/>
      <c r="ISN7" s="57"/>
      <c r="ISO7" s="57"/>
      <c r="ISP7" s="57"/>
      <c r="ISQ7" s="57"/>
      <c r="ISR7" s="57"/>
      <c r="ISS7" s="57"/>
      <c r="IST7" s="57"/>
      <c r="ISU7" s="57"/>
      <c r="ISV7" s="57"/>
      <c r="ISW7" s="57"/>
      <c r="ISX7" s="57"/>
      <c r="ISY7" s="57"/>
      <c r="ISZ7" s="57"/>
      <c r="ITA7" s="57"/>
      <c r="ITB7" s="57"/>
      <c r="ITC7" s="57"/>
      <c r="ITD7" s="57"/>
      <c r="ITE7" s="57"/>
      <c r="ITF7" s="57"/>
      <c r="ITG7" s="57"/>
      <c r="ITH7" s="57"/>
      <c r="ITI7" s="57"/>
      <c r="ITJ7" s="57"/>
      <c r="ITK7" s="57"/>
      <c r="ITL7" s="57"/>
      <c r="ITM7" s="57"/>
      <c r="ITN7" s="57"/>
      <c r="ITO7" s="57"/>
      <c r="ITP7" s="57"/>
      <c r="ITQ7" s="57"/>
      <c r="ITR7" s="57"/>
      <c r="ITS7" s="57"/>
      <c r="ITT7" s="57"/>
      <c r="ITU7" s="57"/>
      <c r="ITV7" s="57"/>
      <c r="ITW7" s="57"/>
      <c r="ITX7" s="57"/>
      <c r="ITY7" s="57"/>
      <c r="ITZ7" s="57"/>
      <c r="IUA7" s="57"/>
      <c r="IUB7" s="57"/>
      <c r="IUC7" s="57"/>
      <c r="IUD7" s="57"/>
      <c r="IUE7" s="57"/>
      <c r="IUF7" s="57"/>
      <c r="IUG7" s="57"/>
      <c r="IUH7" s="57"/>
      <c r="IUI7" s="57"/>
      <c r="IUJ7" s="57"/>
      <c r="IUK7" s="57"/>
      <c r="IUL7" s="57"/>
      <c r="IUM7" s="57"/>
      <c r="IUN7" s="57"/>
      <c r="IUO7" s="57"/>
      <c r="IUP7" s="57"/>
      <c r="IUQ7" s="57"/>
      <c r="IUR7" s="57"/>
      <c r="IUS7" s="57"/>
      <c r="IUT7" s="57"/>
      <c r="IUU7" s="57"/>
      <c r="IUV7" s="57"/>
      <c r="IUW7" s="57"/>
      <c r="IUX7" s="57"/>
      <c r="IUY7" s="57"/>
      <c r="IUZ7" s="57"/>
      <c r="IVA7" s="57"/>
      <c r="IVB7" s="57"/>
      <c r="IVC7" s="57"/>
      <c r="IVD7" s="57"/>
      <c r="IVE7" s="57"/>
      <c r="IVF7" s="57"/>
      <c r="IVG7" s="57"/>
      <c r="IVH7" s="57"/>
      <c r="IVI7" s="57"/>
      <c r="IVJ7" s="57"/>
      <c r="IVK7" s="57"/>
      <c r="IVL7" s="57"/>
      <c r="IVM7" s="57"/>
      <c r="IVN7" s="57"/>
      <c r="IVO7" s="57"/>
      <c r="IVP7" s="57"/>
      <c r="IVQ7" s="57"/>
      <c r="IVR7" s="57"/>
      <c r="IVS7" s="57"/>
      <c r="IVT7" s="57"/>
      <c r="IVU7" s="57"/>
      <c r="IVV7" s="57"/>
      <c r="IVW7" s="57"/>
      <c r="IVX7" s="57"/>
      <c r="IVY7" s="57"/>
      <c r="IVZ7" s="57"/>
      <c r="IWA7" s="57"/>
      <c r="IWB7" s="57"/>
      <c r="IWC7" s="57"/>
      <c r="IWD7" s="57"/>
      <c r="IWE7" s="57"/>
      <c r="IWF7" s="57"/>
      <c r="IWG7" s="57"/>
      <c r="IWH7" s="57"/>
      <c r="IWI7" s="57"/>
      <c r="IWJ7" s="57"/>
      <c r="IWK7" s="57"/>
      <c r="IWL7" s="57"/>
      <c r="IWM7" s="57"/>
      <c r="IWN7" s="57"/>
      <c r="IWO7" s="57"/>
      <c r="IWP7" s="57"/>
      <c r="IWQ7" s="57"/>
      <c r="IWR7" s="57"/>
      <c r="IWS7" s="57"/>
      <c r="IWT7" s="57"/>
      <c r="IWU7" s="57"/>
      <c r="IWV7" s="57"/>
      <c r="IWW7" s="57"/>
      <c r="IWX7" s="57"/>
      <c r="IWY7" s="57"/>
      <c r="IWZ7" s="57"/>
      <c r="IXA7" s="57"/>
      <c r="IXB7" s="57"/>
      <c r="IXC7" s="57"/>
      <c r="IXD7" s="57"/>
      <c r="IXE7" s="57"/>
      <c r="IXF7" s="57"/>
      <c r="IXG7" s="57"/>
      <c r="IXH7" s="57"/>
      <c r="IXI7" s="57"/>
      <c r="IXJ7" s="57"/>
      <c r="IXK7" s="57"/>
      <c r="IXL7" s="57"/>
      <c r="IXM7" s="57"/>
      <c r="IXN7" s="57"/>
      <c r="IXO7" s="57"/>
      <c r="IXP7" s="57"/>
      <c r="IXQ7" s="57"/>
      <c r="IXR7" s="57"/>
      <c r="IXS7" s="57"/>
      <c r="IXT7" s="57"/>
      <c r="IXU7" s="57"/>
      <c r="IXV7" s="57"/>
      <c r="IXW7" s="57"/>
      <c r="IXX7" s="57"/>
      <c r="IXY7" s="57"/>
      <c r="IXZ7" s="57"/>
      <c r="IYA7" s="57"/>
      <c r="IYB7" s="57"/>
      <c r="IYC7" s="57"/>
      <c r="IYD7" s="57"/>
      <c r="IYE7" s="57"/>
      <c r="IYF7" s="57"/>
      <c r="IYG7" s="57"/>
      <c r="IYH7" s="57"/>
      <c r="IYI7" s="57"/>
      <c r="IYJ7" s="57"/>
      <c r="IYK7" s="57"/>
      <c r="IYL7" s="57"/>
      <c r="IYM7" s="57"/>
      <c r="IYN7" s="57"/>
      <c r="IYO7" s="57"/>
      <c r="IYP7" s="57"/>
      <c r="IYQ7" s="57"/>
      <c r="IYR7" s="57"/>
      <c r="IYS7" s="57"/>
      <c r="IYT7" s="57"/>
      <c r="IYU7" s="57"/>
      <c r="IYV7" s="57"/>
      <c r="IYW7" s="57"/>
      <c r="IYX7" s="57"/>
      <c r="IYY7" s="57"/>
      <c r="IYZ7" s="57"/>
      <c r="IZA7" s="57"/>
      <c r="IZB7" s="57"/>
      <c r="IZC7" s="57"/>
      <c r="IZD7" s="57"/>
      <c r="IZE7" s="57"/>
      <c r="IZF7" s="57"/>
      <c r="IZG7" s="57"/>
      <c r="IZH7" s="57"/>
      <c r="IZI7" s="57"/>
      <c r="IZJ7" s="57"/>
      <c r="IZK7" s="57"/>
      <c r="IZL7" s="57"/>
      <c r="IZM7" s="57"/>
      <c r="IZN7" s="57"/>
      <c r="IZO7" s="57"/>
      <c r="IZP7" s="57"/>
      <c r="IZQ7" s="57"/>
      <c r="IZR7" s="57"/>
      <c r="IZS7" s="57"/>
      <c r="IZT7" s="57"/>
      <c r="IZU7" s="57"/>
      <c r="IZV7" s="57"/>
      <c r="IZW7" s="57"/>
      <c r="IZX7" s="57"/>
      <c r="IZY7" s="57"/>
      <c r="IZZ7" s="57"/>
      <c r="JAA7" s="57"/>
      <c r="JAB7" s="57"/>
      <c r="JAC7" s="57"/>
      <c r="JAD7" s="57"/>
      <c r="JAE7" s="57"/>
      <c r="JAF7" s="57"/>
      <c r="JAG7" s="57"/>
      <c r="JAH7" s="57"/>
      <c r="JAI7" s="57"/>
      <c r="JAJ7" s="57"/>
      <c r="JAK7" s="57"/>
      <c r="JAL7" s="57"/>
      <c r="JAM7" s="57"/>
      <c r="JAN7" s="57"/>
      <c r="JAO7" s="57"/>
      <c r="JAP7" s="57"/>
      <c r="JAQ7" s="57"/>
      <c r="JAR7" s="57"/>
      <c r="JAS7" s="57"/>
      <c r="JAT7" s="57"/>
      <c r="JAU7" s="57"/>
      <c r="JAV7" s="57"/>
      <c r="JAW7" s="57"/>
      <c r="JAX7" s="57"/>
      <c r="JAY7" s="57"/>
      <c r="JAZ7" s="57"/>
      <c r="JBA7" s="57"/>
      <c r="JBB7" s="57"/>
      <c r="JBC7" s="57"/>
      <c r="JBD7" s="57"/>
      <c r="JBE7" s="57"/>
      <c r="JBF7" s="57"/>
      <c r="JBG7" s="57"/>
      <c r="JBH7" s="57"/>
      <c r="JBI7" s="57"/>
      <c r="JBJ7" s="57"/>
      <c r="JBK7" s="57"/>
      <c r="JBL7" s="57"/>
      <c r="JBM7" s="57"/>
      <c r="JBN7" s="57"/>
      <c r="JBO7" s="57"/>
      <c r="JBP7" s="57"/>
      <c r="JBQ7" s="57"/>
      <c r="JBR7" s="57"/>
      <c r="JBS7" s="57"/>
      <c r="JBT7" s="57"/>
      <c r="JBU7" s="57"/>
      <c r="JBV7" s="57"/>
      <c r="JBW7" s="57"/>
      <c r="JBX7" s="57"/>
      <c r="JBY7" s="57"/>
      <c r="JBZ7" s="57"/>
      <c r="JCA7" s="57"/>
      <c r="JCB7" s="57"/>
      <c r="JCC7" s="57"/>
      <c r="JCD7" s="57"/>
      <c r="JCE7" s="57"/>
      <c r="JCF7" s="57"/>
      <c r="JCG7" s="57"/>
      <c r="JCH7" s="57"/>
      <c r="JCI7" s="57"/>
      <c r="JCJ7" s="57"/>
      <c r="JCK7" s="57"/>
      <c r="JCL7" s="57"/>
      <c r="JCM7" s="57"/>
      <c r="JCN7" s="57"/>
      <c r="JCO7" s="57"/>
      <c r="JCP7" s="57"/>
      <c r="JCQ7" s="57"/>
      <c r="JCR7" s="57"/>
      <c r="JCS7" s="57"/>
      <c r="JCT7" s="57"/>
      <c r="JCU7" s="57"/>
      <c r="JCV7" s="57"/>
      <c r="JCW7" s="57"/>
      <c r="JCX7" s="57"/>
      <c r="JCY7" s="57"/>
      <c r="JCZ7" s="57"/>
      <c r="JDA7" s="57"/>
      <c r="JDB7" s="57"/>
      <c r="JDC7" s="57"/>
      <c r="JDD7" s="57"/>
      <c r="JDE7" s="57"/>
      <c r="JDF7" s="57"/>
      <c r="JDG7" s="57"/>
      <c r="JDH7" s="57"/>
      <c r="JDI7" s="57"/>
      <c r="JDJ7" s="57"/>
      <c r="JDK7" s="57"/>
      <c r="JDL7" s="57"/>
      <c r="JDM7" s="57"/>
      <c r="JDN7" s="57"/>
      <c r="JDO7" s="57"/>
      <c r="JDP7" s="57"/>
      <c r="JDQ7" s="57"/>
      <c r="JDR7" s="57"/>
      <c r="JDS7" s="57"/>
      <c r="JDT7" s="57"/>
      <c r="JDU7" s="57"/>
      <c r="JDV7" s="57"/>
      <c r="JDW7" s="57"/>
      <c r="JDX7" s="57"/>
      <c r="JDY7" s="57"/>
      <c r="JDZ7" s="57"/>
      <c r="JEA7" s="57"/>
      <c r="JEB7" s="57"/>
      <c r="JEC7" s="57"/>
      <c r="JED7" s="57"/>
      <c r="JEE7" s="57"/>
      <c r="JEF7" s="57"/>
      <c r="JEG7" s="57"/>
      <c r="JEH7" s="57"/>
      <c r="JEI7" s="57"/>
      <c r="JEJ7" s="57"/>
      <c r="JEK7" s="57"/>
      <c r="JEL7" s="57"/>
      <c r="JEM7" s="57"/>
      <c r="JEN7" s="57"/>
      <c r="JEO7" s="57"/>
      <c r="JEP7" s="57"/>
      <c r="JEQ7" s="57"/>
      <c r="JER7" s="57"/>
      <c r="JES7" s="57"/>
      <c r="JET7" s="57"/>
      <c r="JEU7" s="57"/>
      <c r="JEV7" s="57"/>
      <c r="JEW7" s="57"/>
      <c r="JEX7" s="57"/>
      <c r="JEY7" s="57"/>
      <c r="JEZ7" s="57"/>
      <c r="JFA7" s="57"/>
      <c r="JFB7" s="57"/>
      <c r="JFC7" s="57"/>
      <c r="JFD7" s="57"/>
      <c r="JFE7" s="57"/>
      <c r="JFF7" s="57"/>
      <c r="JFG7" s="57"/>
      <c r="JFH7" s="57"/>
      <c r="JFI7" s="57"/>
      <c r="JFJ7" s="57"/>
      <c r="JFK7" s="57"/>
      <c r="JFL7" s="57"/>
      <c r="JFM7" s="57"/>
      <c r="JFN7" s="57"/>
      <c r="JFO7" s="57"/>
      <c r="JFP7" s="57"/>
      <c r="JFQ7" s="57"/>
      <c r="JFR7" s="57"/>
      <c r="JFS7" s="57"/>
      <c r="JFT7" s="57"/>
      <c r="JFU7" s="57"/>
      <c r="JFV7" s="57"/>
      <c r="JFW7" s="57"/>
      <c r="JFX7" s="57"/>
      <c r="JFY7" s="57"/>
      <c r="JFZ7" s="57"/>
      <c r="JGA7" s="57"/>
      <c r="JGB7" s="57"/>
      <c r="JGC7" s="57"/>
      <c r="JGD7" s="57"/>
      <c r="JGE7" s="57"/>
      <c r="JGF7" s="57"/>
      <c r="JGG7" s="57"/>
      <c r="JGH7" s="57"/>
      <c r="JGI7" s="57"/>
      <c r="JGJ7" s="57"/>
      <c r="JGK7" s="57"/>
      <c r="JGL7" s="57"/>
      <c r="JGM7" s="57"/>
      <c r="JGN7" s="57"/>
      <c r="JGO7" s="57"/>
      <c r="JGP7" s="57"/>
      <c r="JGQ7" s="57"/>
      <c r="JGR7" s="57"/>
      <c r="JGS7" s="57"/>
      <c r="JGT7" s="57"/>
      <c r="JGU7" s="57"/>
      <c r="JGV7" s="57"/>
      <c r="JGW7" s="57"/>
      <c r="JGX7" s="57"/>
      <c r="JGY7" s="57"/>
      <c r="JGZ7" s="57"/>
      <c r="JHA7" s="57"/>
      <c r="JHB7" s="57"/>
      <c r="JHC7" s="57"/>
      <c r="JHD7" s="57"/>
      <c r="JHE7" s="57"/>
      <c r="JHF7" s="57"/>
      <c r="JHG7" s="57"/>
      <c r="JHH7" s="57"/>
      <c r="JHI7" s="57"/>
      <c r="JHJ7" s="57"/>
      <c r="JHK7" s="57"/>
      <c r="JHL7" s="57"/>
      <c r="JHM7" s="57"/>
      <c r="JHN7" s="57"/>
      <c r="JHO7" s="57"/>
      <c r="JHP7" s="57"/>
      <c r="JHQ7" s="57"/>
      <c r="JHR7" s="57"/>
      <c r="JHS7" s="57"/>
      <c r="JHT7" s="57"/>
      <c r="JHU7" s="57"/>
      <c r="JHV7" s="57"/>
      <c r="JHW7" s="57"/>
      <c r="JHX7" s="57"/>
      <c r="JHY7" s="57"/>
      <c r="JHZ7" s="57"/>
      <c r="JIA7" s="57"/>
      <c r="JIB7" s="57"/>
      <c r="JIC7" s="57"/>
      <c r="JID7" s="57"/>
      <c r="JIE7" s="57"/>
      <c r="JIF7" s="57"/>
      <c r="JIG7" s="57"/>
      <c r="JIH7" s="57"/>
      <c r="JII7" s="57"/>
      <c r="JIJ7" s="57"/>
      <c r="JIK7" s="57"/>
      <c r="JIL7" s="57"/>
      <c r="JIM7" s="57"/>
      <c r="JIN7" s="57"/>
      <c r="JIO7" s="57"/>
      <c r="JIP7" s="57"/>
      <c r="JIQ7" s="57"/>
      <c r="JIR7" s="57"/>
      <c r="JIS7" s="57"/>
      <c r="JIT7" s="57"/>
      <c r="JIU7" s="57"/>
      <c r="JIV7" s="57"/>
      <c r="JIW7" s="57"/>
      <c r="JIX7" s="57"/>
      <c r="JIY7" s="57"/>
      <c r="JIZ7" s="57"/>
      <c r="JJA7" s="57"/>
      <c r="JJB7" s="57"/>
      <c r="JJC7" s="57"/>
      <c r="JJD7" s="57"/>
      <c r="JJE7" s="57"/>
      <c r="JJF7" s="57"/>
      <c r="JJG7" s="57"/>
      <c r="JJH7" s="57"/>
      <c r="JJI7" s="57"/>
      <c r="JJJ7" s="57"/>
      <c r="JJK7" s="57"/>
      <c r="JJL7" s="57"/>
      <c r="JJM7" s="57"/>
      <c r="JJN7" s="57"/>
      <c r="JJO7" s="57"/>
      <c r="JJP7" s="57"/>
      <c r="JJQ7" s="57"/>
      <c r="JJR7" s="57"/>
      <c r="JJS7" s="57"/>
      <c r="JJT7" s="57"/>
      <c r="JJU7" s="57"/>
      <c r="JJV7" s="57"/>
      <c r="JJW7" s="57"/>
      <c r="JJX7" s="57"/>
      <c r="JJY7" s="57"/>
      <c r="JJZ7" s="57"/>
      <c r="JKA7" s="57"/>
      <c r="JKB7" s="57"/>
      <c r="JKC7" s="57"/>
      <c r="JKD7" s="57"/>
      <c r="JKE7" s="57"/>
      <c r="JKF7" s="57"/>
      <c r="JKG7" s="57"/>
      <c r="JKH7" s="57"/>
      <c r="JKI7" s="57"/>
      <c r="JKJ7" s="57"/>
      <c r="JKK7" s="57"/>
      <c r="JKL7" s="57"/>
      <c r="JKM7" s="57"/>
      <c r="JKN7" s="57"/>
      <c r="JKO7" s="57"/>
      <c r="JKP7" s="57"/>
      <c r="JKQ7" s="57"/>
      <c r="JKR7" s="57"/>
      <c r="JKS7" s="57"/>
      <c r="JKT7" s="57"/>
      <c r="JKU7" s="57"/>
      <c r="JKV7" s="57"/>
      <c r="JKW7" s="57"/>
      <c r="JKX7" s="57"/>
      <c r="JKY7" s="57"/>
      <c r="JKZ7" s="57"/>
      <c r="JLA7" s="57"/>
      <c r="JLB7" s="57"/>
      <c r="JLC7" s="57"/>
      <c r="JLD7" s="57"/>
      <c r="JLE7" s="57"/>
      <c r="JLF7" s="57"/>
      <c r="JLG7" s="57"/>
      <c r="JLH7" s="57"/>
      <c r="JLI7" s="57"/>
      <c r="JLJ7" s="57"/>
      <c r="JLK7" s="57"/>
      <c r="JLL7" s="57"/>
      <c r="JLM7" s="57"/>
      <c r="JLN7" s="57"/>
      <c r="JLO7" s="57"/>
      <c r="JLP7" s="57"/>
      <c r="JLQ7" s="57"/>
      <c r="JLR7" s="57"/>
      <c r="JLS7" s="57"/>
      <c r="JLT7" s="57"/>
      <c r="JLU7" s="57"/>
      <c r="JLV7" s="57"/>
      <c r="JLW7" s="57"/>
      <c r="JLX7" s="57"/>
      <c r="JLY7" s="57"/>
      <c r="JLZ7" s="57"/>
      <c r="JMA7" s="57"/>
      <c r="JMB7" s="57"/>
      <c r="JMC7" s="57"/>
      <c r="JMD7" s="57"/>
      <c r="JME7" s="57"/>
      <c r="JMF7" s="57"/>
      <c r="JMG7" s="57"/>
      <c r="JMH7" s="57"/>
      <c r="JMI7" s="57"/>
      <c r="JMJ7" s="57"/>
      <c r="JMK7" s="57"/>
      <c r="JML7" s="57"/>
      <c r="JMM7" s="57"/>
      <c r="JMN7" s="57"/>
      <c r="JMO7" s="57"/>
      <c r="JMP7" s="57"/>
      <c r="JMQ7" s="57"/>
      <c r="JMR7" s="57"/>
      <c r="JMS7" s="57"/>
      <c r="JMT7" s="57"/>
      <c r="JMU7" s="57"/>
      <c r="JMV7" s="57"/>
      <c r="JMW7" s="57"/>
      <c r="JMX7" s="57"/>
      <c r="JMY7" s="57"/>
      <c r="JMZ7" s="57"/>
      <c r="JNA7" s="57"/>
      <c r="JNB7" s="57"/>
      <c r="JNC7" s="57"/>
      <c r="JND7" s="57"/>
      <c r="JNE7" s="57"/>
      <c r="JNF7" s="57"/>
      <c r="JNG7" s="57"/>
      <c r="JNH7" s="57"/>
      <c r="JNI7" s="57"/>
      <c r="JNJ7" s="57"/>
      <c r="JNK7" s="57"/>
      <c r="JNL7" s="57"/>
      <c r="JNM7" s="57"/>
      <c r="JNN7" s="57"/>
      <c r="JNO7" s="57"/>
      <c r="JNP7" s="57"/>
      <c r="JNQ7" s="57"/>
      <c r="JNR7" s="57"/>
      <c r="JNS7" s="57"/>
      <c r="JNT7" s="57"/>
      <c r="JNU7" s="57"/>
      <c r="JNV7" s="57"/>
      <c r="JNW7" s="57"/>
      <c r="JNX7" s="57"/>
      <c r="JNY7" s="57"/>
      <c r="JNZ7" s="57"/>
      <c r="JOA7" s="57"/>
      <c r="JOB7" s="57"/>
      <c r="JOC7" s="57"/>
      <c r="JOD7" s="57"/>
      <c r="JOE7" s="57"/>
      <c r="JOF7" s="57"/>
      <c r="JOG7" s="57"/>
      <c r="JOH7" s="57"/>
      <c r="JOI7" s="57"/>
      <c r="JOJ7" s="57"/>
      <c r="JOK7" s="57"/>
      <c r="JOL7" s="57"/>
      <c r="JOM7" s="57"/>
      <c r="JON7" s="57"/>
      <c r="JOO7" s="57"/>
      <c r="JOP7" s="57"/>
      <c r="JOQ7" s="57"/>
      <c r="JOR7" s="57"/>
      <c r="JOS7" s="57"/>
      <c r="JOT7" s="57"/>
      <c r="JOU7" s="57"/>
      <c r="JOV7" s="57"/>
      <c r="JOW7" s="57"/>
      <c r="JOX7" s="57"/>
      <c r="JOY7" s="57"/>
      <c r="JOZ7" s="57"/>
      <c r="JPA7" s="57"/>
      <c r="JPB7" s="57"/>
      <c r="JPC7" s="57"/>
      <c r="JPD7" s="57"/>
      <c r="JPE7" s="57"/>
      <c r="JPF7" s="57"/>
      <c r="JPG7" s="57"/>
      <c r="JPH7" s="57"/>
      <c r="JPI7" s="57"/>
      <c r="JPJ7" s="57"/>
      <c r="JPK7" s="57"/>
      <c r="JPL7" s="57"/>
      <c r="JPM7" s="57"/>
      <c r="JPN7" s="57"/>
      <c r="JPO7" s="57"/>
      <c r="JPP7" s="57"/>
      <c r="JPQ7" s="57"/>
      <c r="JPR7" s="57"/>
      <c r="JPS7" s="57"/>
      <c r="JPT7" s="57"/>
      <c r="JPU7" s="57"/>
      <c r="JPV7" s="57"/>
      <c r="JPW7" s="57"/>
      <c r="JPX7" s="57"/>
      <c r="JPY7" s="57"/>
      <c r="JPZ7" s="57"/>
      <c r="JQA7" s="57"/>
      <c r="JQB7" s="57"/>
      <c r="JQC7" s="57"/>
      <c r="JQD7" s="57"/>
      <c r="JQE7" s="57"/>
      <c r="JQF7" s="57"/>
      <c r="JQG7" s="57"/>
      <c r="JQH7" s="57"/>
      <c r="JQI7" s="57"/>
      <c r="JQJ7" s="57"/>
      <c r="JQK7" s="57"/>
      <c r="JQL7" s="57"/>
      <c r="JQM7" s="57"/>
      <c r="JQN7" s="57"/>
      <c r="JQO7" s="57"/>
      <c r="JQP7" s="57"/>
      <c r="JQQ7" s="57"/>
      <c r="JQR7" s="57"/>
      <c r="JQS7" s="57"/>
      <c r="JQT7" s="57"/>
      <c r="JQU7" s="57"/>
      <c r="JQV7" s="57"/>
      <c r="JQW7" s="57"/>
      <c r="JQX7" s="57"/>
      <c r="JQY7" s="57"/>
      <c r="JQZ7" s="57"/>
      <c r="JRA7" s="57"/>
      <c r="JRB7" s="57"/>
      <c r="JRC7" s="57"/>
      <c r="JRD7" s="57"/>
      <c r="JRE7" s="57"/>
      <c r="JRF7" s="57"/>
      <c r="JRG7" s="57"/>
      <c r="JRH7" s="57"/>
      <c r="JRI7" s="57"/>
      <c r="JRJ7" s="57"/>
      <c r="JRK7" s="57"/>
      <c r="JRL7" s="57"/>
      <c r="JRM7" s="57"/>
      <c r="JRN7" s="57"/>
      <c r="JRO7" s="57"/>
      <c r="JRP7" s="57"/>
      <c r="JRQ7" s="57"/>
      <c r="JRR7" s="57"/>
      <c r="JRS7" s="57"/>
      <c r="JRT7" s="57"/>
      <c r="JRU7" s="57"/>
      <c r="JRV7" s="57"/>
      <c r="JRW7" s="57"/>
      <c r="JRX7" s="57"/>
      <c r="JRY7" s="57"/>
      <c r="JRZ7" s="57"/>
      <c r="JSA7" s="57"/>
      <c r="JSB7" s="57"/>
      <c r="JSC7" s="57"/>
      <c r="JSD7" s="57"/>
      <c r="JSE7" s="57"/>
      <c r="JSF7" s="57"/>
      <c r="JSG7" s="57"/>
      <c r="JSH7" s="57"/>
      <c r="JSI7" s="57"/>
      <c r="JSJ7" s="57"/>
      <c r="JSK7" s="57"/>
      <c r="JSL7" s="57"/>
      <c r="JSM7" s="57"/>
      <c r="JSN7" s="57"/>
      <c r="JSO7" s="57"/>
      <c r="JSP7" s="57"/>
      <c r="JSQ7" s="57"/>
      <c r="JSR7" s="57"/>
      <c r="JSS7" s="57"/>
      <c r="JST7" s="57"/>
      <c r="JSU7" s="57"/>
      <c r="JSV7" s="57"/>
      <c r="JSW7" s="57"/>
      <c r="JSX7" s="57"/>
      <c r="JSY7" s="57"/>
      <c r="JSZ7" s="57"/>
      <c r="JTA7" s="57"/>
      <c r="JTB7" s="57"/>
      <c r="JTC7" s="57"/>
      <c r="JTD7" s="57"/>
      <c r="JTE7" s="57"/>
      <c r="JTF7" s="57"/>
      <c r="JTG7" s="57"/>
      <c r="JTH7" s="57"/>
      <c r="JTI7" s="57"/>
      <c r="JTJ7" s="57"/>
      <c r="JTK7" s="57"/>
      <c r="JTL7" s="57"/>
      <c r="JTM7" s="57"/>
      <c r="JTN7" s="57"/>
      <c r="JTO7" s="57"/>
      <c r="JTP7" s="57"/>
      <c r="JTQ7" s="57"/>
      <c r="JTR7" s="57"/>
      <c r="JTS7" s="57"/>
      <c r="JTT7" s="57"/>
      <c r="JTU7" s="57"/>
      <c r="JTV7" s="57"/>
      <c r="JTW7" s="57"/>
      <c r="JTX7" s="57"/>
      <c r="JTY7" s="57"/>
      <c r="JTZ7" s="57"/>
      <c r="JUA7" s="57"/>
      <c r="JUB7" s="57"/>
      <c r="JUC7" s="57"/>
      <c r="JUD7" s="57"/>
      <c r="JUE7" s="57"/>
      <c r="JUF7" s="57"/>
      <c r="JUG7" s="57"/>
      <c r="JUH7" s="57"/>
      <c r="JUI7" s="57"/>
      <c r="JUJ7" s="57"/>
      <c r="JUK7" s="57"/>
      <c r="JUL7" s="57"/>
      <c r="JUM7" s="57"/>
      <c r="JUN7" s="57"/>
      <c r="JUO7" s="57"/>
      <c r="JUP7" s="57"/>
      <c r="JUQ7" s="57"/>
      <c r="JUR7" s="57"/>
      <c r="JUS7" s="57"/>
      <c r="JUT7" s="57"/>
      <c r="JUU7" s="57"/>
      <c r="JUV7" s="57"/>
      <c r="JUW7" s="57"/>
      <c r="JUX7" s="57"/>
      <c r="JUY7" s="57"/>
      <c r="JUZ7" s="57"/>
      <c r="JVA7" s="57"/>
      <c r="JVB7" s="57"/>
      <c r="JVC7" s="57"/>
      <c r="JVD7" s="57"/>
      <c r="JVE7" s="57"/>
      <c r="JVF7" s="57"/>
      <c r="JVG7" s="57"/>
      <c r="JVH7" s="57"/>
      <c r="JVI7" s="57"/>
      <c r="JVJ7" s="57"/>
      <c r="JVK7" s="57"/>
      <c r="JVL7" s="57"/>
      <c r="JVM7" s="57"/>
      <c r="JVN7" s="57"/>
      <c r="JVO7" s="57"/>
      <c r="JVP7" s="57"/>
      <c r="JVQ7" s="57"/>
      <c r="JVR7" s="57"/>
      <c r="JVS7" s="57"/>
      <c r="JVT7" s="57"/>
      <c r="JVU7" s="57"/>
      <c r="JVV7" s="57"/>
      <c r="JVW7" s="57"/>
      <c r="JVX7" s="57"/>
      <c r="JVY7" s="57"/>
      <c r="JVZ7" s="57"/>
      <c r="JWA7" s="57"/>
      <c r="JWB7" s="57"/>
      <c r="JWC7" s="57"/>
      <c r="JWD7" s="57"/>
      <c r="JWE7" s="57"/>
      <c r="JWF7" s="57"/>
      <c r="JWG7" s="57"/>
      <c r="JWH7" s="57"/>
      <c r="JWI7" s="57"/>
      <c r="JWJ7" s="57"/>
      <c r="JWK7" s="57"/>
      <c r="JWL7" s="57"/>
      <c r="JWM7" s="57"/>
      <c r="JWN7" s="57"/>
      <c r="JWO7" s="57"/>
      <c r="JWP7" s="57"/>
      <c r="JWQ7" s="57"/>
      <c r="JWR7" s="57"/>
      <c r="JWS7" s="57"/>
      <c r="JWT7" s="57"/>
      <c r="JWU7" s="57"/>
      <c r="JWV7" s="57"/>
      <c r="JWW7" s="57"/>
      <c r="JWX7" s="57"/>
      <c r="JWY7" s="57"/>
      <c r="JWZ7" s="57"/>
      <c r="JXA7" s="57"/>
      <c r="JXB7" s="57"/>
      <c r="JXC7" s="57"/>
      <c r="JXD7" s="57"/>
      <c r="JXE7" s="57"/>
      <c r="JXF7" s="57"/>
      <c r="JXG7" s="57"/>
      <c r="JXH7" s="57"/>
      <c r="JXI7" s="57"/>
      <c r="JXJ7" s="57"/>
      <c r="JXK7" s="57"/>
      <c r="JXL7" s="57"/>
      <c r="JXM7" s="57"/>
      <c r="JXN7" s="57"/>
      <c r="JXO7" s="57"/>
      <c r="JXP7" s="57"/>
      <c r="JXQ7" s="57"/>
      <c r="JXR7" s="57"/>
      <c r="JXS7" s="57"/>
      <c r="JXT7" s="57"/>
      <c r="JXU7" s="57"/>
      <c r="JXV7" s="57"/>
      <c r="JXW7" s="57"/>
      <c r="JXX7" s="57"/>
      <c r="JXY7" s="57"/>
      <c r="JXZ7" s="57"/>
      <c r="JYA7" s="57"/>
      <c r="JYB7" s="57"/>
      <c r="JYC7" s="57"/>
      <c r="JYD7" s="57"/>
      <c r="JYE7" s="57"/>
      <c r="JYF7" s="57"/>
      <c r="JYG7" s="57"/>
      <c r="JYH7" s="57"/>
      <c r="JYI7" s="57"/>
      <c r="JYJ7" s="57"/>
      <c r="JYK7" s="57"/>
      <c r="JYL7" s="57"/>
      <c r="JYM7" s="57"/>
      <c r="JYN7" s="57"/>
      <c r="JYO7" s="57"/>
      <c r="JYP7" s="57"/>
      <c r="JYQ7" s="57"/>
      <c r="JYR7" s="57"/>
      <c r="JYS7" s="57"/>
      <c r="JYT7" s="57"/>
      <c r="JYU7" s="57"/>
      <c r="JYV7" s="57"/>
      <c r="JYW7" s="57"/>
      <c r="JYX7" s="57"/>
      <c r="JYY7" s="57"/>
      <c r="JYZ7" s="57"/>
      <c r="JZA7" s="57"/>
      <c r="JZB7" s="57"/>
      <c r="JZC7" s="57"/>
      <c r="JZD7" s="57"/>
      <c r="JZE7" s="57"/>
      <c r="JZF7" s="57"/>
      <c r="JZG7" s="57"/>
      <c r="JZH7" s="57"/>
      <c r="JZI7" s="57"/>
      <c r="JZJ7" s="57"/>
      <c r="JZK7" s="57"/>
      <c r="JZL7" s="57"/>
      <c r="JZM7" s="57"/>
      <c r="JZN7" s="57"/>
      <c r="JZO7" s="57"/>
      <c r="JZP7" s="57"/>
      <c r="JZQ7" s="57"/>
      <c r="JZR7" s="57"/>
      <c r="JZS7" s="57"/>
      <c r="JZT7" s="57"/>
      <c r="JZU7" s="57"/>
      <c r="JZV7" s="57"/>
      <c r="JZW7" s="57"/>
      <c r="JZX7" s="57"/>
      <c r="JZY7" s="57"/>
      <c r="JZZ7" s="57"/>
      <c r="KAA7" s="57"/>
      <c r="KAB7" s="57"/>
      <c r="KAC7" s="57"/>
      <c r="KAD7" s="57"/>
      <c r="KAE7" s="57"/>
      <c r="KAF7" s="57"/>
      <c r="KAG7" s="57"/>
      <c r="KAH7" s="57"/>
      <c r="KAI7" s="57"/>
      <c r="KAJ7" s="57"/>
      <c r="KAK7" s="57"/>
      <c r="KAL7" s="57"/>
      <c r="KAM7" s="57"/>
      <c r="KAN7" s="57"/>
      <c r="KAO7" s="57"/>
      <c r="KAP7" s="57"/>
      <c r="KAQ7" s="57"/>
      <c r="KAR7" s="57"/>
      <c r="KAS7" s="57"/>
      <c r="KAT7" s="57"/>
      <c r="KAU7" s="57"/>
      <c r="KAV7" s="57"/>
      <c r="KAW7" s="57"/>
      <c r="KAX7" s="57"/>
      <c r="KAY7" s="57"/>
      <c r="KAZ7" s="57"/>
      <c r="KBA7" s="57"/>
      <c r="KBB7" s="57"/>
      <c r="KBC7" s="57"/>
      <c r="KBD7" s="57"/>
      <c r="KBE7" s="57"/>
      <c r="KBF7" s="57"/>
      <c r="KBG7" s="57"/>
      <c r="KBH7" s="57"/>
      <c r="KBI7" s="57"/>
      <c r="KBJ7" s="57"/>
      <c r="KBK7" s="57"/>
      <c r="KBL7" s="57"/>
      <c r="KBM7" s="57"/>
      <c r="KBN7" s="57"/>
      <c r="KBO7" s="57"/>
      <c r="KBP7" s="57"/>
      <c r="KBQ7" s="57"/>
      <c r="KBR7" s="57"/>
      <c r="KBS7" s="57"/>
      <c r="KBT7" s="57"/>
      <c r="KBU7" s="57"/>
      <c r="KBV7" s="57"/>
      <c r="KBW7" s="57"/>
      <c r="KBX7" s="57"/>
      <c r="KBY7" s="57"/>
      <c r="KBZ7" s="57"/>
      <c r="KCA7" s="57"/>
      <c r="KCB7" s="57"/>
      <c r="KCC7" s="57"/>
      <c r="KCD7" s="57"/>
      <c r="KCE7" s="57"/>
      <c r="KCF7" s="57"/>
      <c r="KCG7" s="57"/>
      <c r="KCH7" s="57"/>
      <c r="KCI7" s="57"/>
      <c r="KCJ7" s="57"/>
      <c r="KCK7" s="57"/>
      <c r="KCL7" s="57"/>
      <c r="KCM7" s="57"/>
      <c r="KCN7" s="57"/>
      <c r="KCO7" s="57"/>
      <c r="KCP7" s="57"/>
      <c r="KCQ7" s="57"/>
      <c r="KCR7" s="57"/>
      <c r="KCS7" s="57"/>
      <c r="KCT7" s="57"/>
      <c r="KCU7" s="57"/>
      <c r="KCV7" s="57"/>
      <c r="KCW7" s="57"/>
      <c r="KCX7" s="57"/>
      <c r="KCY7" s="57"/>
      <c r="KCZ7" s="57"/>
      <c r="KDA7" s="57"/>
      <c r="KDB7" s="57"/>
      <c r="KDC7" s="57"/>
      <c r="KDD7" s="57"/>
      <c r="KDE7" s="57"/>
      <c r="KDF7" s="57"/>
      <c r="KDG7" s="57"/>
      <c r="KDH7" s="57"/>
      <c r="KDI7" s="57"/>
      <c r="KDJ7" s="57"/>
      <c r="KDK7" s="57"/>
      <c r="KDL7" s="57"/>
      <c r="KDM7" s="57"/>
      <c r="KDN7" s="57"/>
      <c r="KDO7" s="57"/>
      <c r="KDP7" s="57"/>
      <c r="KDQ7" s="57"/>
      <c r="KDR7" s="57"/>
      <c r="KDS7" s="57"/>
      <c r="KDT7" s="57"/>
      <c r="KDU7" s="57"/>
      <c r="KDV7" s="57"/>
      <c r="KDW7" s="57"/>
      <c r="KDX7" s="57"/>
      <c r="KDY7" s="57"/>
      <c r="KDZ7" s="57"/>
      <c r="KEA7" s="57"/>
      <c r="KEB7" s="57"/>
      <c r="KEC7" s="57"/>
      <c r="KED7" s="57"/>
      <c r="KEE7" s="57"/>
      <c r="KEF7" s="57"/>
      <c r="KEG7" s="57"/>
      <c r="KEH7" s="57"/>
      <c r="KEI7" s="57"/>
      <c r="KEJ7" s="57"/>
      <c r="KEK7" s="57"/>
      <c r="KEL7" s="57"/>
      <c r="KEM7" s="57"/>
      <c r="KEN7" s="57"/>
      <c r="KEO7" s="57"/>
      <c r="KEP7" s="57"/>
      <c r="KEQ7" s="57"/>
      <c r="KER7" s="57"/>
      <c r="KES7" s="57"/>
      <c r="KET7" s="57"/>
      <c r="KEU7" s="57"/>
      <c r="KEV7" s="57"/>
      <c r="KEW7" s="57"/>
      <c r="KEX7" s="57"/>
      <c r="KEY7" s="57"/>
      <c r="KEZ7" s="57"/>
      <c r="KFA7" s="57"/>
      <c r="KFB7" s="57"/>
      <c r="KFC7" s="57"/>
      <c r="KFD7" s="57"/>
      <c r="KFE7" s="57"/>
      <c r="KFF7" s="57"/>
      <c r="KFG7" s="57"/>
      <c r="KFH7" s="57"/>
      <c r="KFI7" s="57"/>
      <c r="KFJ7" s="57"/>
      <c r="KFK7" s="57"/>
      <c r="KFL7" s="57"/>
      <c r="KFM7" s="57"/>
      <c r="KFN7" s="57"/>
      <c r="KFO7" s="57"/>
      <c r="KFP7" s="57"/>
      <c r="KFQ7" s="57"/>
      <c r="KFR7" s="57"/>
      <c r="KFS7" s="57"/>
      <c r="KFT7" s="57"/>
      <c r="KFU7" s="57"/>
      <c r="KFV7" s="57"/>
      <c r="KFW7" s="57"/>
      <c r="KFX7" s="57"/>
      <c r="KFY7" s="57"/>
      <c r="KFZ7" s="57"/>
      <c r="KGA7" s="57"/>
      <c r="KGB7" s="57"/>
      <c r="KGC7" s="57"/>
      <c r="KGD7" s="57"/>
      <c r="KGE7" s="57"/>
      <c r="KGF7" s="57"/>
      <c r="KGG7" s="57"/>
      <c r="KGH7" s="57"/>
      <c r="KGI7" s="57"/>
      <c r="KGJ7" s="57"/>
      <c r="KGK7" s="57"/>
      <c r="KGL7" s="57"/>
      <c r="KGM7" s="57"/>
      <c r="KGN7" s="57"/>
      <c r="KGO7" s="57"/>
      <c r="KGP7" s="57"/>
      <c r="KGQ7" s="57"/>
      <c r="KGR7" s="57"/>
      <c r="KGS7" s="57"/>
      <c r="KGT7" s="57"/>
      <c r="KGU7" s="57"/>
      <c r="KGV7" s="57"/>
      <c r="KGW7" s="57"/>
      <c r="KGX7" s="57"/>
      <c r="KGY7" s="57"/>
      <c r="KGZ7" s="57"/>
      <c r="KHA7" s="57"/>
      <c r="KHB7" s="57"/>
      <c r="KHC7" s="57"/>
      <c r="KHD7" s="57"/>
      <c r="KHE7" s="57"/>
      <c r="KHF7" s="57"/>
      <c r="KHG7" s="57"/>
      <c r="KHH7" s="57"/>
      <c r="KHI7" s="57"/>
      <c r="KHJ7" s="57"/>
      <c r="KHK7" s="57"/>
      <c r="KHL7" s="57"/>
      <c r="KHM7" s="57"/>
      <c r="KHN7" s="57"/>
      <c r="KHO7" s="57"/>
      <c r="KHP7" s="57"/>
      <c r="KHQ7" s="57"/>
      <c r="KHR7" s="57"/>
      <c r="KHS7" s="57"/>
      <c r="KHT7" s="57"/>
      <c r="KHU7" s="57"/>
      <c r="KHV7" s="57"/>
      <c r="KHW7" s="57"/>
      <c r="KHX7" s="57"/>
      <c r="KHY7" s="57"/>
      <c r="KHZ7" s="57"/>
      <c r="KIA7" s="57"/>
      <c r="KIB7" s="57"/>
      <c r="KIC7" s="57"/>
      <c r="KID7" s="57"/>
      <c r="KIE7" s="57"/>
      <c r="KIF7" s="57"/>
      <c r="KIG7" s="57"/>
      <c r="KIH7" s="57"/>
      <c r="KII7" s="57"/>
      <c r="KIJ7" s="57"/>
      <c r="KIK7" s="57"/>
      <c r="KIL7" s="57"/>
      <c r="KIM7" s="57"/>
      <c r="KIN7" s="57"/>
      <c r="KIO7" s="57"/>
      <c r="KIP7" s="57"/>
      <c r="KIQ7" s="57"/>
      <c r="KIR7" s="57"/>
      <c r="KIS7" s="57"/>
      <c r="KIT7" s="57"/>
      <c r="KIU7" s="57"/>
      <c r="KIV7" s="57"/>
      <c r="KIW7" s="57"/>
      <c r="KIX7" s="57"/>
      <c r="KIY7" s="57"/>
      <c r="KIZ7" s="57"/>
      <c r="KJA7" s="57"/>
      <c r="KJB7" s="57"/>
      <c r="KJC7" s="57"/>
      <c r="KJD7" s="57"/>
      <c r="KJE7" s="57"/>
      <c r="KJF7" s="57"/>
      <c r="KJG7" s="57"/>
      <c r="KJH7" s="57"/>
      <c r="KJI7" s="57"/>
      <c r="KJJ7" s="57"/>
      <c r="KJK7" s="57"/>
      <c r="KJL7" s="57"/>
      <c r="KJM7" s="57"/>
      <c r="KJN7" s="57"/>
      <c r="KJO7" s="57"/>
      <c r="KJP7" s="57"/>
      <c r="KJQ7" s="57"/>
      <c r="KJR7" s="57"/>
      <c r="KJS7" s="57"/>
      <c r="KJT7" s="57"/>
      <c r="KJU7" s="57"/>
      <c r="KJV7" s="57"/>
      <c r="KJW7" s="57"/>
      <c r="KJX7" s="57"/>
      <c r="KJY7" s="57"/>
      <c r="KJZ7" s="57"/>
      <c r="KKA7" s="57"/>
      <c r="KKB7" s="57"/>
      <c r="KKC7" s="57"/>
      <c r="KKD7" s="57"/>
      <c r="KKE7" s="57"/>
      <c r="KKF7" s="57"/>
      <c r="KKG7" s="57"/>
      <c r="KKH7" s="57"/>
      <c r="KKI7" s="57"/>
      <c r="KKJ7" s="57"/>
      <c r="KKK7" s="57"/>
      <c r="KKL7" s="57"/>
      <c r="KKM7" s="57"/>
      <c r="KKN7" s="57"/>
      <c r="KKO7" s="57"/>
      <c r="KKP7" s="57"/>
      <c r="KKQ7" s="57"/>
      <c r="KKR7" s="57"/>
      <c r="KKS7" s="57"/>
      <c r="KKT7" s="57"/>
      <c r="KKU7" s="57"/>
      <c r="KKV7" s="57"/>
      <c r="KKW7" s="57"/>
      <c r="KKX7" s="57"/>
      <c r="KKY7" s="57"/>
      <c r="KKZ7" s="57"/>
      <c r="KLA7" s="57"/>
      <c r="KLB7" s="57"/>
      <c r="KLC7" s="57"/>
      <c r="KLD7" s="57"/>
      <c r="KLE7" s="57"/>
      <c r="KLF7" s="57"/>
      <c r="KLG7" s="57"/>
      <c r="KLH7" s="57"/>
      <c r="KLI7" s="57"/>
      <c r="KLJ7" s="57"/>
      <c r="KLK7" s="57"/>
      <c r="KLL7" s="57"/>
      <c r="KLM7" s="57"/>
      <c r="KLN7" s="57"/>
      <c r="KLO7" s="57"/>
      <c r="KLP7" s="57"/>
      <c r="KLQ7" s="57"/>
      <c r="KLR7" s="57"/>
      <c r="KLS7" s="57"/>
      <c r="KLT7" s="57"/>
      <c r="KLU7" s="57"/>
      <c r="KLV7" s="57"/>
      <c r="KLW7" s="57"/>
      <c r="KLX7" s="57"/>
      <c r="KLY7" s="57"/>
      <c r="KLZ7" s="57"/>
      <c r="KMA7" s="57"/>
      <c r="KMB7" s="57"/>
      <c r="KMC7" s="57"/>
      <c r="KMD7" s="57"/>
      <c r="KME7" s="57"/>
      <c r="KMF7" s="57"/>
      <c r="KMG7" s="57"/>
      <c r="KMH7" s="57"/>
      <c r="KMI7" s="57"/>
      <c r="KMJ7" s="57"/>
      <c r="KMK7" s="57"/>
      <c r="KML7" s="57"/>
      <c r="KMM7" s="57"/>
      <c r="KMN7" s="57"/>
      <c r="KMO7" s="57"/>
      <c r="KMP7" s="57"/>
      <c r="KMQ7" s="57"/>
      <c r="KMR7" s="57"/>
      <c r="KMS7" s="57"/>
      <c r="KMT7" s="57"/>
      <c r="KMU7" s="57"/>
      <c r="KMV7" s="57"/>
      <c r="KMW7" s="57"/>
      <c r="KMX7" s="57"/>
      <c r="KMY7" s="57"/>
      <c r="KMZ7" s="57"/>
      <c r="KNA7" s="57"/>
      <c r="KNB7" s="57"/>
      <c r="KNC7" s="57"/>
      <c r="KND7" s="57"/>
      <c r="KNE7" s="57"/>
      <c r="KNF7" s="57"/>
      <c r="KNG7" s="57"/>
      <c r="KNH7" s="57"/>
      <c r="KNI7" s="57"/>
      <c r="KNJ7" s="57"/>
      <c r="KNK7" s="57"/>
      <c r="KNL7" s="57"/>
      <c r="KNM7" s="57"/>
      <c r="KNN7" s="57"/>
      <c r="KNO7" s="57"/>
      <c r="KNP7" s="57"/>
      <c r="KNQ7" s="57"/>
      <c r="KNR7" s="57"/>
      <c r="KNS7" s="57"/>
      <c r="KNT7" s="57"/>
      <c r="KNU7" s="57"/>
      <c r="KNV7" s="57"/>
      <c r="KNW7" s="57"/>
      <c r="KNX7" s="57"/>
      <c r="KNY7" s="57"/>
      <c r="KNZ7" s="57"/>
      <c r="KOA7" s="57"/>
      <c r="KOB7" s="57"/>
      <c r="KOC7" s="57"/>
      <c r="KOD7" s="57"/>
      <c r="KOE7" s="57"/>
      <c r="KOF7" s="57"/>
      <c r="KOG7" s="57"/>
      <c r="KOH7" s="57"/>
      <c r="KOI7" s="57"/>
      <c r="KOJ7" s="57"/>
      <c r="KOK7" s="57"/>
      <c r="KOL7" s="57"/>
      <c r="KOM7" s="57"/>
      <c r="KON7" s="57"/>
      <c r="KOO7" s="57"/>
      <c r="KOP7" s="57"/>
      <c r="KOQ7" s="57"/>
      <c r="KOR7" s="57"/>
      <c r="KOS7" s="57"/>
      <c r="KOT7" s="57"/>
      <c r="KOU7" s="57"/>
      <c r="KOV7" s="57"/>
      <c r="KOW7" s="57"/>
      <c r="KOX7" s="57"/>
      <c r="KOY7" s="57"/>
      <c r="KOZ7" s="57"/>
      <c r="KPA7" s="57"/>
      <c r="KPB7" s="57"/>
      <c r="KPC7" s="57"/>
      <c r="KPD7" s="57"/>
      <c r="KPE7" s="57"/>
      <c r="KPF7" s="57"/>
      <c r="KPG7" s="57"/>
      <c r="KPH7" s="57"/>
      <c r="KPI7" s="57"/>
      <c r="KPJ7" s="57"/>
      <c r="KPK7" s="57"/>
      <c r="KPL7" s="57"/>
      <c r="KPM7" s="57"/>
      <c r="KPN7" s="57"/>
      <c r="KPO7" s="57"/>
      <c r="KPP7" s="57"/>
      <c r="KPQ7" s="57"/>
      <c r="KPR7" s="57"/>
      <c r="KPS7" s="57"/>
      <c r="KPT7" s="57"/>
      <c r="KPU7" s="57"/>
      <c r="KPV7" s="57"/>
      <c r="KPW7" s="57"/>
      <c r="KPX7" s="57"/>
      <c r="KPY7" s="57"/>
      <c r="KPZ7" s="57"/>
      <c r="KQA7" s="57"/>
      <c r="KQB7" s="57"/>
      <c r="KQC7" s="57"/>
      <c r="KQD7" s="57"/>
      <c r="KQE7" s="57"/>
      <c r="KQF7" s="57"/>
      <c r="KQG7" s="57"/>
      <c r="KQH7" s="57"/>
      <c r="KQI7" s="57"/>
      <c r="KQJ7" s="57"/>
      <c r="KQK7" s="57"/>
      <c r="KQL7" s="57"/>
      <c r="KQM7" s="57"/>
      <c r="KQN7" s="57"/>
      <c r="KQO7" s="57"/>
      <c r="KQP7" s="57"/>
      <c r="KQQ7" s="57"/>
      <c r="KQR7" s="57"/>
      <c r="KQS7" s="57"/>
      <c r="KQT7" s="57"/>
      <c r="KQU7" s="57"/>
      <c r="KQV7" s="57"/>
      <c r="KQW7" s="57"/>
      <c r="KQX7" s="57"/>
      <c r="KQY7" s="57"/>
      <c r="KQZ7" s="57"/>
      <c r="KRA7" s="57"/>
      <c r="KRB7" s="57"/>
      <c r="KRC7" s="57"/>
      <c r="KRD7" s="57"/>
      <c r="KRE7" s="57"/>
      <c r="KRF7" s="57"/>
      <c r="KRG7" s="57"/>
      <c r="KRH7" s="57"/>
      <c r="KRI7" s="57"/>
      <c r="KRJ7" s="57"/>
      <c r="KRK7" s="57"/>
      <c r="KRL7" s="57"/>
      <c r="KRM7" s="57"/>
      <c r="KRN7" s="57"/>
      <c r="KRO7" s="57"/>
      <c r="KRP7" s="57"/>
      <c r="KRQ7" s="57"/>
      <c r="KRR7" s="57"/>
      <c r="KRS7" s="57"/>
      <c r="KRT7" s="57"/>
      <c r="KRU7" s="57"/>
      <c r="KRV7" s="57"/>
      <c r="KRW7" s="57"/>
      <c r="KRX7" s="57"/>
      <c r="KRY7" s="57"/>
      <c r="KRZ7" s="57"/>
      <c r="KSA7" s="57"/>
      <c r="KSB7" s="57"/>
      <c r="KSC7" s="57"/>
      <c r="KSD7" s="57"/>
      <c r="KSE7" s="57"/>
      <c r="KSF7" s="57"/>
      <c r="KSG7" s="57"/>
      <c r="KSH7" s="57"/>
      <c r="KSI7" s="57"/>
      <c r="KSJ7" s="57"/>
      <c r="KSK7" s="57"/>
      <c r="KSL7" s="57"/>
      <c r="KSM7" s="57"/>
      <c r="KSN7" s="57"/>
      <c r="KSO7" s="57"/>
      <c r="KSP7" s="57"/>
      <c r="KSQ7" s="57"/>
      <c r="KSR7" s="57"/>
      <c r="KSS7" s="57"/>
      <c r="KST7" s="57"/>
      <c r="KSU7" s="57"/>
      <c r="KSV7" s="57"/>
      <c r="KSW7" s="57"/>
      <c r="KSX7" s="57"/>
      <c r="KSY7" s="57"/>
      <c r="KSZ7" s="57"/>
      <c r="KTA7" s="57"/>
      <c r="KTB7" s="57"/>
      <c r="KTC7" s="57"/>
      <c r="KTD7" s="57"/>
      <c r="KTE7" s="57"/>
      <c r="KTF7" s="57"/>
      <c r="KTG7" s="57"/>
      <c r="KTH7" s="57"/>
      <c r="KTI7" s="57"/>
      <c r="KTJ7" s="57"/>
      <c r="KTK7" s="57"/>
      <c r="KTL7" s="57"/>
      <c r="KTM7" s="57"/>
      <c r="KTN7" s="57"/>
      <c r="KTO7" s="57"/>
      <c r="KTP7" s="57"/>
      <c r="KTQ7" s="57"/>
      <c r="KTR7" s="57"/>
      <c r="KTS7" s="57"/>
      <c r="KTT7" s="57"/>
      <c r="KTU7" s="57"/>
      <c r="KTV7" s="57"/>
      <c r="KTW7" s="57"/>
      <c r="KTX7" s="57"/>
      <c r="KTY7" s="57"/>
      <c r="KTZ7" s="57"/>
      <c r="KUA7" s="57"/>
      <c r="KUB7" s="57"/>
      <c r="KUC7" s="57"/>
      <c r="KUD7" s="57"/>
      <c r="KUE7" s="57"/>
      <c r="KUF7" s="57"/>
      <c r="KUG7" s="57"/>
      <c r="KUH7" s="57"/>
      <c r="KUI7" s="57"/>
      <c r="KUJ7" s="57"/>
      <c r="KUK7" s="57"/>
      <c r="KUL7" s="57"/>
      <c r="KUM7" s="57"/>
      <c r="KUN7" s="57"/>
      <c r="KUO7" s="57"/>
      <c r="KUP7" s="57"/>
      <c r="KUQ7" s="57"/>
      <c r="KUR7" s="57"/>
      <c r="KUS7" s="57"/>
      <c r="KUT7" s="57"/>
      <c r="KUU7" s="57"/>
      <c r="KUV7" s="57"/>
      <c r="KUW7" s="57"/>
      <c r="KUX7" s="57"/>
      <c r="KUY7" s="57"/>
      <c r="KUZ7" s="57"/>
      <c r="KVA7" s="57"/>
      <c r="KVB7" s="57"/>
      <c r="KVC7" s="57"/>
      <c r="KVD7" s="57"/>
      <c r="KVE7" s="57"/>
      <c r="KVF7" s="57"/>
      <c r="KVG7" s="57"/>
      <c r="KVH7" s="57"/>
      <c r="KVI7" s="57"/>
      <c r="KVJ7" s="57"/>
      <c r="KVK7" s="57"/>
      <c r="KVL7" s="57"/>
      <c r="KVM7" s="57"/>
      <c r="KVN7" s="57"/>
      <c r="KVO7" s="57"/>
      <c r="KVP7" s="57"/>
      <c r="KVQ7" s="57"/>
      <c r="KVR7" s="57"/>
      <c r="KVS7" s="57"/>
      <c r="KVT7" s="57"/>
      <c r="KVU7" s="57"/>
      <c r="KVV7" s="57"/>
      <c r="KVW7" s="57"/>
      <c r="KVX7" s="57"/>
      <c r="KVY7" s="57"/>
      <c r="KVZ7" s="57"/>
      <c r="KWA7" s="57"/>
      <c r="KWB7" s="57"/>
      <c r="KWC7" s="57"/>
      <c r="KWD7" s="57"/>
      <c r="KWE7" s="57"/>
      <c r="KWF7" s="57"/>
      <c r="KWG7" s="57"/>
      <c r="KWH7" s="57"/>
      <c r="KWI7" s="57"/>
      <c r="KWJ7" s="57"/>
      <c r="KWK7" s="57"/>
      <c r="KWL7" s="57"/>
      <c r="KWM7" s="57"/>
      <c r="KWN7" s="57"/>
      <c r="KWO7" s="57"/>
      <c r="KWP7" s="57"/>
      <c r="KWQ7" s="57"/>
      <c r="KWR7" s="57"/>
      <c r="KWS7" s="57"/>
      <c r="KWT7" s="57"/>
      <c r="KWU7" s="57"/>
      <c r="KWV7" s="57"/>
      <c r="KWW7" s="57"/>
      <c r="KWX7" s="57"/>
      <c r="KWY7" s="57"/>
      <c r="KWZ7" s="57"/>
      <c r="KXA7" s="57"/>
      <c r="KXB7" s="57"/>
      <c r="KXC7" s="57"/>
      <c r="KXD7" s="57"/>
      <c r="KXE7" s="57"/>
      <c r="KXF7" s="57"/>
      <c r="KXG7" s="57"/>
      <c r="KXH7" s="57"/>
      <c r="KXI7" s="57"/>
      <c r="KXJ7" s="57"/>
      <c r="KXK7" s="57"/>
      <c r="KXL7" s="57"/>
      <c r="KXM7" s="57"/>
      <c r="KXN7" s="57"/>
      <c r="KXO7" s="57"/>
      <c r="KXP7" s="57"/>
      <c r="KXQ7" s="57"/>
      <c r="KXR7" s="57"/>
      <c r="KXS7" s="57"/>
      <c r="KXT7" s="57"/>
      <c r="KXU7" s="57"/>
      <c r="KXV7" s="57"/>
      <c r="KXW7" s="57"/>
      <c r="KXX7" s="57"/>
      <c r="KXY7" s="57"/>
      <c r="KXZ7" s="57"/>
      <c r="KYA7" s="57"/>
      <c r="KYB7" s="57"/>
      <c r="KYC7" s="57"/>
      <c r="KYD7" s="57"/>
      <c r="KYE7" s="57"/>
      <c r="KYF7" s="57"/>
      <c r="KYG7" s="57"/>
      <c r="KYH7" s="57"/>
      <c r="KYI7" s="57"/>
      <c r="KYJ7" s="57"/>
      <c r="KYK7" s="57"/>
      <c r="KYL7" s="57"/>
      <c r="KYM7" s="57"/>
      <c r="KYN7" s="57"/>
      <c r="KYO7" s="57"/>
      <c r="KYP7" s="57"/>
      <c r="KYQ7" s="57"/>
      <c r="KYR7" s="57"/>
      <c r="KYS7" s="57"/>
      <c r="KYT7" s="57"/>
      <c r="KYU7" s="57"/>
      <c r="KYV7" s="57"/>
      <c r="KYW7" s="57"/>
      <c r="KYX7" s="57"/>
      <c r="KYY7" s="57"/>
      <c r="KYZ7" s="57"/>
      <c r="KZA7" s="57"/>
      <c r="KZB7" s="57"/>
      <c r="KZC7" s="57"/>
      <c r="KZD7" s="57"/>
      <c r="KZE7" s="57"/>
      <c r="KZF7" s="57"/>
      <c r="KZG7" s="57"/>
      <c r="KZH7" s="57"/>
      <c r="KZI7" s="57"/>
      <c r="KZJ7" s="57"/>
      <c r="KZK7" s="57"/>
      <c r="KZL7" s="57"/>
      <c r="KZM7" s="57"/>
      <c r="KZN7" s="57"/>
      <c r="KZO7" s="57"/>
      <c r="KZP7" s="57"/>
      <c r="KZQ7" s="57"/>
      <c r="KZR7" s="57"/>
      <c r="KZS7" s="57"/>
      <c r="KZT7" s="57"/>
      <c r="KZU7" s="57"/>
      <c r="KZV7" s="57"/>
      <c r="KZW7" s="57"/>
      <c r="KZX7" s="57"/>
      <c r="KZY7" s="57"/>
      <c r="KZZ7" s="57"/>
      <c r="LAA7" s="57"/>
      <c r="LAB7" s="57"/>
      <c r="LAC7" s="57"/>
      <c r="LAD7" s="57"/>
      <c r="LAE7" s="57"/>
      <c r="LAF7" s="57"/>
      <c r="LAG7" s="57"/>
      <c r="LAH7" s="57"/>
      <c r="LAI7" s="57"/>
      <c r="LAJ7" s="57"/>
      <c r="LAK7" s="57"/>
      <c r="LAL7" s="57"/>
      <c r="LAM7" s="57"/>
      <c r="LAN7" s="57"/>
      <c r="LAO7" s="57"/>
      <c r="LAP7" s="57"/>
      <c r="LAQ7" s="57"/>
      <c r="LAR7" s="57"/>
      <c r="LAS7" s="57"/>
      <c r="LAT7" s="57"/>
      <c r="LAU7" s="57"/>
      <c r="LAV7" s="57"/>
      <c r="LAW7" s="57"/>
      <c r="LAX7" s="57"/>
      <c r="LAY7" s="57"/>
      <c r="LAZ7" s="57"/>
      <c r="LBA7" s="57"/>
      <c r="LBB7" s="57"/>
      <c r="LBC7" s="57"/>
      <c r="LBD7" s="57"/>
      <c r="LBE7" s="57"/>
      <c r="LBF7" s="57"/>
      <c r="LBG7" s="57"/>
      <c r="LBH7" s="57"/>
      <c r="LBI7" s="57"/>
      <c r="LBJ7" s="57"/>
      <c r="LBK7" s="57"/>
      <c r="LBL7" s="57"/>
      <c r="LBM7" s="57"/>
      <c r="LBN7" s="57"/>
      <c r="LBO7" s="57"/>
      <c r="LBP7" s="57"/>
      <c r="LBQ7" s="57"/>
      <c r="LBR7" s="57"/>
      <c r="LBS7" s="57"/>
      <c r="LBT7" s="57"/>
      <c r="LBU7" s="57"/>
      <c r="LBV7" s="57"/>
      <c r="LBW7" s="57"/>
      <c r="LBX7" s="57"/>
      <c r="LBY7" s="57"/>
      <c r="LBZ7" s="57"/>
      <c r="LCA7" s="57"/>
      <c r="LCB7" s="57"/>
      <c r="LCC7" s="57"/>
      <c r="LCD7" s="57"/>
      <c r="LCE7" s="57"/>
      <c r="LCF7" s="57"/>
      <c r="LCG7" s="57"/>
      <c r="LCH7" s="57"/>
      <c r="LCI7" s="57"/>
      <c r="LCJ7" s="57"/>
      <c r="LCK7" s="57"/>
      <c r="LCL7" s="57"/>
      <c r="LCM7" s="57"/>
      <c r="LCN7" s="57"/>
      <c r="LCO7" s="57"/>
      <c r="LCP7" s="57"/>
      <c r="LCQ7" s="57"/>
      <c r="LCR7" s="57"/>
      <c r="LCS7" s="57"/>
      <c r="LCT7" s="57"/>
      <c r="LCU7" s="57"/>
      <c r="LCV7" s="57"/>
      <c r="LCW7" s="57"/>
      <c r="LCX7" s="57"/>
      <c r="LCY7" s="57"/>
      <c r="LCZ7" s="57"/>
      <c r="LDA7" s="57"/>
      <c r="LDB7" s="57"/>
      <c r="LDC7" s="57"/>
      <c r="LDD7" s="57"/>
      <c r="LDE7" s="57"/>
      <c r="LDF7" s="57"/>
      <c r="LDG7" s="57"/>
      <c r="LDH7" s="57"/>
      <c r="LDI7" s="57"/>
      <c r="LDJ7" s="57"/>
      <c r="LDK7" s="57"/>
      <c r="LDL7" s="57"/>
      <c r="LDM7" s="57"/>
      <c r="LDN7" s="57"/>
      <c r="LDO7" s="57"/>
      <c r="LDP7" s="57"/>
      <c r="LDQ7" s="57"/>
      <c r="LDR7" s="57"/>
      <c r="LDS7" s="57"/>
      <c r="LDT7" s="57"/>
      <c r="LDU7" s="57"/>
      <c r="LDV7" s="57"/>
      <c r="LDW7" s="57"/>
      <c r="LDX7" s="57"/>
      <c r="LDY7" s="57"/>
      <c r="LDZ7" s="57"/>
      <c r="LEA7" s="57"/>
      <c r="LEB7" s="57"/>
      <c r="LEC7" s="57"/>
      <c r="LED7" s="57"/>
      <c r="LEE7" s="57"/>
      <c r="LEF7" s="57"/>
      <c r="LEG7" s="57"/>
      <c r="LEH7" s="57"/>
      <c r="LEI7" s="57"/>
      <c r="LEJ7" s="57"/>
      <c r="LEK7" s="57"/>
      <c r="LEL7" s="57"/>
      <c r="LEM7" s="57"/>
      <c r="LEN7" s="57"/>
      <c r="LEO7" s="57"/>
      <c r="LEP7" s="57"/>
      <c r="LEQ7" s="57"/>
      <c r="LER7" s="57"/>
      <c r="LES7" s="57"/>
      <c r="LET7" s="57"/>
      <c r="LEU7" s="57"/>
      <c r="LEV7" s="57"/>
      <c r="LEW7" s="57"/>
      <c r="LEX7" s="57"/>
      <c r="LEY7" s="57"/>
      <c r="LEZ7" s="57"/>
      <c r="LFA7" s="57"/>
      <c r="LFB7" s="57"/>
      <c r="LFC7" s="57"/>
      <c r="LFD7" s="57"/>
      <c r="LFE7" s="57"/>
      <c r="LFF7" s="57"/>
      <c r="LFG7" s="57"/>
      <c r="LFH7" s="57"/>
      <c r="LFI7" s="57"/>
      <c r="LFJ7" s="57"/>
      <c r="LFK7" s="57"/>
      <c r="LFL7" s="57"/>
      <c r="LFM7" s="57"/>
      <c r="LFN7" s="57"/>
      <c r="LFO7" s="57"/>
      <c r="LFP7" s="57"/>
      <c r="LFQ7" s="57"/>
      <c r="LFR7" s="57"/>
      <c r="LFS7" s="57"/>
      <c r="LFT7" s="57"/>
      <c r="LFU7" s="57"/>
      <c r="LFV7" s="57"/>
      <c r="LFW7" s="57"/>
      <c r="LFX7" s="57"/>
      <c r="LFY7" s="57"/>
      <c r="LFZ7" s="57"/>
      <c r="LGA7" s="57"/>
      <c r="LGB7" s="57"/>
      <c r="LGC7" s="57"/>
      <c r="LGD7" s="57"/>
      <c r="LGE7" s="57"/>
      <c r="LGF7" s="57"/>
      <c r="LGG7" s="57"/>
      <c r="LGH7" s="57"/>
      <c r="LGI7" s="57"/>
      <c r="LGJ7" s="57"/>
      <c r="LGK7" s="57"/>
      <c r="LGL7" s="57"/>
      <c r="LGM7" s="57"/>
      <c r="LGN7" s="57"/>
      <c r="LGO7" s="57"/>
      <c r="LGP7" s="57"/>
      <c r="LGQ7" s="57"/>
      <c r="LGR7" s="57"/>
      <c r="LGS7" s="57"/>
      <c r="LGT7" s="57"/>
      <c r="LGU7" s="57"/>
      <c r="LGV7" s="57"/>
      <c r="LGW7" s="57"/>
      <c r="LGX7" s="57"/>
      <c r="LGY7" s="57"/>
      <c r="LGZ7" s="57"/>
      <c r="LHA7" s="57"/>
      <c r="LHB7" s="57"/>
      <c r="LHC7" s="57"/>
      <c r="LHD7" s="57"/>
      <c r="LHE7" s="57"/>
      <c r="LHF7" s="57"/>
      <c r="LHG7" s="57"/>
      <c r="LHH7" s="57"/>
      <c r="LHI7" s="57"/>
      <c r="LHJ7" s="57"/>
      <c r="LHK7" s="57"/>
      <c r="LHL7" s="57"/>
      <c r="LHM7" s="57"/>
      <c r="LHN7" s="57"/>
      <c r="LHO7" s="57"/>
      <c r="LHP7" s="57"/>
      <c r="LHQ7" s="57"/>
      <c r="LHR7" s="57"/>
      <c r="LHS7" s="57"/>
      <c r="LHT7" s="57"/>
      <c r="LHU7" s="57"/>
      <c r="LHV7" s="57"/>
      <c r="LHW7" s="57"/>
      <c r="LHX7" s="57"/>
      <c r="LHY7" s="57"/>
      <c r="LHZ7" s="57"/>
      <c r="LIA7" s="57"/>
      <c r="LIB7" s="57"/>
      <c r="LIC7" s="57"/>
      <c r="LID7" s="57"/>
      <c r="LIE7" s="57"/>
      <c r="LIF7" s="57"/>
      <c r="LIG7" s="57"/>
      <c r="LIH7" s="57"/>
      <c r="LII7" s="57"/>
      <c r="LIJ7" s="57"/>
      <c r="LIK7" s="57"/>
      <c r="LIL7" s="57"/>
      <c r="LIM7" s="57"/>
      <c r="LIN7" s="57"/>
      <c r="LIO7" s="57"/>
      <c r="LIP7" s="57"/>
      <c r="LIQ7" s="57"/>
      <c r="LIR7" s="57"/>
      <c r="LIS7" s="57"/>
      <c r="LIT7" s="57"/>
      <c r="LIU7" s="57"/>
      <c r="LIV7" s="57"/>
      <c r="LIW7" s="57"/>
      <c r="LIX7" s="57"/>
      <c r="LIY7" s="57"/>
      <c r="LIZ7" s="57"/>
      <c r="LJA7" s="57"/>
      <c r="LJB7" s="57"/>
      <c r="LJC7" s="57"/>
      <c r="LJD7" s="57"/>
      <c r="LJE7" s="57"/>
      <c r="LJF7" s="57"/>
      <c r="LJG7" s="57"/>
      <c r="LJH7" s="57"/>
      <c r="LJI7" s="57"/>
      <c r="LJJ7" s="57"/>
      <c r="LJK7" s="57"/>
      <c r="LJL7" s="57"/>
      <c r="LJM7" s="57"/>
      <c r="LJN7" s="57"/>
      <c r="LJO7" s="57"/>
      <c r="LJP7" s="57"/>
      <c r="LJQ7" s="57"/>
      <c r="LJR7" s="57"/>
      <c r="LJS7" s="57"/>
      <c r="LJT7" s="57"/>
      <c r="LJU7" s="57"/>
      <c r="LJV7" s="57"/>
      <c r="LJW7" s="57"/>
      <c r="LJX7" s="57"/>
      <c r="LJY7" s="57"/>
      <c r="LJZ7" s="57"/>
      <c r="LKA7" s="57"/>
      <c r="LKB7" s="57"/>
      <c r="LKC7" s="57"/>
      <c r="LKD7" s="57"/>
      <c r="LKE7" s="57"/>
      <c r="LKF7" s="57"/>
      <c r="LKG7" s="57"/>
      <c r="LKH7" s="57"/>
      <c r="LKI7" s="57"/>
      <c r="LKJ7" s="57"/>
      <c r="LKK7" s="57"/>
      <c r="LKL7" s="57"/>
      <c r="LKM7" s="57"/>
      <c r="LKN7" s="57"/>
      <c r="LKO7" s="57"/>
      <c r="LKP7" s="57"/>
      <c r="LKQ7" s="57"/>
      <c r="LKR7" s="57"/>
      <c r="LKS7" s="57"/>
      <c r="LKT7" s="57"/>
      <c r="LKU7" s="57"/>
      <c r="LKV7" s="57"/>
      <c r="LKW7" s="57"/>
      <c r="LKX7" s="57"/>
      <c r="LKY7" s="57"/>
      <c r="LKZ7" s="57"/>
      <c r="LLA7" s="57"/>
      <c r="LLB7" s="57"/>
      <c r="LLC7" s="57"/>
      <c r="LLD7" s="57"/>
      <c r="LLE7" s="57"/>
      <c r="LLF7" s="57"/>
      <c r="LLG7" s="57"/>
      <c r="LLH7" s="57"/>
      <c r="LLI7" s="57"/>
      <c r="LLJ7" s="57"/>
      <c r="LLK7" s="57"/>
      <c r="LLL7" s="57"/>
      <c r="LLM7" s="57"/>
      <c r="LLN7" s="57"/>
      <c r="LLO7" s="57"/>
      <c r="LLP7" s="57"/>
      <c r="LLQ7" s="57"/>
      <c r="LLR7" s="57"/>
      <c r="LLS7" s="57"/>
      <c r="LLT7" s="57"/>
      <c r="LLU7" s="57"/>
      <c r="LLV7" s="57"/>
      <c r="LLW7" s="57"/>
      <c r="LLX7" s="57"/>
      <c r="LLY7" s="57"/>
      <c r="LLZ7" s="57"/>
      <c r="LMA7" s="57"/>
      <c r="LMB7" s="57"/>
      <c r="LMC7" s="57"/>
      <c r="LMD7" s="57"/>
      <c r="LME7" s="57"/>
      <c r="LMF7" s="57"/>
      <c r="LMG7" s="57"/>
      <c r="LMH7" s="57"/>
      <c r="LMI7" s="57"/>
      <c r="LMJ7" s="57"/>
      <c r="LMK7" s="57"/>
      <c r="LML7" s="57"/>
      <c r="LMM7" s="57"/>
      <c r="LMN7" s="57"/>
      <c r="LMO7" s="57"/>
      <c r="LMP7" s="57"/>
      <c r="LMQ7" s="57"/>
      <c r="LMR7" s="57"/>
      <c r="LMS7" s="57"/>
      <c r="LMT7" s="57"/>
      <c r="LMU7" s="57"/>
      <c r="LMV7" s="57"/>
      <c r="LMW7" s="57"/>
      <c r="LMX7" s="57"/>
      <c r="LMY7" s="57"/>
      <c r="LMZ7" s="57"/>
      <c r="LNA7" s="57"/>
      <c r="LNB7" s="57"/>
      <c r="LNC7" s="57"/>
      <c r="LND7" s="57"/>
      <c r="LNE7" s="57"/>
      <c r="LNF7" s="57"/>
      <c r="LNG7" s="57"/>
      <c r="LNH7" s="57"/>
      <c r="LNI7" s="57"/>
      <c r="LNJ7" s="57"/>
      <c r="LNK7" s="57"/>
      <c r="LNL7" s="57"/>
      <c r="LNM7" s="57"/>
      <c r="LNN7" s="57"/>
      <c r="LNO7" s="57"/>
      <c r="LNP7" s="57"/>
      <c r="LNQ7" s="57"/>
      <c r="LNR7" s="57"/>
      <c r="LNS7" s="57"/>
      <c r="LNT7" s="57"/>
      <c r="LNU7" s="57"/>
      <c r="LNV7" s="57"/>
      <c r="LNW7" s="57"/>
      <c r="LNX7" s="57"/>
      <c r="LNY7" s="57"/>
      <c r="LNZ7" s="57"/>
      <c r="LOA7" s="57"/>
      <c r="LOB7" s="57"/>
      <c r="LOC7" s="57"/>
      <c r="LOD7" s="57"/>
      <c r="LOE7" s="57"/>
      <c r="LOF7" s="57"/>
      <c r="LOG7" s="57"/>
      <c r="LOH7" s="57"/>
      <c r="LOI7" s="57"/>
      <c r="LOJ7" s="57"/>
      <c r="LOK7" s="57"/>
      <c r="LOL7" s="57"/>
      <c r="LOM7" s="57"/>
      <c r="LON7" s="57"/>
      <c r="LOO7" s="57"/>
      <c r="LOP7" s="57"/>
      <c r="LOQ7" s="57"/>
      <c r="LOR7" s="57"/>
      <c r="LOS7" s="57"/>
      <c r="LOT7" s="57"/>
      <c r="LOU7" s="57"/>
      <c r="LOV7" s="57"/>
      <c r="LOW7" s="57"/>
      <c r="LOX7" s="57"/>
      <c r="LOY7" s="57"/>
      <c r="LOZ7" s="57"/>
      <c r="LPA7" s="57"/>
      <c r="LPB7" s="57"/>
      <c r="LPC7" s="57"/>
      <c r="LPD7" s="57"/>
      <c r="LPE7" s="57"/>
      <c r="LPF7" s="57"/>
      <c r="LPG7" s="57"/>
      <c r="LPH7" s="57"/>
      <c r="LPI7" s="57"/>
      <c r="LPJ7" s="57"/>
      <c r="LPK7" s="57"/>
      <c r="LPL7" s="57"/>
      <c r="LPM7" s="57"/>
      <c r="LPN7" s="57"/>
      <c r="LPO7" s="57"/>
      <c r="LPP7" s="57"/>
      <c r="LPQ7" s="57"/>
      <c r="LPR7" s="57"/>
      <c r="LPS7" s="57"/>
      <c r="LPT7" s="57"/>
      <c r="LPU7" s="57"/>
      <c r="LPV7" s="57"/>
      <c r="LPW7" s="57"/>
      <c r="LPX7" s="57"/>
      <c r="LPY7" s="57"/>
      <c r="LPZ7" s="57"/>
      <c r="LQA7" s="57"/>
      <c r="LQB7" s="57"/>
      <c r="LQC7" s="57"/>
      <c r="LQD7" s="57"/>
      <c r="LQE7" s="57"/>
      <c r="LQF7" s="57"/>
      <c r="LQG7" s="57"/>
      <c r="LQH7" s="57"/>
      <c r="LQI7" s="57"/>
      <c r="LQJ7" s="57"/>
      <c r="LQK7" s="57"/>
      <c r="LQL7" s="57"/>
      <c r="LQM7" s="57"/>
      <c r="LQN7" s="57"/>
      <c r="LQO7" s="57"/>
      <c r="LQP7" s="57"/>
      <c r="LQQ7" s="57"/>
      <c r="LQR7" s="57"/>
      <c r="LQS7" s="57"/>
      <c r="LQT7" s="57"/>
      <c r="LQU7" s="57"/>
      <c r="LQV7" s="57"/>
      <c r="LQW7" s="57"/>
      <c r="LQX7" s="57"/>
      <c r="LQY7" s="57"/>
      <c r="LQZ7" s="57"/>
      <c r="LRA7" s="57"/>
      <c r="LRB7" s="57"/>
      <c r="LRC7" s="57"/>
      <c r="LRD7" s="57"/>
      <c r="LRE7" s="57"/>
      <c r="LRF7" s="57"/>
      <c r="LRG7" s="57"/>
      <c r="LRH7" s="57"/>
      <c r="LRI7" s="57"/>
      <c r="LRJ7" s="57"/>
      <c r="LRK7" s="57"/>
      <c r="LRL7" s="57"/>
      <c r="LRM7" s="57"/>
      <c r="LRN7" s="57"/>
      <c r="LRO7" s="57"/>
      <c r="LRP7" s="57"/>
      <c r="LRQ7" s="57"/>
      <c r="LRR7" s="57"/>
      <c r="LRS7" s="57"/>
      <c r="LRT7" s="57"/>
      <c r="LRU7" s="57"/>
      <c r="LRV7" s="57"/>
      <c r="LRW7" s="57"/>
      <c r="LRX7" s="57"/>
      <c r="LRY7" s="57"/>
      <c r="LRZ7" s="57"/>
      <c r="LSA7" s="57"/>
      <c r="LSB7" s="57"/>
      <c r="LSC7" s="57"/>
      <c r="LSD7" s="57"/>
      <c r="LSE7" s="57"/>
      <c r="LSF7" s="57"/>
      <c r="LSG7" s="57"/>
      <c r="LSH7" s="57"/>
      <c r="LSI7" s="57"/>
      <c r="LSJ7" s="57"/>
      <c r="LSK7" s="57"/>
      <c r="LSL7" s="57"/>
      <c r="LSM7" s="57"/>
      <c r="LSN7" s="57"/>
      <c r="LSO7" s="57"/>
      <c r="LSP7" s="57"/>
      <c r="LSQ7" s="57"/>
      <c r="LSR7" s="57"/>
      <c r="LSS7" s="57"/>
      <c r="LST7" s="57"/>
      <c r="LSU7" s="57"/>
      <c r="LSV7" s="57"/>
      <c r="LSW7" s="57"/>
      <c r="LSX7" s="57"/>
      <c r="LSY7" s="57"/>
      <c r="LSZ7" s="57"/>
      <c r="LTA7" s="57"/>
      <c r="LTB7" s="57"/>
      <c r="LTC7" s="57"/>
      <c r="LTD7" s="57"/>
      <c r="LTE7" s="57"/>
      <c r="LTF7" s="57"/>
      <c r="LTG7" s="57"/>
      <c r="LTH7" s="57"/>
      <c r="LTI7" s="57"/>
      <c r="LTJ7" s="57"/>
      <c r="LTK7" s="57"/>
      <c r="LTL7" s="57"/>
      <c r="LTM7" s="57"/>
      <c r="LTN7" s="57"/>
      <c r="LTO7" s="57"/>
      <c r="LTP7" s="57"/>
      <c r="LTQ7" s="57"/>
      <c r="LTR7" s="57"/>
      <c r="LTS7" s="57"/>
      <c r="LTT7" s="57"/>
      <c r="LTU7" s="57"/>
      <c r="LTV7" s="57"/>
      <c r="LTW7" s="57"/>
      <c r="LTX7" s="57"/>
      <c r="LTY7" s="57"/>
      <c r="LTZ7" s="57"/>
      <c r="LUA7" s="57"/>
      <c r="LUB7" s="57"/>
      <c r="LUC7" s="57"/>
      <c r="LUD7" s="57"/>
      <c r="LUE7" s="57"/>
      <c r="LUF7" s="57"/>
      <c r="LUG7" s="57"/>
      <c r="LUH7" s="57"/>
      <c r="LUI7" s="57"/>
      <c r="LUJ7" s="57"/>
      <c r="LUK7" s="57"/>
      <c r="LUL7" s="57"/>
      <c r="LUM7" s="57"/>
      <c r="LUN7" s="57"/>
      <c r="LUO7" s="57"/>
      <c r="LUP7" s="57"/>
      <c r="LUQ7" s="57"/>
      <c r="LUR7" s="57"/>
      <c r="LUS7" s="57"/>
      <c r="LUT7" s="57"/>
      <c r="LUU7" s="57"/>
      <c r="LUV7" s="57"/>
      <c r="LUW7" s="57"/>
      <c r="LUX7" s="57"/>
      <c r="LUY7" s="57"/>
      <c r="LUZ7" s="57"/>
      <c r="LVA7" s="57"/>
      <c r="LVB7" s="57"/>
      <c r="LVC7" s="57"/>
      <c r="LVD7" s="57"/>
      <c r="LVE7" s="57"/>
      <c r="LVF7" s="57"/>
      <c r="LVG7" s="57"/>
      <c r="LVH7" s="57"/>
      <c r="LVI7" s="57"/>
      <c r="LVJ7" s="57"/>
      <c r="LVK7" s="57"/>
      <c r="LVL7" s="57"/>
      <c r="LVM7" s="57"/>
      <c r="LVN7" s="57"/>
      <c r="LVO7" s="57"/>
      <c r="LVP7" s="57"/>
      <c r="LVQ7" s="57"/>
      <c r="LVR7" s="57"/>
      <c r="LVS7" s="57"/>
      <c r="LVT7" s="57"/>
      <c r="LVU7" s="57"/>
      <c r="LVV7" s="57"/>
      <c r="LVW7" s="57"/>
      <c r="LVX7" s="57"/>
      <c r="LVY7" s="57"/>
      <c r="LVZ7" s="57"/>
      <c r="LWA7" s="57"/>
      <c r="LWB7" s="57"/>
      <c r="LWC7" s="57"/>
      <c r="LWD7" s="57"/>
      <c r="LWE7" s="57"/>
      <c r="LWF7" s="57"/>
      <c r="LWG7" s="57"/>
      <c r="LWH7" s="57"/>
      <c r="LWI7" s="57"/>
      <c r="LWJ7" s="57"/>
      <c r="LWK7" s="57"/>
      <c r="LWL7" s="57"/>
      <c r="LWM7" s="57"/>
      <c r="LWN7" s="57"/>
      <c r="LWO7" s="57"/>
      <c r="LWP7" s="57"/>
      <c r="LWQ7" s="57"/>
      <c r="LWR7" s="57"/>
      <c r="LWS7" s="57"/>
      <c r="LWT7" s="57"/>
      <c r="LWU7" s="57"/>
      <c r="LWV7" s="57"/>
      <c r="LWW7" s="57"/>
      <c r="LWX7" s="57"/>
      <c r="LWY7" s="57"/>
      <c r="LWZ7" s="57"/>
      <c r="LXA7" s="57"/>
      <c r="LXB7" s="57"/>
      <c r="LXC7" s="57"/>
      <c r="LXD7" s="57"/>
      <c r="LXE7" s="57"/>
      <c r="LXF7" s="57"/>
      <c r="LXG7" s="57"/>
      <c r="LXH7" s="57"/>
      <c r="LXI7" s="57"/>
      <c r="LXJ7" s="57"/>
      <c r="LXK7" s="57"/>
      <c r="LXL7" s="57"/>
      <c r="LXM7" s="57"/>
      <c r="LXN7" s="57"/>
      <c r="LXO7" s="57"/>
      <c r="LXP7" s="57"/>
      <c r="LXQ7" s="57"/>
      <c r="LXR7" s="57"/>
      <c r="LXS7" s="57"/>
      <c r="LXT7" s="57"/>
      <c r="LXU7" s="57"/>
      <c r="LXV7" s="57"/>
      <c r="LXW7" s="57"/>
      <c r="LXX7" s="57"/>
      <c r="LXY7" s="57"/>
      <c r="LXZ7" s="57"/>
      <c r="LYA7" s="57"/>
      <c r="LYB7" s="57"/>
      <c r="LYC7" s="57"/>
      <c r="LYD7" s="57"/>
      <c r="LYE7" s="57"/>
      <c r="LYF7" s="57"/>
      <c r="LYG7" s="57"/>
      <c r="LYH7" s="57"/>
      <c r="LYI7" s="57"/>
      <c r="LYJ7" s="57"/>
      <c r="LYK7" s="57"/>
      <c r="LYL7" s="57"/>
      <c r="LYM7" s="57"/>
      <c r="LYN7" s="57"/>
      <c r="LYO7" s="57"/>
      <c r="LYP7" s="57"/>
      <c r="LYQ7" s="57"/>
      <c r="LYR7" s="57"/>
      <c r="LYS7" s="57"/>
      <c r="LYT7" s="57"/>
      <c r="LYU7" s="57"/>
      <c r="LYV7" s="57"/>
      <c r="LYW7" s="57"/>
      <c r="LYX7" s="57"/>
      <c r="LYY7" s="57"/>
      <c r="LYZ7" s="57"/>
      <c r="LZA7" s="57"/>
      <c r="LZB7" s="57"/>
      <c r="LZC7" s="57"/>
      <c r="LZD7" s="57"/>
      <c r="LZE7" s="57"/>
      <c r="LZF7" s="57"/>
      <c r="LZG7" s="57"/>
      <c r="LZH7" s="57"/>
      <c r="LZI7" s="57"/>
      <c r="LZJ7" s="57"/>
      <c r="LZK7" s="57"/>
      <c r="LZL7" s="57"/>
      <c r="LZM7" s="57"/>
      <c r="LZN7" s="57"/>
      <c r="LZO7" s="57"/>
      <c r="LZP7" s="57"/>
      <c r="LZQ7" s="57"/>
      <c r="LZR7" s="57"/>
      <c r="LZS7" s="57"/>
      <c r="LZT7" s="57"/>
      <c r="LZU7" s="57"/>
      <c r="LZV7" s="57"/>
      <c r="LZW7" s="57"/>
      <c r="LZX7" s="57"/>
      <c r="LZY7" s="57"/>
      <c r="LZZ7" s="57"/>
      <c r="MAA7" s="57"/>
      <c r="MAB7" s="57"/>
      <c r="MAC7" s="57"/>
      <c r="MAD7" s="57"/>
      <c r="MAE7" s="57"/>
      <c r="MAF7" s="57"/>
      <c r="MAG7" s="57"/>
      <c r="MAH7" s="57"/>
      <c r="MAI7" s="57"/>
      <c r="MAJ7" s="57"/>
      <c r="MAK7" s="57"/>
      <c r="MAL7" s="57"/>
      <c r="MAM7" s="57"/>
      <c r="MAN7" s="57"/>
      <c r="MAO7" s="57"/>
      <c r="MAP7" s="57"/>
      <c r="MAQ7" s="57"/>
      <c r="MAR7" s="57"/>
      <c r="MAS7" s="57"/>
      <c r="MAT7" s="57"/>
      <c r="MAU7" s="57"/>
      <c r="MAV7" s="57"/>
      <c r="MAW7" s="57"/>
      <c r="MAX7" s="57"/>
      <c r="MAY7" s="57"/>
      <c r="MAZ7" s="57"/>
      <c r="MBA7" s="57"/>
      <c r="MBB7" s="57"/>
      <c r="MBC7" s="57"/>
      <c r="MBD7" s="57"/>
      <c r="MBE7" s="57"/>
      <c r="MBF7" s="57"/>
      <c r="MBG7" s="57"/>
      <c r="MBH7" s="57"/>
      <c r="MBI7" s="57"/>
      <c r="MBJ7" s="57"/>
      <c r="MBK7" s="57"/>
      <c r="MBL7" s="57"/>
      <c r="MBM7" s="57"/>
      <c r="MBN7" s="57"/>
      <c r="MBO7" s="57"/>
      <c r="MBP7" s="57"/>
      <c r="MBQ7" s="57"/>
      <c r="MBR7" s="57"/>
      <c r="MBS7" s="57"/>
      <c r="MBT7" s="57"/>
      <c r="MBU7" s="57"/>
      <c r="MBV7" s="57"/>
      <c r="MBW7" s="57"/>
      <c r="MBX7" s="57"/>
      <c r="MBY7" s="57"/>
      <c r="MBZ7" s="57"/>
      <c r="MCA7" s="57"/>
      <c r="MCB7" s="57"/>
      <c r="MCC7" s="57"/>
      <c r="MCD7" s="57"/>
      <c r="MCE7" s="57"/>
      <c r="MCF7" s="57"/>
      <c r="MCG7" s="57"/>
      <c r="MCH7" s="57"/>
      <c r="MCI7" s="57"/>
      <c r="MCJ7" s="57"/>
      <c r="MCK7" s="57"/>
      <c r="MCL7" s="57"/>
      <c r="MCM7" s="57"/>
      <c r="MCN7" s="57"/>
      <c r="MCO7" s="57"/>
      <c r="MCP7" s="57"/>
      <c r="MCQ7" s="57"/>
      <c r="MCR7" s="57"/>
      <c r="MCS7" s="57"/>
      <c r="MCT7" s="57"/>
      <c r="MCU7" s="57"/>
      <c r="MCV7" s="57"/>
      <c r="MCW7" s="57"/>
      <c r="MCX7" s="57"/>
      <c r="MCY7" s="57"/>
      <c r="MCZ7" s="57"/>
      <c r="MDA7" s="57"/>
      <c r="MDB7" s="57"/>
      <c r="MDC7" s="57"/>
      <c r="MDD7" s="57"/>
      <c r="MDE7" s="57"/>
      <c r="MDF7" s="57"/>
      <c r="MDG7" s="57"/>
      <c r="MDH7" s="57"/>
      <c r="MDI7" s="57"/>
      <c r="MDJ7" s="57"/>
      <c r="MDK7" s="57"/>
      <c r="MDL7" s="57"/>
      <c r="MDM7" s="57"/>
      <c r="MDN7" s="57"/>
      <c r="MDO7" s="57"/>
      <c r="MDP7" s="57"/>
      <c r="MDQ7" s="57"/>
      <c r="MDR7" s="57"/>
      <c r="MDS7" s="57"/>
      <c r="MDT7" s="57"/>
      <c r="MDU7" s="57"/>
      <c r="MDV7" s="57"/>
      <c r="MDW7" s="57"/>
      <c r="MDX7" s="57"/>
      <c r="MDY7" s="57"/>
      <c r="MDZ7" s="57"/>
      <c r="MEA7" s="57"/>
      <c r="MEB7" s="57"/>
      <c r="MEC7" s="57"/>
      <c r="MED7" s="57"/>
      <c r="MEE7" s="57"/>
      <c r="MEF7" s="57"/>
      <c r="MEG7" s="57"/>
      <c r="MEH7" s="57"/>
      <c r="MEI7" s="57"/>
      <c r="MEJ7" s="57"/>
      <c r="MEK7" s="57"/>
      <c r="MEL7" s="57"/>
      <c r="MEM7" s="57"/>
      <c r="MEN7" s="57"/>
      <c r="MEO7" s="57"/>
      <c r="MEP7" s="57"/>
      <c r="MEQ7" s="57"/>
      <c r="MER7" s="57"/>
      <c r="MES7" s="57"/>
      <c r="MET7" s="57"/>
      <c r="MEU7" s="57"/>
      <c r="MEV7" s="57"/>
      <c r="MEW7" s="57"/>
      <c r="MEX7" s="57"/>
      <c r="MEY7" s="57"/>
      <c r="MEZ7" s="57"/>
      <c r="MFA7" s="57"/>
      <c r="MFB7" s="57"/>
      <c r="MFC7" s="57"/>
      <c r="MFD7" s="57"/>
      <c r="MFE7" s="57"/>
      <c r="MFF7" s="57"/>
      <c r="MFG7" s="57"/>
      <c r="MFH7" s="57"/>
      <c r="MFI7" s="57"/>
      <c r="MFJ7" s="57"/>
      <c r="MFK7" s="57"/>
      <c r="MFL7" s="57"/>
      <c r="MFM7" s="57"/>
      <c r="MFN7" s="57"/>
      <c r="MFO7" s="57"/>
      <c r="MFP7" s="57"/>
      <c r="MFQ7" s="57"/>
      <c r="MFR7" s="57"/>
      <c r="MFS7" s="57"/>
      <c r="MFT7" s="57"/>
      <c r="MFU7" s="57"/>
      <c r="MFV7" s="57"/>
      <c r="MFW7" s="57"/>
      <c r="MFX7" s="57"/>
      <c r="MFY7" s="57"/>
      <c r="MFZ7" s="57"/>
      <c r="MGA7" s="57"/>
      <c r="MGB7" s="57"/>
      <c r="MGC7" s="57"/>
      <c r="MGD7" s="57"/>
      <c r="MGE7" s="57"/>
      <c r="MGF7" s="57"/>
      <c r="MGG7" s="57"/>
      <c r="MGH7" s="57"/>
      <c r="MGI7" s="57"/>
      <c r="MGJ7" s="57"/>
      <c r="MGK7" s="57"/>
      <c r="MGL7" s="57"/>
      <c r="MGM7" s="57"/>
      <c r="MGN7" s="57"/>
      <c r="MGO7" s="57"/>
      <c r="MGP7" s="57"/>
      <c r="MGQ7" s="57"/>
      <c r="MGR7" s="57"/>
      <c r="MGS7" s="57"/>
      <c r="MGT7" s="57"/>
      <c r="MGU7" s="57"/>
      <c r="MGV7" s="57"/>
      <c r="MGW7" s="57"/>
      <c r="MGX7" s="57"/>
      <c r="MGY7" s="57"/>
      <c r="MGZ7" s="57"/>
      <c r="MHA7" s="57"/>
      <c r="MHB7" s="57"/>
      <c r="MHC7" s="57"/>
      <c r="MHD7" s="57"/>
      <c r="MHE7" s="57"/>
      <c r="MHF7" s="57"/>
      <c r="MHG7" s="57"/>
      <c r="MHH7" s="57"/>
      <c r="MHI7" s="57"/>
      <c r="MHJ7" s="57"/>
      <c r="MHK7" s="57"/>
      <c r="MHL7" s="57"/>
      <c r="MHM7" s="57"/>
      <c r="MHN7" s="57"/>
      <c r="MHO7" s="57"/>
      <c r="MHP7" s="57"/>
      <c r="MHQ7" s="57"/>
      <c r="MHR7" s="57"/>
      <c r="MHS7" s="57"/>
      <c r="MHT7" s="57"/>
      <c r="MHU7" s="57"/>
      <c r="MHV7" s="57"/>
      <c r="MHW7" s="57"/>
      <c r="MHX7" s="57"/>
      <c r="MHY7" s="57"/>
      <c r="MHZ7" s="57"/>
      <c r="MIA7" s="57"/>
      <c r="MIB7" s="57"/>
      <c r="MIC7" s="57"/>
      <c r="MID7" s="57"/>
      <c r="MIE7" s="57"/>
      <c r="MIF7" s="57"/>
      <c r="MIG7" s="57"/>
      <c r="MIH7" s="57"/>
      <c r="MII7" s="57"/>
      <c r="MIJ7" s="57"/>
      <c r="MIK7" s="57"/>
      <c r="MIL7" s="57"/>
      <c r="MIM7" s="57"/>
      <c r="MIN7" s="57"/>
      <c r="MIO7" s="57"/>
      <c r="MIP7" s="57"/>
      <c r="MIQ7" s="57"/>
      <c r="MIR7" s="57"/>
      <c r="MIS7" s="57"/>
      <c r="MIT7" s="57"/>
      <c r="MIU7" s="57"/>
      <c r="MIV7" s="57"/>
      <c r="MIW7" s="57"/>
      <c r="MIX7" s="57"/>
      <c r="MIY7" s="57"/>
      <c r="MIZ7" s="57"/>
      <c r="MJA7" s="57"/>
      <c r="MJB7" s="57"/>
      <c r="MJC7" s="57"/>
      <c r="MJD7" s="57"/>
      <c r="MJE7" s="57"/>
      <c r="MJF7" s="57"/>
      <c r="MJG7" s="57"/>
      <c r="MJH7" s="57"/>
      <c r="MJI7" s="57"/>
      <c r="MJJ7" s="57"/>
      <c r="MJK7" s="57"/>
      <c r="MJL7" s="57"/>
      <c r="MJM7" s="57"/>
      <c r="MJN7" s="57"/>
      <c r="MJO7" s="57"/>
      <c r="MJP7" s="57"/>
      <c r="MJQ7" s="57"/>
      <c r="MJR7" s="57"/>
      <c r="MJS7" s="57"/>
      <c r="MJT7" s="57"/>
      <c r="MJU7" s="57"/>
      <c r="MJV7" s="57"/>
      <c r="MJW7" s="57"/>
      <c r="MJX7" s="57"/>
      <c r="MJY7" s="57"/>
      <c r="MJZ7" s="57"/>
      <c r="MKA7" s="57"/>
      <c r="MKB7" s="57"/>
      <c r="MKC7" s="57"/>
      <c r="MKD7" s="57"/>
      <c r="MKE7" s="57"/>
      <c r="MKF7" s="57"/>
      <c r="MKG7" s="57"/>
      <c r="MKH7" s="57"/>
      <c r="MKI7" s="57"/>
      <c r="MKJ7" s="57"/>
      <c r="MKK7" s="57"/>
      <c r="MKL7" s="57"/>
      <c r="MKM7" s="57"/>
      <c r="MKN7" s="57"/>
      <c r="MKO7" s="57"/>
      <c r="MKP7" s="57"/>
      <c r="MKQ7" s="57"/>
      <c r="MKR7" s="57"/>
      <c r="MKS7" s="57"/>
      <c r="MKT7" s="57"/>
      <c r="MKU7" s="57"/>
      <c r="MKV7" s="57"/>
      <c r="MKW7" s="57"/>
      <c r="MKX7" s="57"/>
      <c r="MKY7" s="57"/>
      <c r="MKZ7" s="57"/>
      <c r="MLA7" s="57"/>
      <c r="MLB7" s="57"/>
      <c r="MLC7" s="57"/>
      <c r="MLD7" s="57"/>
      <c r="MLE7" s="57"/>
      <c r="MLF7" s="57"/>
      <c r="MLG7" s="57"/>
      <c r="MLH7" s="57"/>
      <c r="MLI7" s="57"/>
      <c r="MLJ7" s="57"/>
      <c r="MLK7" s="57"/>
      <c r="MLL7" s="57"/>
      <c r="MLM7" s="57"/>
      <c r="MLN7" s="57"/>
      <c r="MLO7" s="57"/>
      <c r="MLP7" s="57"/>
      <c r="MLQ7" s="57"/>
      <c r="MLR7" s="57"/>
      <c r="MLS7" s="57"/>
      <c r="MLT7" s="57"/>
      <c r="MLU7" s="57"/>
      <c r="MLV7" s="57"/>
      <c r="MLW7" s="57"/>
      <c r="MLX7" s="57"/>
      <c r="MLY7" s="57"/>
      <c r="MLZ7" s="57"/>
      <c r="MMA7" s="57"/>
      <c r="MMB7" s="57"/>
      <c r="MMC7" s="57"/>
      <c r="MMD7" s="57"/>
      <c r="MME7" s="57"/>
      <c r="MMF7" s="57"/>
      <c r="MMG7" s="57"/>
      <c r="MMH7" s="57"/>
      <c r="MMI7" s="57"/>
      <c r="MMJ7" s="57"/>
      <c r="MMK7" s="57"/>
      <c r="MML7" s="57"/>
      <c r="MMM7" s="57"/>
      <c r="MMN7" s="57"/>
      <c r="MMO7" s="57"/>
      <c r="MMP7" s="57"/>
      <c r="MMQ7" s="57"/>
      <c r="MMR7" s="57"/>
      <c r="MMS7" s="57"/>
      <c r="MMT7" s="57"/>
      <c r="MMU7" s="57"/>
      <c r="MMV7" s="57"/>
      <c r="MMW7" s="57"/>
      <c r="MMX7" s="57"/>
      <c r="MMY7" s="57"/>
      <c r="MMZ7" s="57"/>
      <c r="MNA7" s="57"/>
      <c r="MNB7" s="57"/>
      <c r="MNC7" s="57"/>
      <c r="MND7" s="57"/>
      <c r="MNE7" s="57"/>
      <c r="MNF7" s="57"/>
      <c r="MNG7" s="57"/>
      <c r="MNH7" s="57"/>
      <c r="MNI7" s="57"/>
      <c r="MNJ7" s="57"/>
      <c r="MNK7" s="57"/>
      <c r="MNL7" s="57"/>
      <c r="MNM7" s="57"/>
      <c r="MNN7" s="57"/>
      <c r="MNO7" s="57"/>
      <c r="MNP7" s="57"/>
      <c r="MNQ7" s="57"/>
      <c r="MNR7" s="57"/>
      <c r="MNS7" s="57"/>
      <c r="MNT7" s="57"/>
      <c r="MNU7" s="57"/>
      <c r="MNV7" s="57"/>
      <c r="MNW7" s="57"/>
      <c r="MNX7" s="57"/>
      <c r="MNY7" s="57"/>
      <c r="MNZ7" s="57"/>
      <c r="MOA7" s="57"/>
      <c r="MOB7" s="57"/>
      <c r="MOC7" s="57"/>
      <c r="MOD7" s="57"/>
      <c r="MOE7" s="57"/>
      <c r="MOF7" s="57"/>
      <c r="MOG7" s="57"/>
      <c r="MOH7" s="57"/>
      <c r="MOI7" s="57"/>
      <c r="MOJ7" s="57"/>
      <c r="MOK7" s="57"/>
      <c r="MOL7" s="57"/>
      <c r="MOM7" s="57"/>
      <c r="MON7" s="57"/>
      <c r="MOO7" s="57"/>
      <c r="MOP7" s="57"/>
      <c r="MOQ7" s="57"/>
      <c r="MOR7" s="57"/>
      <c r="MOS7" s="57"/>
      <c r="MOT7" s="57"/>
      <c r="MOU7" s="57"/>
      <c r="MOV7" s="57"/>
      <c r="MOW7" s="57"/>
      <c r="MOX7" s="57"/>
      <c r="MOY7" s="57"/>
      <c r="MOZ7" s="57"/>
      <c r="MPA7" s="57"/>
      <c r="MPB7" s="57"/>
      <c r="MPC7" s="57"/>
      <c r="MPD7" s="57"/>
      <c r="MPE7" s="57"/>
      <c r="MPF7" s="57"/>
      <c r="MPG7" s="57"/>
      <c r="MPH7" s="57"/>
      <c r="MPI7" s="57"/>
      <c r="MPJ7" s="57"/>
      <c r="MPK7" s="57"/>
      <c r="MPL7" s="57"/>
      <c r="MPM7" s="57"/>
      <c r="MPN7" s="57"/>
      <c r="MPO7" s="57"/>
      <c r="MPP7" s="57"/>
      <c r="MPQ7" s="57"/>
      <c r="MPR7" s="57"/>
      <c r="MPS7" s="57"/>
      <c r="MPT7" s="57"/>
      <c r="MPU7" s="57"/>
      <c r="MPV7" s="57"/>
      <c r="MPW7" s="57"/>
      <c r="MPX7" s="57"/>
      <c r="MPY7" s="57"/>
      <c r="MPZ7" s="57"/>
      <c r="MQA7" s="57"/>
      <c r="MQB7" s="57"/>
      <c r="MQC7" s="57"/>
      <c r="MQD7" s="57"/>
      <c r="MQE7" s="57"/>
      <c r="MQF7" s="57"/>
      <c r="MQG7" s="57"/>
      <c r="MQH7" s="57"/>
      <c r="MQI7" s="57"/>
      <c r="MQJ7" s="57"/>
      <c r="MQK7" s="57"/>
      <c r="MQL7" s="57"/>
      <c r="MQM7" s="57"/>
      <c r="MQN7" s="57"/>
      <c r="MQO7" s="57"/>
      <c r="MQP7" s="57"/>
      <c r="MQQ7" s="57"/>
      <c r="MQR7" s="57"/>
      <c r="MQS7" s="57"/>
      <c r="MQT7" s="57"/>
      <c r="MQU7" s="57"/>
      <c r="MQV7" s="57"/>
      <c r="MQW7" s="57"/>
      <c r="MQX7" s="57"/>
      <c r="MQY7" s="57"/>
      <c r="MQZ7" s="57"/>
      <c r="MRA7" s="57"/>
      <c r="MRB7" s="57"/>
      <c r="MRC7" s="57"/>
      <c r="MRD7" s="57"/>
      <c r="MRE7" s="57"/>
      <c r="MRF7" s="57"/>
      <c r="MRG7" s="57"/>
      <c r="MRH7" s="57"/>
      <c r="MRI7" s="57"/>
      <c r="MRJ7" s="57"/>
      <c r="MRK7" s="57"/>
      <c r="MRL7" s="57"/>
      <c r="MRM7" s="57"/>
      <c r="MRN7" s="57"/>
      <c r="MRO7" s="57"/>
      <c r="MRP7" s="57"/>
      <c r="MRQ7" s="57"/>
      <c r="MRR7" s="57"/>
      <c r="MRS7" s="57"/>
      <c r="MRT7" s="57"/>
      <c r="MRU7" s="57"/>
      <c r="MRV7" s="57"/>
      <c r="MRW7" s="57"/>
      <c r="MRX7" s="57"/>
      <c r="MRY7" s="57"/>
      <c r="MRZ7" s="57"/>
      <c r="MSA7" s="57"/>
      <c r="MSB7" s="57"/>
      <c r="MSC7" s="57"/>
      <c r="MSD7" s="57"/>
      <c r="MSE7" s="57"/>
      <c r="MSF7" s="57"/>
      <c r="MSG7" s="57"/>
      <c r="MSH7" s="57"/>
      <c r="MSI7" s="57"/>
      <c r="MSJ7" s="57"/>
      <c r="MSK7" s="57"/>
      <c r="MSL7" s="57"/>
      <c r="MSM7" s="57"/>
      <c r="MSN7" s="57"/>
      <c r="MSO7" s="57"/>
      <c r="MSP7" s="57"/>
      <c r="MSQ7" s="57"/>
      <c r="MSR7" s="57"/>
      <c r="MSS7" s="57"/>
      <c r="MST7" s="57"/>
      <c r="MSU7" s="57"/>
      <c r="MSV7" s="57"/>
      <c r="MSW7" s="57"/>
      <c r="MSX7" s="57"/>
      <c r="MSY7" s="57"/>
      <c r="MSZ7" s="57"/>
      <c r="MTA7" s="57"/>
      <c r="MTB7" s="57"/>
      <c r="MTC7" s="57"/>
      <c r="MTD7" s="57"/>
      <c r="MTE7" s="57"/>
      <c r="MTF7" s="57"/>
      <c r="MTG7" s="57"/>
      <c r="MTH7" s="57"/>
      <c r="MTI7" s="57"/>
      <c r="MTJ7" s="57"/>
      <c r="MTK7" s="57"/>
      <c r="MTL7" s="57"/>
      <c r="MTM7" s="57"/>
      <c r="MTN7" s="57"/>
      <c r="MTO7" s="57"/>
      <c r="MTP7" s="57"/>
      <c r="MTQ7" s="57"/>
      <c r="MTR7" s="57"/>
      <c r="MTS7" s="57"/>
      <c r="MTT7" s="57"/>
      <c r="MTU7" s="57"/>
      <c r="MTV7" s="57"/>
      <c r="MTW7" s="57"/>
      <c r="MTX7" s="57"/>
      <c r="MTY7" s="57"/>
      <c r="MTZ7" s="57"/>
      <c r="MUA7" s="57"/>
      <c r="MUB7" s="57"/>
      <c r="MUC7" s="57"/>
      <c r="MUD7" s="57"/>
      <c r="MUE7" s="57"/>
      <c r="MUF7" s="57"/>
      <c r="MUG7" s="57"/>
      <c r="MUH7" s="57"/>
      <c r="MUI7" s="57"/>
      <c r="MUJ7" s="57"/>
      <c r="MUK7" s="57"/>
      <c r="MUL7" s="57"/>
      <c r="MUM7" s="57"/>
      <c r="MUN7" s="57"/>
      <c r="MUO7" s="57"/>
      <c r="MUP7" s="57"/>
      <c r="MUQ7" s="57"/>
      <c r="MUR7" s="57"/>
      <c r="MUS7" s="57"/>
      <c r="MUT7" s="57"/>
      <c r="MUU7" s="57"/>
      <c r="MUV7" s="57"/>
      <c r="MUW7" s="57"/>
      <c r="MUX7" s="57"/>
      <c r="MUY7" s="57"/>
      <c r="MUZ7" s="57"/>
      <c r="MVA7" s="57"/>
      <c r="MVB7" s="57"/>
      <c r="MVC7" s="57"/>
      <c r="MVD7" s="57"/>
      <c r="MVE7" s="57"/>
      <c r="MVF7" s="57"/>
      <c r="MVG7" s="57"/>
      <c r="MVH7" s="57"/>
      <c r="MVI7" s="57"/>
      <c r="MVJ7" s="57"/>
      <c r="MVK7" s="57"/>
      <c r="MVL7" s="57"/>
      <c r="MVM7" s="57"/>
      <c r="MVN7" s="57"/>
      <c r="MVO7" s="57"/>
      <c r="MVP7" s="57"/>
      <c r="MVQ7" s="57"/>
      <c r="MVR7" s="57"/>
      <c r="MVS7" s="57"/>
      <c r="MVT7" s="57"/>
      <c r="MVU7" s="57"/>
      <c r="MVV7" s="57"/>
      <c r="MVW7" s="57"/>
      <c r="MVX7" s="57"/>
      <c r="MVY7" s="57"/>
      <c r="MVZ7" s="57"/>
      <c r="MWA7" s="57"/>
      <c r="MWB7" s="57"/>
      <c r="MWC7" s="57"/>
      <c r="MWD7" s="57"/>
      <c r="MWE7" s="57"/>
      <c r="MWF7" s="57"/>
      <c r="MWG7" s="57"/>
      <c r="MWH7" s="57"/>
      <c r="MWI7" s="57"/>
      <c r="MWJ7" s="57"/>
      <c r="MWK7" s="57"/>
      <c r="MWL7" s="57"/>
      <c r="MWM7" s="57"/>
      <c r="MWN7" s="57"/>
      <c r="MWO7" s="57"/>
      <c r="MWP7" s="57"/>
      <c r="MWQ7" s="57"/>
      <c r="MWR7" s="57"/>
      <c r="MWS7" s="57"/>
      <c r="MWT7" s="57"/>
      <c r="MWU7" s="57"/>
      <c r="MWV7" s="57"/>
      <c r="MWW7" s="57"/>
      <c r="MWX7" s="57"/>
      <c r="MWY7" s="57"/>
      <c r="MWZ7" s="57"/>
      <c r="MXA7" s="57"/>
      <c r="MXB7" s="57"/>
      <c r="MXC7" s="57"/>
      <c r="MXD7" s="57"/>
      <c r="MXE7" s="57"/>
      <c r="MXF7" s="57"/>
      <c r="MXG7" s="57"/>
      <c r="MXH7" s="57"/>
      <c r="MXI7" s="57"/>
      <c r="MXJ7" s="57"/>
      <c r="MXK7" s="57"/>
      <c r="MXL7" s="57"/>
      <c r="MXM7" s="57"/>
      <c r="MXN7" s="57"/>
      <c r="MXO7" s="57"/>
      <c r="MXP7" s="57"/>
      <c r="MXQ7" s="57"/>
      <c r="MXR7" s="57"/>
      <c r="MXS7" s="57"/>
      <c r="MXT7" s="57"/>
      <c r="MXU7" s="57"/>
      <c r="MXV7" s="57"/>
      <c r="MXW7" s="57"/>
      <c r="MXX7" s="57"/>
      <c r="MXY7" s="57"/>
      <c r="MXZ7" s="57"/>
      <c r="MYA7" s="57"/>
      <c r="MYB7" s="57"/>
      <c r="MYC7" s="57"/>
      <c r="MYD7" s="57"/>
      <c r="MYE7" s="57"/>
      <c r="MYF7" s="57"/>
      <c r="MYG7" s="57"/>
      <c r="MYH7" s="57"/>
      <c r="MYI7" s="57"/>
      <c r="MYJ7" s="57"/>
      <c r="MYK7" s="57"/>
      <c r="MYL7" s="57"/>
      <c r="MYM7" s="57"/>
      <c r="MYN7" s="57"/>
      <c r="MYO7" s="57"/>
      <c r="MYP7" s="57"/>
      <c r="MYQ7" s="57"/>
      <c r="MYR7" s="57"/>
      <c r="MYS7" s="57"/>
      <c r="MYT7" s="57"/>
      <c r="MYU7" s="57"/>
      <c r="MYV7" s="57"/>
      <c r="MYW7" s="57"/>
      <c r="MYX7" s="57"/>
      <c r="MYY7" s="57"/>
      <c r="MYZ7" s="57"/>
      <c r="MZA7" s="57"/>
      <c r="MZB7" s="57"/>
      <c r="MZC7" s="57"/>
      <c r="MZD7" s="57"/>
      <c r="MZE7" s="57"/>
      <c r="MZF7" s="57"/>
      <c r="MZG7" s="57"/>
      <c r="MZH7" s="57"/>
      <c r="MZI7" s="57"/>
      <c r="MZJ7" s="57"/>
      <c r="MZK7" s="57"/>
      <c r="MZL7" s="57"/>
      <c r="MZM7" s="57"/>
      <c r="MZN7" s="57"/>
      <c r="MZO7" s="57"/>
      <c r="MZP7" s="57"/>
      <c r="MZQ7" s="57"/>
      <c r="MZR7" s="57"/>
      <c r="MZS7" s="57"/>
      <c r="MZT7" s="57"/>
      <c r="MZU7" s="57"/>
      <c r="MZV7" s="57"/>
      <c r="MZW7" s="57"/>
      <c r="MZX7" s="57"/>
      <c r="MZY7" s="57"/>
      <c r="MZZ7" s="57"/>
      <c r="NAA7" s="57"/>
      <c r="NAB7" s="57"/>
      <c r="NAC7" s="57"/>
      <c r="NAD7" s="57"/>
      <c r="NAE7" s="57"/>
      <c r="NAF7" s="57"/>
      <c r="NAG7" s="57"/>
      <c r="NAH7" s="57"/>
      <c r="NAI7" s="57"/>
      <c r="NAJ7" s="57"/>
      <c r="NAK7" s="57"/>
      <c r="NAL7" s="57"/>
      <c r="NAM7" s="57"/>
      <c r="NAN7" s="57"/>
      <c r="NAO7" s="57"/>
      <c r="NAP7" s="57"/>
      <c r="NAQ7" s="57"/>
      <c r="NAR7" s="57"/>
      <c r="NAS7" s="57"/>
      <c r="NAT7" s="57"/>
      <c r="NAU7" s="57"/>
      <c r="NAV7" s="57"/>
      <c r="NAW7" s="57"/>
      <c r="NAX7" s="57"/>
      <c r="NAY7" s="57"/>
      <c r="NAZ7" s="57"/>
      <c r="NBA7" s="57"/>
      <c r="NBB7" s="57"/>
      <c r="NBC7" s="57"/>
      <c r="NBD7" s="57"/>
      <c r="NBE7" s="57"/>
      <c r="NBF7" s="57"/>
      <c r="NBG7" s="57"/>
      <c r="NBH7" s="57"/>
      <c r="NBI7" s="57"/>
      <c r="NBJ7" s="57"/>
      <c r="NBK7" s="57"/>
      <c r="NBL7" s="57"/>
      <c r="NBM7" s="57"/>
      <c r="NBN7" s="57"/>
      <c r="NBO7" s="57"/>
      <c r="NBP7" s="57"/>
      <c r="NBQ7" s="57"/>
      <c r="NBR7" s="57"/>
      <c r="NBS7" s="57"/>
      <c r="NBT7" s="57"/>
      <c r="NBU7" s="57"/>
      <c r="NBV7" s="57"/>
      <c r="NBW7" s="57"/>
      <c r="NBX7" s="57"/>
      <c r="NBY7" s="57"/>
      <c r="NBZ7" s="57"/>
      <c r="NCA7" s="57"/>
      <c r="NCB7" s="57"/>
      <c r="NCC7" s="57"/>
      <c r="NCD7" s="57"/>
      <c r="NCE7" s="57"/>
      <c r="NCF7" s="57"/>
      <c r="NCG7" s="57"/>
      <c r="NCH7" s="57"/>
      <c r="NCI7" s="57"/>
      <c r="NCJ7" s="57"/>
      <c r="NCK7" s="57"/>
      <c r="NCL7" s="57"/>
      <c r="NCM7" s="57"/>
      <c r="NCN7" s="57"/>
      <c r="NCO7" s="57"/>
      <c r="NCP7" s="57"/>
      <c r="NCQ7" s="57"/>
      <c r="NCR7" s="57"/>
      <c r="NCS7" s="57"/>
      <c r="NCT7" s="57"/>
      <c r="NCU7" s="57"/>
      <c r="NCV7" s="57"/>
      <c r="NCW7" s="57"/>
      <c r="NCX7" s="57"/>
      <c r="NCY7" s="57"/>
      <c r="NCZ7" s="57"/>
      <c r="NDA7" s="57"/>
      <c r="NDB7" s="57"/>
      <c r="NDC7" s="57"/>
      <c r="NDD7" s="57"/>
      <c r="NDE7" s="57"/>
      <c r="NDF7" s="57"/>
      <c r="NDG7" s="57"/>
      <c r="NDH7" s="57"/>
      <c r="NDI7" s="57"/>
      <c r="NDJ7" s="57"/>
      <c r="NDK7" s="57"/>
      <c r="NDL7" s="57"/>
      <c r="NDM7" s="57"/>
      <c r="NDN7" s="57"/>
      <c r="NDO7" s="57"/>
      <c r="NDP7" s="57"/>
      <c r="NDQ7" s="57"/>
      <c r="NDR7" s="57"/>
      <c r="NDS7" s="57"/>
      <c r="NDT7" s="57"/>
      <c r="NDU7" s="57"/>
      <c r="NDV7" s="57"/>
      <c r="NDW7" s="57"/>
      <c r="NDX7" s="57"/>
      <c r="NDY7" s="57"/>
      <c r="NDZ7" s="57"/>
      <c r="NEA7" s="57"/>
      <c r="NEB7" s="57"/>
      <c r="NEC7" s="57"/>
      <c r="NED7" s="57"/>
      <c r="NEE7" s="57"/>
      <c r="NEF7" s="57"/>
      <c r="NEG7" s="57"/>
      <c r="NEH7" s="57"/>
      <c r="NEI7" s="57"/>
      <c r="NEJ7" s="57"/>
      <c r="NEK7" s="57"/>
      <c r="NEL7" s="57"/>
      <c r="NEM7" s="57"/>
      <c r="NEN7" s="57"/>
      <c r="NEO7" s="57"/>
      <c r="NEP7" s="57"/>
      <c r="NEQ7" s="57"/>
      <c r="NER7" s="57"/>
      <c r="NES7" s="57"/>
      <c r="NET7" s="57"/>
      <c r="NEU7" s="57"/>
      <c r="NEV7" s="57"/>
      <c r="NEW7" s="57"/>
      <c r="NEX7" s="57"/>
      <c r="NEY7" s="57"/>
      <c r="NEZ7" s="57"/>
      <c r="NFA7" s="57"/>
      <c r="NFB7" s="57"/>
      <c r="NFC7" s="57"/>
      <c r="NFD7" s="57"/>
      <c r="NFE7" s="57"/>
      <c r="NFF7" s="57"/>
      <c r="NFG7" s="57"/>
      <c r="NFH7" s="57"/>
      <c r="NFI7" s="57"/>
      <c r="NFJ7" s="57"/>
      <c r="NFK7" s="57"/>
      <c r="NFL7" s="57"/>
      <c r="NFM7" s="57"/>
      <c r="NFN7" s="57"/>
      <c r="NFO7" s="57"/>
      <c r="NFP7" s="57"/>
      <c r="NFQ7" s="57"/>
      <c r="NFR7" s="57"/>
      <c r="NFS7" s="57"/>
      <c r="NFT7" s="57"/>
      <c r="NFU7" s="57"/>
      <c r="NFV7" s="57"/>
      <c r="NFW7" s="57"/>
      <c r="NFX7" s="57"/>
      <c r="NFY7" s="57"/>
      <c r="NFZ7" s="57"/>
      <c r="NGA7" s="57"/>
      <c r="NGB7" s="57"/>
      <c r="NGC7" s="57"/>
      <c r="NGD7" s="57"/>
      <c r="NGE7" s="57"/>
      <c r="NGF7" s="57"/>
      <c r="NGG7" s="57"/>
      <c r="NGH7" s="57"/>
      <c r="NGI7" s="57"/>
      <c r="NGJ7" s="57"/>
      <c r="NGK7" s="57"/>
      <c r="NGL7" s="57"/>
      <c r="NGM7" s="57"/>
      <c r="NGN7" s="57"/>
      <c r="NGO7" s="57"/>
      <c r="NGP7" s="57"/>
      <c r="NGQ7" s="57"/>
      <c r="NGR7" s="57"/>
      <c r="NGS7" s="57"/>
      <c r="NGT7" s="57"/>
      <c r="NGU7" s="57"/>
      <c r="NGV7" s="57"/>
      <c r="NGW7" s="57"/>
      <c r="NGX7" s="57"/>
      <c r="NGY7" s="57"/>
      <c r="NGZ7" s="57"/>
      <c r="NHA7" s="57"/>
      <c r="NHB7" s="57"/>
      <c r="NHC7" s="57"/>
      <c r="NHD7" s="57"/>
      <c r="NHE7" s="57"/>
      <c r="NHF7" s="57"/>
      <c r="NHG7" s="57"/>
      <c r="NHH7" s="57"/>
      <c r="NHI7" s="57"/>
      <c r="NHJ7" s="57"/>
      <c r="NHK7" s="57"/>
      <c r="NHL7" s="57"/>
      <c r="NHM7" s="57"/>
      <c r="NHN7" s="57"/>
      <c r="NHO7" s="57"/>
      <c r="NHP7" s="57"/>
      <c r="NHQ7" s="57"/>
      <c r="NHR7" s="57"/>
      <c r="NHS7" s="57"/>
      <c r="NHT7" s="57"/>
      <c r="NHU7" s="57"/>
      <c r="NHV7" s="57"/>
      <c r="NHW7" s="57"/>
      <c r="NHX7" s="57"/>
      <c r="NHY7" s="57"/>
      <c r="NHZ7" s="57"/>
      <c r="NIA7" s="57"/>
      <c r="NIB7" s="57"/>
      <c r="NIC7" s="57"/>
      <c r="NID7" s="57"/>
      <c r="NIE7" s="57"/>
      <c r="NIF7" s="57"/>
      <c r="NIG7" s="57"/>
      <c r="NIH7" s="57"/>
      <c r="NII7" s="57"/>
      <c r="NIJ7" s="57"/>
      <c r="NIK7" s="57"/>
      <c r="NIL7" s="57"/>
      <c r="NIM7" s="57"/>
      <c r="NIN7" s="57"/>
      <c r="NIO7" s="57"/>
      <c r="NIP7" s="57"/>
      <c r="NIQ7" s="57"/>
      <c r="NIR7" s="57"/>
      <c r="NIS7" s="57"/>
      <c r="NIT7" s="57"/>
      <c r="NIU7" s="57"/>
      <c r="NIV7" s="57"/>
      <c r="NIW7" s="57"/>
      <c r="NIX7" s="57"/>
      <c r="NIY7" s="57"/>
      <c r="NIZ7" s="57"/>
      <c r="NJA7" s="57"/>
      <c r="NJB7" s="57"/>
      <c r="NJC7" s="57"/>
      <c r="NJD7" s="57"/>
      <c r="NJE7" s="57"/>
      <c r="NJF7" s="57"/>
      <c r="NJG7" s="57"/>
      <c r="NJH7" s="57"/>
      <c r="NJI7" s="57"/>
      <c r="NJJ7" s="57"/>
      <c r="NJK7" s="57"/>
      <c r="NJL7" s="57"/>
      <c r="NJM7" s="57"/>
      <c r="NJN7" s="57"/>
      <c r="NJO7" s="57"/>
      <c r="NJP7" s="57"/>
      <c r="NJQ7" s="57"/>
      <c r="NJR7" s="57"/>
      <c r="NJS7" s="57"/>
      <c r="NJT7" s="57"/>
      <c r="NJU7" s="57"/>
      <c r="NJV7" s="57"/>
      <c r="NJW7" s="57"/>
      <c r="NJX7" s="57"/>
      <c r="NJY7" s="57"/>
      <c r="NJZ7" s="57"/>
      <c r="NKA7" s="57"/>
      <c r="NKB7" s="57"/>
      <c r="NKC7" s="57"/>
      <c r="NKD7" s="57"/>
      <c r="NKE7" s="57"/>
      <c r="NKF7" s="57"/>
      <c r="NKG7" s="57"/>
      <c r="NKH7" s="57"/>
      <c r="NKI7" s="57"/>
      <c r="NKJ7" s="57"/>
      <c r="NKK7" s="57"/>
      <c r="NKL7" s="57"/>
      <c r="NKM7" s="57"/>
      <c r="NKN7" s="57"/>
      <c r="NKO7" s="57"/>
      <c r="NKP7" s="57"/>
      <c r="NKQ7" s="57"/>
      <c r="NKR7" s="57"/>
      <c r="NKS7" s="57"/>
      <c r="NKT7" s="57"/>
      <c r="NKU7" s="57"/>
      <c r="NKV7" s="57"/>
      <c r="NKW7" s="57"/>
      <c r="NKX7" s="57"/>
      <c r="NKY7" s="57"/>
      <c r="NKZ7" s="57"/>
      <c r="NLA7" s="57"/>
      <c r="NLB7" s="57"/>
      <c r="NLC7" s="57"/>
      <c r="NLD7" s="57"/>
      <c r="NLE7" s="57"/>
      <c r="NLF7" s="57"/>
      <c r="NLG7" s="57"/>
      <c r="NLH7" s="57"/>
      <c r="NLI7" s="57"/>
      <c r="NLJ7" s="57"/>
      <c r="NLK7" s="57"/>
      <c r="NLL7" s="57"/>
      <c r="NLM7" s="57"/>
      <c r="NLN7" s="57"/>
      <c r="NLO7" s="57"/>
      <c r="NLP7" s="57"/>
      <c r="NLQ7" s="57"/>
      <c r="NLR7" s="57"/>
      <c r="NLS7" s="57"/>
      <c r="NLT7" s="57"/>
      <c r="NLU7" s="57"/>
      <c r="NLV7" s="57"/>
      <c r="NLW7" s="57"/>
      <c r="NLX7" s="57"/>
      <c r="NLY7" s="57"/>
      <c r="NLZ7" s="57"/>
      <c r="NMA7" s="57"/>
      <c r="NMB7" s="57"/>
      <c r="NMC7" s="57"/>
      <c r="NMD7" s="57"/>
      <c r="NME7" s="57"/>
      <c r="NMF7" s="57"/>
      <c r="NMG7" s="57"/>
      <c r="NMH7" s="57"/>
      <c r="NMI7" s="57"/>
      <c r="NMJ7" s="57"/>
      <c r="NMK7" s="57"/>
      <c r="NML7" s="57"/>
      <c r="NMM7" s="57"/>
      <c r="NMN7" s="57"/>
      <c r="NMO7" s="57"/>
      <c r="NMP7" s="57"/>
      <c r="NMQ7" s="57"/>
      <c r="NMR7" s="57"/>
      <c r="NMS7" s="57"/>
      <c r="NMT7" s="57"/>
      <c r="NMU7" s="57"/>
      <c r="NMV7" s="57"/>
      <c r="NMW7" s="57"/>
      <c r="NMX7" s="57"/>
      <c r="NMY7" s="57"/>
      <c r="NMZ7" s="57"/>
      <c r="NNA7" s="57"/>
      <c r="NNB7" s="57"/>
      <c r="NNC7" s="57"/>
      <c r="NND7" s="57"/>
      <c r="NNE7" s="57"/>
      <c r="NNF7" s="57"/>
      <c r="NNG7" s="57"/>
      <c r="NNH7" s="57"/>
      <c r="NNI7" s="57"/>
      <c r="NNJ7" s="57"/>
      <c r="NNK7" s="57"/>
      <c r="NNL7" s="57"/>
      <c r="NNM7" s="57"/>
      <c r="NNN7" s="57"/>
      <c r="NNO7" s="57"/>
      <c r="NNP7" s="57"/>
      <c r="NNQ7" s="57"/>
      <c r="NNR7" s="57"/>
      <c r="NNS7" s="57"/>
      <c r="NNT7" s="57"/>
      <c r="NNU7" s="57"/>
      <c r="NNV7" s="57"/>
      <c r="NNW7" s="57"/>
      <c r="NNX7" s="57"/>
      <c r="NNY7" s="57"/>
      <c r="NNZ7" s="57"/>
      <c r="NOA7" s="57"/>
      <c r="NOB7" s="57"/>
      <c r="NOC7" s="57"/>
      <c r="NOD7" s="57"/>
      <c r="NOE7" s="57"/>
      <c r="NOF7" s="57"/>
      <c r="NOG7" s="57"/>
      <c r="NOH7" s="57"/>
      <c r="NOI7" s="57"/>
      <c r="NOJ7" s="57"/>
      <c r="NOK7" s="57"/>
      <c r="NOL7" s="57"/>
      <c r="NOM7" s="57"/>
      <c r="NON7" s="57"/>
      <c r="NOO7" s="57"/>
      <c r="NOP7" s="57"/>
      <c r="NOQ7" s="57"/>
      <c r="NOR7" s="57"/>
      <c r="NOS7" s="57"/>
      <c r="NOT7" s="57"/>
      <c r="NOU7" s="57"/>
      <c r="NOV7" s="57"/>
      <c r="NOW7" s="57"/>
      <c r="NOX7" s="57"/>
      <c r="NOY7" s="57"/>
      <c r="NOZ7" s="57"/>
      <c r="NPA7" s="57"/>
      <c r="NPB7" s="57"/>
      <c r="NPC7" s="57"/>
      <c r="NPD7" s="57"/>
      <c r="NPE7" s="57"/>
      <c r="NPF7" s="57"/>
      <c r="NPG7" s="57"/>
      <c r="NPH7" s="57"/>
      <c r="NPI7" s="57"/>
      <c r="NPJ7" s="57"/>
      <c r="NPK7" s="57"/>
      <c r="NPL7" s="57"/>
      <c r="NPM7" s="57"/>
      <c r="NPN7" s="57"/>
      <c r="NPO7" s="57"/>
      <c r="NPP7" s="57"/>
      <c r="NPQ7" s="57"/>
      <c r="NPR7" s="57"/>
      <c r="NPS7" s="57"/>
      <c r="NPT7" s="57"/>
      <c r="NPU7" s="57"/>
      <c r="NPV7" s="57"/>
      <c r="NPW7" s="57"/>
      <c r="NPX7" s="57"/>
      <c r="NPY7" s="57"/>
      <c r="NPZ7" s="57"/>
      <c r="NQA7" s="57"/>
      <c r="NQB7" s="57"/>
      <c r="NQC7" s="57"/>
      <c r="NQD7" s="57"/>
      <c r="NQE7" s="57"/>
      <c r="NQF7" s="57"/>
      <c r="NQG7" s="57"/>
      <c r="NQH7" s="57"/>
      <c r="NQI7" s="57"/>
      <c r="NQJ7" s="57"/>
      <c r="NQK7" s="57"/>
      <c r="NQL7" s="57"/>
      <c r="NQM7" s="57"/>
      <c r="NQN7" s="57"/>
      <c r="NQO7" s="57"/>
      <c r="NQP7" s="57"/>
      <c r="NQQ7" s="57"/>
      <c r="NQR7" s="57"/>
      <c r="NQS7" s="57"/>
      <c r="NQT7" s="57"/>
      <c r="NQU7" s="57"/>
      <c r="NQV7" s="57"/>
      <c r="NQW7" s="57"/>
      <c r="NQX7" s="57"/>
      <c r="NQY7" s="57"/>
      <c r="NQZ7" s="57"/>
      <c r="NRA7" s="57"/>
      <c r="NRB7" s="57"/>
      <c r="NRC7" s="57"/>
      <c r="NRD7" s="57"/>
      <c r="NRE7" s="57"/>
      <c r="NRF7" s="57"/>
      <c r="NRG7" s="57"/>
      <c r="NRH7" s="57"/>
      <c r="NRI7" s="57"/>
      <c r="NRJ7" s="57"/>
      <c r="NRK7" s="57"/>
      <c r="NRL7" s="57"/>
      <c r="NRM7" s="57"/>
      <c r="NRN7" s="57"/>
      <c r="NRO7" s="57"/>
      <c r="NRP7" s="57"/>
      <c r="NRQ7" s="57"/>
      <c r="NRR7" s="57"/>
      <c r="NRS7" s="57"/>
      <c r="NRT7" s="57"/>
      <c r="NRU7" s="57"/>
      <c r="NRV7" s="57"/>
      <c r="NRW7" s="57"/>
      <c r="NRX7" s="57"/>
      <c r="NRY7" s="57"/>
      <c r="NRZ7" s="57"/>
      <c r="NSA7" s="57"/>
      <c r="NSB7" s="57"/>
      <c r="NSC7" s="57"/>
      <c r="NSD7" s="57"/>
      <c r="NSE7" s="57"/>
      <c r="NSF7" s="57"/>
      <c r="NSG7" s="57"/>
      <c r="NSH7" s="57"/>
      <c r="NSI7" s="57"/>
      <c r="NSJ7" s="57"/>
      <c r="NSK7" s="57"/>
      <c r="NSL7" s="57"/>
      <c r="NSM7" s="57"/>
      <c r="NSN7" s="57"/>
      <c r="NSO7" s="57"/>
      <c r="NSP7" s="57"/>
      <c r="NSQ7" s="57"/>
      <c r="NSR7" s="57"/>
      <c r="NSS7" s="57"/>
      <c r="NST7" s="57"/>
      <c r="NSU7" s="57"/>
      <c r="NSV7" s="57"/>
      <c r="NSW7" s="57"/>
      <c r="NSX7" s="57"/>
      <c r="NSY7" s="57"/>
      <c r="NSZ7" s="57"/>
      <c r="NTA7" s="57"/>
      <c r="NTB7" s="57"/>
      <c r="NTC7" s="57"/>
      <c r="NTD7" s="57"/>
      <c r="NTE7" s="57"/>
      <c r="NTF7" s="57"/>
      <c r="NTG7" s="57"/>
      <c r="NTH7" s="57"/>
      <c r="NTI7" s="57"/>
      <c r="NTJ7" s="57"/>
      <c r="NTK7" s="57"/>
      <c r="NTL7" s="57"/>
      <c r="NTM7" s="57"/>
      <c r="NTN7" s="57"/>
      <c r="NTO7" s="57"/>
      <c r="NTP7" s="57"/>
      <c r="NTQ7" s="57"/>
      <c r="NTR7" s="57"/>
      <c r="NTS7" s="57"/>
      <c r="NTT7" s="57"/>
      <c r="NTU7" s="57"/>
      <c r="NTV7" s="57"/>
      <c r="NTW7" s="57"/>
      <c r="NTX7" s="57"/>
      <c r="NTY7" s="57"/>
      <c r="NTZ7" s="57"/>
      <c r="NUA7" s="57"/>
      <c r="NUB7" s="57"/>
      <c r="NUC7" s="57"/>
      <c r="NUD7" s="57"/>
      <c r="NUE7" s="57"/>
      <c r="NUF7" s="57"/>
      <c r="NUG7" s="57"/>
      <c r="NUH7" s="57"/>
      <c r="NUI7" s="57"/>
      <c r="NUJ7" s="57"/>
      <c r="NUK7" s="57"/>
      <c r="NUL7" s="57"/>
      <c r="NUM7" s="57"/>
      <c r="NUN7" s="57"/>
      <c r="NUO7" s="57"/>
      <c r="NUP7" s="57"/>
      <c r="NUQ7" s="57"/>
      <c r="NUR7" s="57"/>
      <c r="NUS7" s="57"/>
      <c r="NUT7" s="57"/>
      <c r="NUU7" s="57"/>
      <c r="NUV7" s="57"/>
      <c r="NUW7" s="57"/>
      <c r="NUX7" s="57"/>
      <c r="NUY7" s="57"/>
      <c r="NUZ7" s="57"/>
      <c r="NVA7" s="57"/>
      <c r="NVB7" s="57"/>
      <c r="NVC7" s="57"/>
      <c r="NVD7" s="57"/>
      <c r="NVE7" s="57"/>
      <c r="NVF7" s="57"/>
      <c r="NVG7" s="57"/>
      <c r="NVH7" s="57"/>
      <c r="NVI7" s="57"/>
      <c r="NVJ7" s="57"/>
      <c r="NVK7" s="57"/>
      <c r="NVL7" s="57"/>
      <c r="NVM7" s="57"/>
      <c r="NVN7" s="57"/>
      <c r="NVO7" s="57"/>
      <c r="NVP7" s="57"/>
      <c r="NVQ7" s="57"/>
      <c r="NVR7" s="57"/>
      <c r="NVS7" s="57"/>
      <c r="NVT7" s="57"/>
      <c r="NVU7" s="57"/>
      <c r="NVV7" s="57"/>
      <c r="NVW7" s="57"/>
      <c r="NVX7" s="57"/>
      <c r="NVY7" s="57"/>
      <c r="NVZ7" s="57"/>
      <c r="NWA7" s="57"/>
      <c r="NWB7" s="57"/>
      <c r="NWC7" s="57"/>
      <c r="NWD7" s="57"/>
      <c r="NWE7" s="57"/>
      <c r="NWF7" s="57"/>
      <c r="NWG7" s="57"/>
      <c r="NWH7" s="57"/>
      <c r="NWI7" s="57"/>
      <c r="NWJ7" s="57"/>
      <c r="NWK7" s="57"/>
      <c r="NWL7" s="57"/>
      <c r="NWM7" s="57"/>
      <c r="NWN7" s="57"/>
      <c r="NWO7" s="57"/>
      <c r="NWP7" s="57"/>
      <c r="NWQ7" s="57"/>
      <c r="NWR7" s="57"/>
      <c r="NWS7" s="57"/>
      <c r="NWT7" s="57"/>
      <c r="NWU7" s="57"/>
      <c r="NWV7" s="57"/>
      <c r="NWW7" s="57"/>
      <c r="NWX7" s="57"/>
      <c r="NWY7" s="57"/>
      <c r="NWZ7" s="57"/>
      <c r="NXA7" s="57"/>
      <c r="NXB7" s="57"/>
      <c r="NXC7" s="57"/>
      <c r="NXD7" s="57"/>
      <c r="NXE7" s="57"/>
      <c r="NXF7" s="57"/>
      <c r="NXG7" s="57"/>
      <c r="NXH7" s="57"/>
      <c r="NXI7" s="57"/>
      <c r="NXJ7" s="57"/>
      <c r="NXK7" s="57"/>
      <c r="NXL7" s="57"/>
      <c r="NXM7" s="57"/>
      <c r="NXN7" s="57"/>
      <c r="NXO7" s="57"/>
      <c r="NXP7" s="57"/>
      <c r="NXQ7" s="57"/>
      <c r="NXR7" s="57"/>
      <c r="NXS7" s="57"/>
      <c r="NXT7" s="57"/>
      <c r="NXU7" s="57"/>
      <c r="NXV7" s="57"/>
      <c r="NXW7" s="57"/>
      <c r="NXX7" s="57"/>
      <c r="NXY7" s="57"/>
      <c r="NXZ7" s="57"/>
      <c r="NYA7" s="57"/>
      <c r="NYB7" s="57"/>
      <c r="NYC7" s="57"/>
      <c r="NYD7" s="57"/>
      <c r="NYE7" s="57"/>
      <c r="NYF7" s="57"/>
      <c r="NYG7" s="57"/>
      <c r="NYH7" s="57"/>
      <c r="NYI7" s="57"/>
      <c r="NYJ7" s="57"/>
      <c r="NYK7" s="57"/>
      <c r="NYL7" s="57"/>
      <c r="NYM7" s="57"/>
      <c r="NYN7" s="57"/>
      <c r="NYO7" s="57"/>
      <c r="NYP7" s="57"/>
      <c r="NYQ7" s="57"/>
      <c r="NYR7" s="57"/>
      <c r="NYS7" s="57"/>
      <c r="NYT7" s="57"/>
      <c r="NYU7" s="57"/>
      <c r="NYV7" s="57"/>
      <c r="NYW7" s="57"/>
      <c r="NYX7" s="57"/>
      <c r="NYY7" s="57"/>
      <c r="NYZ7" s="57"/>
      <c r="NZA7" s="57"/>
      <c r="NZB7" s="57"/>
      <c r="NZC7" s="57"/>
      <c r="NZD7" s="57"/>
      <c r="NZE7" s="57"/>
      <c r="NZF7" s="57"/>
      <c r="NZG7" s="57"/>
      <c r="NZH7" s="57"/>
      <c r="NZI7" s="57"/>
      <c r="NZJ7" s="57"/>
      <c r="NZK7" s="57"/>
      <c r="NZL7" s="57"/>
      <c r="NZM7" s="57"/>
      <c r="NZN7" s="57"/>
      <c r="NZO7" s="57"/>
      <c r="NZP7" s="57"/>
      <c r="NZQ7" s="57"/>
      <c r="NZR7" s="57"/>
      <c r="NZS7" s="57"/>
      <c r="NZT7" s="57"/>
      <c r="NZU7" s="57"/>
      <c r="NZV7" s="57"/>
      <c r="NZW7" s="57"/>
      <c r="NZX7" s="57"/>
      <c r="NZY7" s="57"/>
      <c r="NZZ7" s="57"/>
      <c r="OAA7" s="57"/>
      <c r="OAB7" s="57"/>
      <c r="OAC7" s="57"/>
      <c r="OAD7" s="57"/>
      <c r="OAE7" s="57"/>
      <c r="OAF7" s="57"/>
      <c r="OAG7" s="57"/>
      <c r="OAH7" s="57"/>
      <c r="OAI7" s="57"/>
      <c r="OAJ7" s="57"/>
      <c r="OAK7" s="57"/>
      <c r="OAL7" s="57"/>
      <c r="OAM7" s="57"/>
      <c r="OAN7" s="57"/>
      <c r="OAO7" s="57"/>
      <c r="OAP7" s="57"/>
      <c r="OAQ7" s="57"/>
      <c r="OAR7" s="57"/>
      <c r="OAS7" s="57"/>
      <c r="OAT7" s="57"/>
      <c r="OAU7" s="57"/>
      <c r="OAV7" s="57"/>
      <c r="OAW7" s="57"/>
      <c r="OAX7" s="57"/>
      <c r="OAY7" s="57"/>
      <c r="OAZ7" s="57"/>
      <c r="OBA7" s="57"/>
      <c r="OBB7" s="57"/>
      <c r="OBC7" s="57"/>
      <c r="OBD7" s="57"/>
      <c r="OBE7" s="57"/>
      <c r="OBF7" s="57"/>
      <c r="OBG7" s="57"/>
      <c r="OBH7" s="57"/>
      <c r="OBI7" s="57"/>
      <c r="OBJ7" s="57"/>
      <c r="OBK7" s="57"/>
      <c r="OBL7" s="57"/>
      <c r="OBM7" s="57"/>
      <c r="OBN7" s="57"/>
      <c r="OBO7" s="57"/>
      <c r="OBP7" s="57"/>
      <c r="OBQ7" s="57"/>
      <c r="OBR7" s="57"/>
      <c r="OBS7" s="57"/>
      <c r="OBT7" s="57"/>
      <c r="OBU7" s="57"/>
      <c r="OBV7" s="57"/>
      <c r="OBW7" s="57"/>
      <c r="OBX7" s="57"/>
      <c r="OBY7" s="57"/>
      <c r="OBZ7" s="57"/>
      <c r="OCA7" s="57"/>
      <c r="OCB7" s="57"/>
      <c r="OCC7" s="57"/>
      <c r="OCD7" s="57"/>
      <c r="OCE7" s="57"/>
      <c r="OCF7" s="57"/>
      <c r="OCG7" s="57"/>
      <c r="OCH7" s="57"/>
      <c r="OCI7" s="57"/>
      <c r="OCJ7" s="57"/>
      <c r="OCK7" s="57"/>
      <c r="OCL7" s="57"/>
      <c r="OCM7" s="57"/>
      <c r="OCN7" s="57"/>
      <c r="OCO7" s="57"/>
      <c r="OCP7" s="57"/>
      <c r="OCQ7" s="57"/>
      <c r="OCR7" s="57"/>
      <c r="OCS7" s="57"/>
      <c r="OCT7" s="57"/>
      <c r="OCU7" s="57"/>
      <c r="OCV7" s="57"/>
      <c r="OCW7" s="57"/>
      <c r="OCX7" s="57"/>
      <c r="OCY7" s="57"/>
      <c r="OCZ7" s="57"/>
      <c r="ODA7" s="57"/>
      <c r="ODB7" s="57"/>
      <c r="ODC7" s="57"/>
      <c r="ODD7" s="57"/>
      <c r="ODE7" s="57"/>
      <c r="ODF7" s="57"/>
      <c r="ODG7" s="57"/>
      <c r="ODH7" s="57"/>
      <c r="ODI7" s="57"/>
      <c r="ODJ7" s="57"/>
      <c r="ODK7" s="57"/>
      <c r="ODL7" s="57"/>
      <c r="ODM7" s="57"/>
      <c r="ODN7" s="57"/>
      <c r="ODO7" s="57"/>
      <c r="ODP7" s="57"/>
      <c r="ODQ7" s="57"/>
      <c r="ODR7" s="57"/>
      <c r="ODS7" s="57"/>
      <c r="ODT7" s="57"/>
      <c r="ODU7" s="57"/>
      <c r="ODV7" s="57"/>
      <c r="ODW7" s="57"/>
      <c r="ODX7" s="57"/>
      <c r="ODY7" s="57"/>
      <c r="ODZ7" s="57"/>
      <c r="OEA7" s="57"/>
      <c r="OEB7" s="57"/>
      <c r="OEC7" s="57"/>
      <c r="OED7" s="57"/>
      <c r="OEE7" s="57"/>
      <c r="OEF7" s="57"/>
      <c r="OEG7" s="57"/>
      <c r="OEH7" s="57"/>
      <c r="OEI7" s="57"/>
      <c r="OEJ7" s="57"/>
      <c r="OEK7" s="57"/>
      <c r="OEL7" s="57"/>
      <c r="OEM7" s="57"/>
      <c r="OEN7" s="57"/>
      <c r="OEO7" s="57"/>
      <c r="OEP7" s="57"/>
      <c r="OEQ7" s="57"/>
      <c r="OER7" s="57"/>
      <c r="OES7" s="57"/>
      <c r="OET7" s="57"/>
      <c r="OEU7" s="57"/>
      <c r="OEV7" s="57"/>
      <c r="OEW7" s="57"/>
      <c r="OEX7" s="57"/>
      <c r="OEY7" s="57"/>
      <c r="OEZ7" s="57"/>
      <c r="OFA7" s="57"/>
      <c r="OFB7" s="57"/>
      <c r="OFC7" s="57"/>
      <c r="OFD7" s="57"/>
      <c r="OFE7" s="57"/>
      <c r="OFF7" s="57"/>
      <c r="OFG7" s="57"/>
      <c r="OFH7" s="57"/>
      <c r="OFI7" s="57"/>
      <c r="OFJ7" s="57"/>
      <c r="OFK7" s="57"/>
      <c r="OFL7" s="57"/>
      <c r="OFM7" s="57"/>
      <c r="OFN7" s="57"/>
      <c r="OFO7" s="57"/>
      <c r="OFP7" s="57"/>
      <c r="OFQ7" s="57"/>
      <c r="OFR7" s="57"/>
      <c r="OFS7" s="57"/>
      <c r="OFT7" s="57"/>
      <c r="OFU7" s="57"/>
      <c r="OFV7" s="57"/>
      <c r="OFW7" s="57"/>
      <c r="OFX7" s="57"/>
      <c r="OFY7" s="57"/>
      <c r="OFZ7" s="57"/>
      <c r="OGA7" s="57"/>
      <c r="OGB7" s="57"/>
      <c r="OGC7" s="57"/>
      <c r="OGD7" s="57"/>
      <c r="OGE7" s="57"/>
      <c r="OGF7" s="57"/>
      <c r="OGG7" s="57"/>
      <c r="OGH7" s="57"/>
      <c r="OGI7" s="57"/>
      <c r="OGJ7" s="57"/>
      <c r="OGK7" s="57"/>
      <c r="OGL7" s="57"/>
      <c r="OGM7" s="57"/>
      <c r="OGN7" s="57"/>
      <c r="OGO7" s="57"/>
      <c r="OGP7" s="57"/>
      <c r="OGQ7" s="57"/>
      <c r="OGR7" s="57"/>
      <c r="OGS7" s="57"/>
      <c r="OGT7" s="57"/>
      <c r="OGU7" s="57"/>
      <c r="OGV7" s="57"/>
      <c r="OGW7" s="57"/>
      <c r="OGX7" s="57"/>
      <c r="OGY7" s="57"/>
      <c r="OGZ7" s="57"/>
      <c r="OHA7" s="57"/>
      <c r="OHB7" s="57"/>
      <c r="OHC7" s="57"/>
      <c r="OHD7" s="57"/>
      <c r="OHE7" s="57"/>
      <c r="OHF7" s="57"/>
      <c r="OHG7" s="57"/>
      <c r="OHH7" s="57"/>
      <c r="OHI7" s="57"/>
      <c r="OHJ7" s="57"/>
      <c r="OHK7" s="57"/>
      <c r="OHL7" s="57"/>
      <c r="OHM7" s="57"/>
      <c r="OHN7" s="57"/>
      <c r="OHO7" s="57"/>
      <c r="OHP7" s="57"/>
      <c r="OHQ7" s="57"/>
      <c r="OHR7" s="57"/>
      <c r="OHS7" s="57"/>
      <c r="OHT7" s="57"/>
      <c r="OHU7" s="57"/>
      <c r="OHV7" s="57"/>
      <c r="OHW7" s="57"/>
      <c r="OHX7" s="57"/>
      <c r="OHY7" s="57"/>
      <c r="OHZ7" s="57"/>
      <c r="OIA7" s="57"/>
      <c r="OIB7" s="57"/>
      <c r="OIC7" s="57"/>
      <c r="OID7" s="57"/>
      <c r="OIE7" s="57"/>
      <c r="OIF7" s="57"/>
      <c r="OIG7" s="57"/>
      <c r="OIH7" s="57"/>
      <c r="OII7" s="57"/>
      <c r="OIJ7" s="57"/>
      <c r="OIK7" s="57"/>
      <c r="OIL7" s="57"/>
      <c r="OIM7" s="57"/>
      <c r="OIN7" s="57"/>
      <c r="OIO7" s="57"/>
      <c r="OIP7" s="57"/>
      <c r="OIQ7" s="57"/>
      <c r="OIR7" s="57"/>
      <c r="OIS7" s="57"/>
      <c r="OIT7" s="57"/>
      <c r="OIU7" s="57"/>
      <c r="OIV7" s="57"/>
      <c r="OIW7" s="57"/>
      <c r="OIX7" s="57"/>
      <c r="OIY7" s="57"/>
      <c r="OIZ7" s="57"/>
      <c r="OJA7" s="57"/>
      <c r="OJB7" s="57"/>
      <c r="OJC7" s="57"/>
      <c r="OJD7" s="57"/>
      <c r="OJE7" s="57"/>
      <c r="OJF7" s="57"/>
      <c r="OJG7" s="57"/>
      <c r="OJH7" s="57"/>
      <c r="OJI7" s="57"/>
      <c r="OJJ7" s="57"/>
      <c r="OJK7" s="57"/>
      <c r="OJL7" s="57"/>
      <c r="OJM7" s="57"/>
      <c r="OJN7" s="57"/>
      <c r="OJO7" s="57"/>
      <c r="OJP7" s="57"/>
      <c r="OJQ7" s="57"/>
      <c r="OJR7" s="57"/>
      <c r="OJS7" s="57"/>
      <c r="OJT7" s="57"/>
      <c r="OJU7" s="57"/>
      <c r="OJV7" s="57"/>
      <c r="OJW7" s="57"/>
      <c r="OJX7" s="57"/>
      <c r="OJY7" s="57"/>
      <c r="OJZ7" s="57"/>
      <c r="OKA7" s="57"/>
      <c r="OKB7" s="57"/>
      <c r="OKC7" s="57"/>
      <c r="OKD7" s="57"/>
      <c r="OKE7" s="57"/>
      <c r="OKF7" s="57"/>
      <c r="OKG7" s="57"/>
      <c r="OKH7" s="57"/>
      <c r="OKI7" s="57"/>
      <c r="OKJ7" s="57"/>
      <c r="OKK7" s="57"/>
      <c r="OKL7" s="57"/>
      <c r="OKM7" s="57"/>
      <c r="OKN7" s="57"/>
      <c r="OKO7" s="57"/>
      <c r="OKP7" s="57"/>
      <c r="OKQ7" s="57"/>
      <c r="OKR7" s="57"/>
      <c r="OKS7" s="57"/>
      <c r="OKT7" s="57"/>
      <c r="OKU7" s="57"/>
      <c r="OKV7" s="57"/>
      <c r="OKW7" s="57"/>
      <c r="OKX7" s="57"/>
      <c r="OKY7" s="57"/>
      <c r="OKZ7" s="57"/>
      <c r="OLA7" s="57"/>
      <c r="OLB7" s="57"/>
      <c r="OLC7" s="57"/>
      <c r="OLD7" s="57"/>
      <c r="OLE7" s="57"/>
      <c r="OLF7" s="57"/>
      <c r="OLG7" s="57"/>
      <c r="OLH7" s="57"/>
      <c r="OLI7" s="57"/>
      <c r="OLJ7" s="57"/>
      <c r="OLK7" s="57"/>
      <c r="OLL7" s="57"/>
      <c r="OLM7" s="57"/>
      <c r="OLN7" s="57"/>
      <c r="OLO7" s="57"/>
      <c r="OLP7" s="57"/>
      <c r="OLQ7" s="57"/>
      <c r="OLR7" s="57"/>
      <c r="OLS7" s="57"/>
      <c r="OLT7" s="57"/>
      <c r="OLU7" s="57"/>
      <c r="OLV7" s="57"/>
      <c r="OLW7" s="57"/>
      <c r="OLX7" s="57"/>
      <c r="OLY7" s="57"/>
      <c r="OLZ7" s="57"/>
      <c r="OMA7" s="57"/>
      <c r="OMB7" s="57"/>
      <c r="OMC7" s="57"/>
      <c r="OMD7" s="57"/>
      <c r="OME7" s="57"/>
      <c r="OMF7" s="57"/>
      <c r="OMG7" s="57"/>
      <c r="OMH7" s="57"/>
      <c r="OMI7" s="57"/>
      <c r="OMJ7" s="57"/>
      <c r="OMK7" s="57"/>
      <c r="OML7" s="57"/>
      <c r="OMM7" s="57"/>
      <c r="OMN7" s="57"/>
      <c r="OMO7" s="57"/>
      <c r="OMP7" s="57"/>
      <c r="OMQ7" s="57"/>
      <c r="OMR7" s="57"/>
      <c r="OMS7" s="57"/>
      <c r="OMT7" s="57"/>
      <c r="OMU7" s="57"/>
      <c r="OMV7" s="57"/>
      <c r="OMW7" s="57"/>
      <c r="OMX7" s="57"/>
      <c r="OMY7" s="57"/>
      <c r="OMZ7" s="57"/>
      <c r="ONA7" s="57"/>
      <c r="ONB7" s="57"/>
      <c r="ONC7" s="57"/>
      <c r="OND7" s="57"/>
      <c r="ONE7" s="57"/>
      <c r="ONF7" s="57"/>
      <c r="ONG7" s="57"/>
      <c r="ONH7" s="57"/>
      <c r="ONI7" s="57"/>
      <c r="ONJ7" s="57"/>
      <c r="ONK7" s="57"/>
      <c r="ONL7" s="57"/>
      <c r="ONM7" s="57"/>
      <c r="ONN7" s="57"/>
      <c r="ONO7" s="57"/>
      <c r="ONP7" s="57"/>
      <c r="ONQ7" s="57"/>
      <c r="ONR7" s="57"/>
      <c r="ONS7" s="57"/>
      <c r="ONT7" s="57"/>
      <c r="ONU7" s="57"/>
      <c r="ONV7" s="57"/>
      <c r="ONW7" s="57"/>
      <c r="ONX7" s="57"/>
      <c r="ONY7" s="57"/>
      <c r="ONZ7" s="57"/>
      <c r="OOA7" s="57"/>
      <c r="OOB7" s="57"/>
      <c r="OOC7" s="57"/>
      <c r="OOD7" s="57"/>
      <c r="OOE7" s="57"/>
      <c r="OOF7" s="57"/>
      <c r="OOG7" s="57"/>
      <c r="OOH7" s="57"/>
      <c r="OOI7" s="57"/>
      <c r="OOJ7" s="57"/>
      <c r="OOK7" s="57"/>
      <c r="OOL7" s="57"/>
      <c r="OOM7" s="57"/>
      <c r="OON7" s="57"/>
      <c r="OOO7" s="57"/>
      <c r="OOP7" s="57"/>
      <c r="OOQ7" s="57"/>
      <c r="OOR7" s="57"/>
      <c r="OOS7" s="57"/>
      <c r="OOT7" s="57"/>
      <c r="OOU7" s="57"/>
      <c r="OOV7" s="57"/>
      <c r="OOW7" s="57"/>
      <c r="OOX7" s="57"/>
      <c r="OOY7" s="57"/>
      <c r="OOZ7" s="57"/>
      <c r="OPA7" s="57"/>
      <c r="OPB7" s="57"/>
      <c r="OPC7" s="57"/>
      <c r="OPD7" s="57"/>
      <c r="OPE7" s="57"/>
      <c r="OPF7" s="57"/>
      <c r="OPG7" s="57"/>
      <c r="OPH7" s="57"/>
      <c r="OPI7" s="57"/>
      <c r="OPJ7" s="57"/>
      <c r="OPK7" s="57"/>
      <c r="OPL7" s="57"/>
      <c r="OPM7" s="57"/>
      <c r="OPN7" s="57"/>
      <c r="OPO7" s="57"/>
      <c r="OPP7" s="57"/>
      <c r="OPQ7" s="57"/>
      <c r="OPR7" s="57"/>
      <c r="OPS7" s="57"/>
      <c r="OPT7" s="57"/>
      <c r="OPU7" s="57"/>
      <c r="OPV7" s="57"/>
      <c r="OPW7" s="57"/>
      <c r="OPX7" s="57"/>
      <c r="OPY7" s="57"/>
      <c r="OPZ7" s="57"/>
      <c r="OQA7" s="57"/>
      <c r="OQB7" s="57"/>
      <c r="OQC7" s="57"/>
      <c r="OQD7" s="57"/>
      <c r="OQE7" s="57"/>
      <c r="OQF7" s="57"/>
      <c r="OQG7" s="57"/>
      <c r="OQH7" s="57"/>
      <c r="OQI7" s="57"/>
      <c r="OQJ7" s="57"/>
      <c r="OQK7" s="57"/>
      <c r="OQL7" s="57"/>
      <c r="OQM7" s="57"/>
      <c r="OQN7" s="57"/>
      <c r="OQO7" s="57"/>
      <c r="OQP7" s="57"/>
      <c r="OQQ7" s="57"/>
      <c r="OQR7" s="57"/>
      <c r="OQS7" s="57"/>
      <c r="OQT7" s="57"/>
      <c r="OQU7" s="57"/>
      <c r="OQV7" s="57"/>
      <c r="OQW7" s="57"/>
      <c r="OQX7" s="57"/>
      <c r="OQY7" s="57"/>
      <c r="OQZ7" s="57"/>
      <c r="ORA7" s="57"/>
      <c r="ORB7" s="57"/>
      <c r="ORC7" s="57"/>
      <c r="ORD7" s="57"/>
      <c r="ORE7" s="57"/>
      <c r="ORF7" s="57"/>
      <c r="ORG7" s="57"/>
      <c r="ORH7" s="57"/>
      <c r="ORI7" s="57"/>
      <c r="ORJ7" s="57"/>
      <c r="ORK7" s="57"/>
      <c r="ORL7" s="57"/>
      <c r="ORM7" s="57"/>
      <c r="ORN7" s="57"/>
      <c r="ORO7" s="57"/>
      <c r="ORP7" s="57"/>
      <c r="ORQ7" s="57"/>
      <c r="ORR7" s="57"/>
      <c r="ORS7" s="57"/>
      <c r="ORT7" s="57"/>
      <c r="ORU7" s="57"/>
      <c r="ORV7" s="57"/>
      <c r="ORW7" s="57"/>
      <c r="ORX7" s="57"/>
      <c r="ORY7" s="57"/>
      <c r="ORZ7" s="57"/>
      <c r="OSA7" s="57"/>
      <c r="OSB7" s="57"/>
      <c r="OSC7" s="57"/>
      <c r="OSD7" s="57"/>
      <c r="OSE7" s="57"/>
      <c r="OSF7" s="57"/>
      <c r="OSG7" s="57"/>
      <c r="OSH7" s="57"/>
      <c r="OSI7" s="57"/>
      <c r="OSJ7" s="57"/>
      <c r="OSK7" s="57"/>
      <c r="OSL7" s="57"/>
      <c r="OSM7" s="57"/>
      <c r="OSN7" s="57"/>
      <c r="OSO7" s="57"/>
      <c r="OSP7" s="57"/>
      <c r="OSQ7" s="57"/>
      <c r="OSR7" s="57"/>
      <c r="OSS7" s="57"/>
      <c r="OST7" s="57"/>
      <c r="OSU7" s="57"/>
      <c r="OSV7" s="57"/>
      <c r="OSW7" s="57"/>
      <c r="OSX7" s="57"/>
      <c r="OSY7" s="57"/>
      <c r="OSZ7" s="57"/>
      <c r="OTA7" s="57"/>
      <c r="OTB7" s="57"/>
      <c r="OTC7" s="57"/>
      <c r="OTD7" s="57"/>
      <c r="OTE7" s="57"/>
      <c r="OTF7" s="57"/>
      <c r="OTG7" s="57"/>
      <c r="OTH7" s="57"/>
      <c r="OTI7" s="57"/>
      <c r="OTJ7" s="57"/>
      <c r="OTK7" s="57"/>
      <c r="OTL7" s="57"/>
      <c r="OTM7" s="57"/>
      <c r="OTN7" s="57"/>
      <c r="OTO7" s="57"/>
      <c r="OTP7" s="57"/>
      <c r="OTQ7" s="57"/>
      <c r="OTR7" s="57"/>
      <c r="OTS7" s="57"/>
      <c r="OTT7" s="57"/>
      <c r="OTU7" s="57"/>
      <c r="OTV7" s="57"/>
      <c r="OTW7" s="57"/>
      <c r="OTX7" s="57"/>
      <c r="OTY7" s="57"/>
      <c r="OTZ7" s="57"/>
      <c r="OUA7" s="57"/>
      <c r="OUB7" s="57"/>
      <c r="OUC7" s="57"/>
      <c r="OUD7" s="57"/>
      <c r="OUE7" s="57"/>
      <c r="OUF7" s="57"/>
      <c r="OUG7" s="57"/>
      <c r="OUH7" s="57"/>
      <c r="OUI7" s="57"/>
      <c r="OUJ7" s="57"/>
      <c r="OUK7" s="57"/>
      <c r="OUL7" s="57"/>
      <c r="OUM7" s="57"/>
      <c r="OUN7" s="57"/>
      <c r="OUO7" s="57"/>
      <c r="OUP7" s="57"/>
      <c r="OUQ7" s="57"/>
      <c r="OUR7" s="57"/>
      <c r="OUS7" s="57"/>
      <c r="OUT7" s="57"/>
      <c r="OUU7" s="57"/>
      <c r="OUV7" s="57"/>
      <c r="OUW7" s="57"/>
      <c r="OUX7" s="57"/>
      <c r="OUY7" s="57"/>
      <c r="OUZ7" s="57"/>
      <c r="OVA7" s="57"/>
      <c r="OVB7" s="57"/>
      <c r="OVC7" s="57"/>
      <c r="OVD7" s="57"/>
      <c r="OVE7" s="57"/>
      <c r="OVF7" s="57"/>
      <c r="OVG7" s="57"/>
      <c r="OVH7" s="57"/>
      <c r="OVI7" s="57"/>
      <c r="OVJ7" s="57"/>
      <c r="OVK7" s="57"/>
      <c r="OVL7" s="57"/>
      <c r="OVM7" s="57"/>
      <c r="OVN7" s="57"/>
      <c r="OVO7" s="57"/>
      <c r="OVP7" s="57"/>
      <c r="OVQ7" s="57"/>
      <c r="OVR7" s="57"/>
      <c r="OVS7" s="57"/>
      <c r="OVT7" s="57"/>
      <c r="OVU7" s="57"/>
      <c r="OVV7" s="57"/>
      <c r="OVW7" s="57"/>
      <c r="OVX7" s="57"/>
      <c r="OVY7" s="57"/>
      <c r="OVZ7" s="57"/>
      <c r="OWA7" s="57"/>
      <c r="OWB7" s="57"/>
      <c r="OWC7" s="57"/>
      <c r="OWD7" s="57"/>
      <c r="OWE7" s="57"/>
      <c r="OWF7" s="57"/>
      <c r="OWG7" s="57"/>
      <c r="OWH7" s="57"/>
      <c r="OWI7" s="57"/>
      <c r="OWJ7" s="57"/>
      <c r="OWK7" s="57"/>
      <c r="OWL7" s="57"/>
      <c r="OWM7" s="57"/>
      <c r="OWN7" s="57"/>
      <c r="OWO7" s="57"/>
      <c r="OWP7" s="57"/>
      <c r="OWQ7" s="57"/>
      <c r="OWR7" s="57"/>
      <c r="OWS7" s="57"/>
      <c r="OWT7" s="57"/>
      <c r="OWU7" s="57"/>
      <c r="OWV7" s="57"/>
      <c r="OWW7" s="57"/>
      <c r="OWX7" s="57"/>
      <c r="OWY7" s="57"/>
      <c r="OWZ7" s="57"/>
      <c r="OXA7" s="57"/>
      <c r="OXB7" s="57"/>
      <c r="OXC7" s="57"/>
      <c r="OXD7" s="57"/>
      <c r="OXE7" s="57"/>
      <c r="OXF7" s="57"/>
      <c r="OXG7" s="57"/>
      <c r="OXH7" s="57"/>
      <c r="OXI7" s="57"/>
      <c r="OXJ7" s="57"/>
      <c r="OXK7" s="57"/>
      <c r="OXL7" s="57"/>
      <c r="OXM7" s="57"/>
      <c r="OXN7" s="57"/>
      <c r="OXO7" s="57"/>
      <c r="OXP7" s="57"/>
      <c r="OXQ7" s="57"/>
      <c r="OXR7" s="57"/>
      <c r="OXS7" s="57"/>
      <c r="OXT7" s="57"/>
      <c r="OXU7" s="57"/>
      <c r="OXV7" s="57"/>
      <c r="OXW7" s="57"/>
      <c r="OXX7" s="57"/>
      <c r="OXY7" s="57"/>
      <c r="OXZ7" s="57"/>
      <c r="OYA7" s="57"/>
      <c r="OYB7" s="57"/>
      <c r="OYC7" s="57"/>
      <c r="OYD7" s="57"/>
      <c r="OYE7" s="57"/>
      <c r="OYF7" s="57"/>
      <c r="OYG7" s="57"/>
      <c r="OYH7" s="57"/>
      <c r="OYI7" s="57"/>
      <c r="OYJ7" s="57"/>
      <c r="OYK7" s="57"/>
      <c r="OYL7" s="57"/>
      <c r="OYM7" s="57"/>
      <c r="OYN7" s="57"/>
      <c r="OYO7" s="57"/>
      <c r="OYP7" s="57"/>
      <c r="OYQ7" s="57"/>
      <c r="OYR7" s="57"/>
      <c r="OYS7" s="57"/>
      <c r="OYT7" s="57"/>
      <c r="OYU7" s="57"/>
      <c r="OYV7" s="57"/>
      <c r="OYW7" s="57"/>
      <c r="OYX7" s="57"/>
      <c r="OYY7" s="57"/>
      <c r="OYZ7" s="57"/>
      <c r="OZA7" s="57"/>
      <c r="OZB7" s="57"/>
      <c r="OZC7" s="57"/>
      <c r="OZD7" s="57"/>
      <c r="OZE7" s="57"/>
      <c r="OZF7" s="57"/>
      <c r="OZG7" s="57"/>
      <c r="OZH7" s="57"/>
      <c r="OZI7" s="57"/>
      <c r="OZJ7" s="57"/>
      <c r="OZK7" s="57"/>
      <c r="OZL7" s="57"/>
      <c r="OZM7" s="57"/>
      <c r="OZN7" s="57"/>
      <c r="OZO7" s="57"/>
      <c r="OZP7" s="57"/>
      <c r="OZQ7" s="57"/>
      <c r="OZR7" s="57"/>
      <c r="OZS7" s="57"/>
      <c r="OZT7" s="57"/>
      <c r="OZU7" s="57"/>
      <c r="OZV7" s="57"/>
      <c r="OZW7" s="57"/>
      <c r="OZX7" s="57"/>
      <c r="OZY7" s="57"/>
      <c r="OZZ7" s="57"/>
      <c r="PAA7" s="57"/>
      <c r="PAB7" s="57"/>
      <c r="PAC7" s="57"/>
      <c r="PAD7" s="57"/>
      <c r="PAE7" s="57"/>
      <c r="PAF7" s="57"/>
      <c r="PAG7" s="57"/>
      <c r="PAH7" s="57"/>
      <c r="PAI7" s="57"/>
      <c r="PAJ7" s="57"/>
      <c r="PAK7" s="57"/>
      <c r="PAL7" s="57"/>
      <c r="PAM7" s="57"/>
      <c r="PAN7" s="57"/>
      <c r="PAO7" s="57"/>
      <c r="PAP7" s="57"/>
      <c r="PAQ7" s="57"/>
      <c r="PAR7" s="57"/>
      <c r="PAS7" s="57"/>
      <c r="PAT7" s="57"/>
      <c r="PAU7" s="57"/>
      <c r="PAV7" s="57"/>
      <c r="PAW7" s="57"/>
      <c r="PAX7" s="57"/>
      <c r="PAY7" s="57"/>
      <c r="PAZ7" s="57"/>
      <c r="PBA7" s="57"/>
      <c r="PBB7" s="57"/>
      <c r="PBC7" s="57"/>
      <c r="PBD7" s="57"/>
      <c r="PBE7" s="57"/>
      <c r="PBF7" s="57"/>
      <c r="PBG7" s="57"/>
      <c r="PBH7" s="57"/>
      <c r="PBI7" s="57"/>
      <c r="PBJ7" s="57"/>
      <c r="PBK7" s="57"/>
      <c r="PBL7" s="57"/>
      <c r="PBM7" s="57"/>
      <c r="PBN7" s="57"/>
      <c r="PBO7" s="57"/>
      <c r="PBP7" s="57"/>
      <c r="PBQ7" s="57"/>
      <c r="PBR7" s="57"/>
      <c r="PBS7" s="57"/>
      <c r="PBT7" s="57"/>
      <c r="PBU7" s="57"/>
      <c r="PBV7" s="57"/>
      <c r="PBW7" s="57"/>
      <c r="PBX7" s="57"/>
      <c r="PBY7" s="57"/>
      <c r="PBZ7" s="57"/>
      <c r="PCA7" s="57"/>
      <c r="PCB7" s="57"/>
      <c r="PCC7" s="57"/>
      <c r="PCD7" s="57"/>
      <c r="PCE7" s="57"/>
      <c r="PCF7" s="57"/>
      <c r="PCG7" s="57"/>
      <c r="PCH7" s="57"/>
      <c r="PCI7" s="57"/>
      <c r="PCJ7" s="57"/>
      <c r="PCK7" s="57"/>
      <c r="PCL7" s="57"/>
      <c r="PCM7" s="57"/>
      <c r="PCN7" s="57"/>
      <c r="PCO7" s="57"/>
      <c r="PCP7" s="57"/>
      <c r="PCQ7" s="57"/>
      <c r="PCR7" s="57"/>
      <c r="PCS7" s="57"/>
      <c r="PCT7" s="57"/>
      <c r="PCU7" s="57"/>
      <c r="PCV7" s="57"/>
      <c r="PCW7" s="57"/>
      <c r="PCX7" s="57"/>
      <c r="PCY7" s="57"/>
      <c r="PCZ7" s="57"/>
      <c r="PDA7" s="57"/>
      <c r="PDB7" s="57"/>
      <c r="PDC7" s="57"/>
      <c r="PDD7" s="57"/>
      <c r="PDE7" s="57"/>
      <c r="PDF7" s="57"/>
      <c r="PDG7" s="57"/>
      <c r="PDH7" s="57"/>
      <c r="PDI7" s="57"/>
      <c r="PDJ7" s="57"/>
      <c r="PDK7" s="57"/>
      <c r="PDL7" s="57"/>
      <c r="PDM7" s="57"/>
      <c r="PDN7" s="57"/>
      <c r="PDO7" s="57"/>
      <c r="PDP7" s="57"/>
      <c r="PDQ7" s="57"/>
      <c r="PDR7" s="57"/>
      <c r="PDS7" s="57"/>
      <c r="PDT7" s="57"/>
      <c r="PDU7" s="57"/>
      <c r="PDV7" s="57"/>
      <c r="PDW7" s="57"/>
      <c r="PDX7" s="57"/>
      <c r="PDY7" s="57"/>
      <c r="PDZ7" s="57"/>
      <c r="PEA7" s="57"/>
      <c r="PEB7" s="57"/>
      <c r="PEC7" s="57"/>
      <c r="PED7" s="57"/>
      <c r="PEE7" s="57"/>
      <c r="PEF7" s="57"/>
      <c r="PEG7" s="57"/>
      <c r="PEH7" s="57"/>
      <c r="PEI7" s="57"/>
      <c r="PEJ7" s="57"/>
      <c r="PEK7" s="57"/>
      <c r="PEL7" s="57"/>
      <c r="PEM7" s="57"/>
      <c r="PEN7" s="57"/>
      <c r="PEO7" s="57"/>
      <c r="PEP7" s="57"/>
      <c r="PEQ7" s="57"/>
      <c r="PER7" s="57"/>
      <c r="PES7" s="57"/>
      <c r="PET7" s="57"/>
      <c r="PEU7" s="57"/>
      <c r="PEV7" s="57"/>
      <c r="PEW7" s="57"/>
      <c r="PEX7" s="57"/>
      <c r="PEY7" s="57"/>
      <c r="PEZ7" s="57"/>
      <c r="PFA7" s="57"/>
      <c r="PFB7" s="57"/>
      <c r="PFC7" s="57"/>
      <c r="PFD7" s="57"/>
      <c r="PFE7" s="57"/>
      <c r="PFF7" s="57"/>
      <c r="PFG7" s="57"/>
      <c r="PFH7" s="57"/>
      <c r="PFI7" s="57"/>
      <c r="PFJ7" s="57"/>
      <c r="PFK7" s="57"/>
      <c r="PFL7" s="57"/>
      <c r="PFM7" s="57"/>
      <c r="PFN7" s="57"/>
      <c r="PFO7" s="57"/>
      <c r="PFP7" s="57"/>
      <c r="PFQ7" s="57"/>
      <c r="PFR7" s="57"/>
      <c r="PFS7" s="57"/>
      <c r="PFT7" s="57"/>
      <c r="PFU7" s="57"/>
      <c r="PFV7" s="57"/>
      <c r="PFW7" s="57"/>
      <c r="PFX7" s="57"/>
      <c r="PFY7" s="57"/>
      <c r="PFZ7" s="57"/>
      <c r="PGA7" s="57"/>
      <c r="PGB7" s="57"/>
      <c r="PGC7" s="57"/>
      <c r="PGD7" s="57"/>
      <c r="PGE7" s="57"/>
      <c r="PGF7" s="57"/>
      <c r="PGG7" s="57"/>
      <c r="PGH7" s="57"/>
      <c r="PGI7" s="57"/>
      <c r="PGJ7" s="57"/>
      <c r="PGK7" s="57"/>
      <c r="PGL7" s="57"/>
      <c r="PGM7" s="57"/>
      <c r="PGN7" s="57"/>
      <c r="PGO7" s="57"/>
      <c r="PGP7" s="57"/>
      <c r="PGQ7" s="57"/>
      <c r="PGR7" s="57"/>
      <c r="PGS7" s="57"/>
      <c r="PGT7" s="57"/>
      <c r="PGU7" s="57"/>
      <c r="PGV7" s="57"/>
      <c r="PGW7" s="57"/>
      <c r="PGX7" s="57"/>
      <c r="PGY7" s="57"/>
      <c r="PGZ7" s="57"/>
      <c r="PHA7" s="57"/>
      <c r="PHB7" s="57"/>
      <c r="PHC7" s="57"/>
      <c r="PHD7" s="57"/>
      <c r="PHE7" s="57"/>
      <c r="PHF7" s="57"/>
      <c r="PHG7" s="57"/>
      <c r="PHH7" s="57"/>
      <c r="PHI7" s="57"/>
      <c r="PHJ7" s="57"/>
      <c r="PHK7" s="57"/>
      <c r="PHL7" s="57"/>
      <c r="PHM7" s="57"/>
      <c r="PHN7" s="57"/>
      <c r="PHO7" s="57"/>
      <c r="PHP7" s="57"/>
      <c r="PHQ7" s="57"/>
      <c r="PHR7" s="57"/>
      <c r="PHS7" s="57"/>
      <c r="PHT7" s="57"/>
      <c r="PHU7" s="57"/>
      <c r="PHV7" s="57"/>
      <c r="PHW7" s="57"/>
      <c r="PHX7" s="57"/>
      <c r="PHY7" s="57"/>
      <c r="PHZ7" s="57"/>
      <c r="PIA7" s="57"/>
      <c r="PIB7" s="57"/>
      <c r="PIC7" s="57"/>
      <c r="PID7" s="57"/>
      <c r="PIE7" s="57"/>
      <c r="PIF7" s="57"/>
      <c r="PIG7" s="57"/>
      <c r="PIH7" s="57"/>
      <c r="PII7" s="57"/>
      <c r="PIJ7" s="57"/>
      <c r="PIK7" s="57"/>
      <c r="PIL7" s="57"/>
      <c r="PIM7" s="57"/>
      <c r="PIN7" s="57"/>
      <c r="PIO7" s="57"/>
      <c r="PIP7" s="57"/>
      <c r="PIQ7" s="57"/>
      <c r="PIR7" s="57"/>
      <c r="PIS7" s="57"/>
      <c r="PIT7" s="57"/>
      <c r="PIU7" s="57"/>
      <c r="PIV7" s="57"/>
      <c r="PIW7" s="57"/>
      <c r="PIX7" s="57"/>
      <c r="PIY7" s="57"/>
      <c r="PIZ7" s="57"/>
      <c r="PJA7" s="57"/>
      <c r="PJB7" s="57"/>
      <c r="PJC7" s="57"/>
      <c r="PJD7" s="57"/>
      <c r="PJE7" s="57"/>
      <c r="PJF7" s="57"/>
      <c r="PJG7" s="57"/>
      <c r="PJH7" s="57"/>
      <c r="PJI7" s="57"/>
      <c r="PJJ7" s="57"/>
      <c r="PJK7" s="57"/>
      <c r="PJL7" s="57"/>
      <c r="PJM7" s="57"/>
      <c r="PJN7" s="57"/>
      <c r="PJO7" s="57"/>
      <c r="PJP7" s="57"/>
      <c r="PJQ7" s="57"/>
      <c r="PJR7" s="57"/>
      <c r="PJS7" s="57"/>
      <c r="PJT7" s="57"/>
      <c r="PJU7" s="57"/>
      <c r="PJV7" s="57"/>
      <c r="PJW7" s="57"/>
      <c r="PJX7" s="57"/>
      <c r="PJY7" s="57"/>
      <c r="PJZ7" s="57"/>
      <c r="PKA7" s="57"/>
      <c r="PKB7" s="57"/>
      <c r="PKC7" s="57"/>
      <c r="PKD7" s="57"/>
      <c r="PKE7" s="57"/>
      <c r="PKF7" s="57"/>
      <c r="PKG7" s="57"/>
      <c r="PKH7" s="57"/>
      <c r="PKI7" s="57"/>
      <c r="PKJ7" s="57"/>
      <c r="PKK7" s="57"/>
      <c r="PKL7" s="57"/>
      <c r="PKM7" s="57"/>
      <c r="PKN7" s="57"/>
      <c r="PKO7" s="57"/>
      <c r="PKP7" s="57"/>
      <c r="PKQ7" s="57"/>
      <c r="PKR7" s="57"/>
      <c r="PKS7" s="57"/>
      <c r="PKT7" s="57"/>
      <c r="PKU7" s="57"/>
      <c r="PKV7" s="57"/>
      <c r="PKW7" s="57"/>
      <c r="PKX7" s="57"/>
      <c r="PKY7" s="57"/>
      <c r="PKZ7" s="57"/>
      <c r="PLA7" s="57"/>
      <c r="PLB7" s="57"/>
      <c r="PLC7" s="57"/>
      <c r="PLD7" s="57"/>
      <c r="PLE7" s="57"/>
      <c r="PLF7" s="57"/>
      <c r="PLG7" s="57"/>
      <c r="PLH7" s="57"/>
      <c r="PLI7" s="57"/>
      <c r="PLJ7" s="57"/>
      <c r="PLK7" s="57"/>
      <c r="PLL7" s="57"/>
      <c r="PLM7" s="57"/>
      <c r="PLN7" s="57"/>
      <c r="PLO7" s="57"/>
      <c r="PLP7" s="57"/>
      <c r="PLQ7" s="57"/>
      <c r="PLR7" s="57"/>
      <c r="PLS7" s="57"/>
      <c r="PLT7" s="57"/>
      <c r="PLU7" s="57"/>
      <c r="PLV7" s="57"/>
      <c r="PLW7" s="57"/>
      <c r="PLX7" s="57"/>
      <c r="PLY7" s="57"/>
      <c r="PLZ7" s="57"/>
      <c r="PMA7" s="57"/>
      <c r="PMB7" s="57"/>
      <c r="PMC7" s="57"/>
      <c r="PMD7" s="57"/>
      <c r="PME7" s="57"/>
      <c r="PMF7" s="57"/>
      <c r="PMG7" s="57"/>
      <c r="PMH7" s="57"/>
      <c r="PMI7" s="57"/>
      <c r="PMJ7" s="57"/>
      <c r="PMK7" s="57"/>
      <c r="PML7" s="57"/>
      <c r="PMM7" s="57"/>
      <c r="PMN7" s="57"/>
      <c r="PMO7" s="57"/>
      <c r="PMP7" s="57"/>
      <c r="PMQ7" s="57"/>
      <c r="PMR7" s="57"/>
      <c r="PMS7" s="57"/>
      <c r="PMT7" s="57"/>
      <c r="PMU7" s="57"/>
      <c r="PMV7" s="57"/>
      <c r="PMW7" s="57"/>
      <c r="PMX7" s="57"/>
      <c r="PMY7" s="57"/>
      <c r="PMZ7" s="57"/>
      <c r="PNA7" s="57"/>
      <c r="PNB7" s="57"/>
      <c r="PNC7" s="57"/>
      <c r="PND7" s="57"/>
      <c r="PNE7" s="57"/>
      <c r="PNF7" s="57"/>
      <c r="PNG7" s="57"/>
      <c r="PNH7" s="57"/>
      <c r="PNI7" s="57"/>
      <c r="PNJ7" s="57"/>
      <c r="PNK7" s="57"/>
      <c r="PNL7" s="57"/>
      <c r="PNM7" s="57"/>
      <c r="PNN7" s="57"/>
      <c r="PNO7" s="57"/>
      <c r="PNP7" s="57"/>
      <c r="PNQ7" s="57"/>
      <c r="PNR7" s="57"/>
      <c r="PNS7" s="57"/>
      <c r="PNT7" s="57"/>
      <c r="PNU7" s="57"/>
      <c r="PNV7" s="57"/>
      <c r="PNW7" s="57"/>
      <c r="PNX7" s="57"/>
      <c r="PNY7" s="57"/>
      <c r="PNZ7" s="57"/>
      <c r="POA7" s="57"/>
      <c r="POB7" s="57"/>
      <c r="POC7" s="57"/>
      <c r="POD7" s="57"/>
      <c r="POE7" s="57"/>
      <c r="POF7" s="57"/>
      <c r="POG7" s="57"/>
      <c r="POH7" s="57"/>
      <c r="POI7" s="57"/>
      <c r="POJ7" s="57"/>
      <c r="POK7" s="57"/>
      <c r="POL7" s="57"/>
      <c r="POM7" s="57"/>
      <c r="PON7" s="57"/>
      <c r="POO7" s="57"/>
      <c r="POP7" s="57"/>
      <c r="POQ7" s="57"/>
      <c r="POR7" s="57"/>
      <c r="POS7" s="57"/>
      <c r="POT7" s="57"/>
      <c r="POU7" s="57"/>
      <c r="POV7" s="57"/>
      <c r="POW7" s="57"/>
      <c r="POX7" s="57"/>
      <c r="POY7" s="57"/>
      <c r="POZ7" s="57"/>
      <c r="PPA7" s="57"/>
      <c r="PPB7" s="57"/>
      <c r="PPC7" s="57"/>
      <c r="PPD7" s="57"/>
      <c r="PPE7" s="57"/>
      <c r="PPF7" s="57"/>
      <c r="PPG7" s="57"/>
      <c r="PPH7" s="57"/>
      <c r="PPI7" s="57"/>
      <c r="PPJ7" s="57"/>
      <c r="PPK7" s="57"/>
      <c r="PPL7" s="57"/>
      <c r="PPM7" s="57"/>
      <c r="PPN7" s="57"/>
      <c r="PPO7" s="57"/>
      <c r="PPP7" s="57"/>
      <c r="PPQ7" s="57"/>
      <c r="PPR7" s="57"/>
      <c r="PPS7" s="57"/>
      <c r="PPT7" s="57"/>
      <c r="PPU7" s="57"/>
      <c r="PPV7" s="57"/>
      <c r="PPW7" s="57"/>
      <c r="PPX7" s="57"/>
      <c r="PPY7" s="57"/>
      <c r="PPZ7" s="57"/>
      <c r="PQA7" s="57"/>
      <c r="PQB7" s="57"/>
      <c r="PQC7" s="57"/>
      <c r="PQD7" s="57"/>
      <c r="PQE7" s="57"/>
      <c r="PQF7" s="57"/>
      <c r="PQG7" s="57"/>
      <c r="PQH7" s="57"/>
      <c r="PQI7" s="57"/>
      <c r="PQJ7" s="57"/>
      <c r="PQK7" s="57"/>
      <c r="PQL7" s="57"/>
      <c r="PQM7" s="57"/>
      <c r="PQN7" s="57"/>
      <c r="PQO7" s="57"/>
      <c r="PQP7" s="57"/>
      <c r="PQQ7" s="57"/>
      <c r="PQR7" s="57"/>
      <c r="PQS7" s="57"/>
      <c r="PQT7" s="57"/>
      <c r="PQU7" s="57"/>
      <c r="PQV7" s="57"/>
      <c r="PQW7" s="57"/>
      <c r="PQX7" s="57"/>
      <c r="PQY7" s="57"/>
      <c r="PQZ7" s="57"/>
      <c r="PRA7" s="57"/>
      <c r="PRB7" s="57"/>
      <c r="PRC7" s="57"/>
      <c r="PRD7" s="57"/>
      <c r="PRE7" s="57"/>
      <c r="PRF7" s="57"/>
      <c r="PRG7" s="57"/>
      <c r="PRH7" s="57"/>
      <c r="PRI7" s="57"/>
      <c r="PRJ7" s="57"/>
      <c r="PRK7" s="57"/>
      <c r="PRL7" s="57"/>
      <c r="PRM7" s="57"/>
      <c r="PRN7" s="57"/>
      <c r="PRO7" s="57"/>
      <c r="PRP7" s="57"/>
      <c r="PRQ7" s="57"/>
      <c r="PRR7" s="57"/>
      <c r="PRS7" s="57"/>
      <c r="PRT7" s="57"/>
      <c r="PRU7" s="57"/>
      <c r="PRV7" s="57"/>
      <c r="PRW7" s="57"/>
      <c r="PRX7" s="57"/>
      <c r="PRY7" s="57"/>
      <c r="PRZ7" s="57"/>
      <c r="PSA7" s="57"/>
      <c r="PSB7" s="57"/>
      <c r="PSC7" s="57"/>
      <c r="PSD7" s="57"/>
      <c r="PSE7" s="57"/>
      <c r="PSF7" s="57"/>
      <c r="PSG7" s="57"/>
      <c r="PSH7" s="57"/>
      <c r="PSI7" s="57"/>
      <c r="PSJ7" s="57"/>
      <c r="PSK7" s="57"/>
      <c r="PSL7" s="57"/>
      <c r="PSM7" s="57"/>
      <c r="PSN7" s="57"/>
      <c r="PSO7" s="57"/>
      <c r="PSP7" s="57"/>
      <c r="PSQ7" s="57"/>
      <c r="PSR7" s="57"/>
      <c r="PSS7" s="57"/>
      <c r="PST7" s="57"/>
      <c r="PSU7" s="57"/>
      <c r="PSV7" s="57"/>
      <c r="PSW7" s="57"/>
      <c r="PSX7" s="57"/>
      <c r="PSY7" s="57"/>
      <c r="PSZ7" s="57"/>
      <c r="PTA7" s="57"/>
      <c r="PTB7" s="57"/>
      <c r="PTC7" s="57"/>
      <c r="PTD7" s="57"/>
      <c r="PTE7" s="57"/>
      <c r="PTF7" s="57"/>
      <c r="PTG7" s="57"/>
      <c r="PTH7" s="57"/>
      <c r="PTI7" s="57"/>
      <c r="PTJ7" s="57"/>
      <c r="PTK7" s="57"/>
      <c r="PTL7" s="57"/>
      <c r="PTM7" s="57"/>
      <c r="PTN7" s="57"/>
      <c r="PTO7" s="57"/>
      <c r="PTP7" s="57"/>
      <c r="PTQ7" s="57"/>
      <c r="PTR7" s="57"/>
      <c r="PTS7" s="57"/>
      <c r="PTT7" s="57"/>
      <c r="PTU7" s="57"/>
      <c r="PTV7" s="57"/>
      <c r="PTW7" s="57"/>
      <c r="PTX7" s="57"/>
      <c r="PTY7" s="57"/>
      <c r="PTZ7" s="57"/>
      <c r="PUA7" s="57"/>
      <c r="PUB7" s="57"/>
      <c r="PUC7" s="57"/>
      <c r="PUD7" s="57"/>
      <c r="PUE7" s="57"/>
      <c r="PUF7" s="57"/>
      <c r="PUG7" s="57"/>
      <c r="PUH7" s="57"/>
      <c r="PUI7" s="57"/>
      <c r="PUJ7" s="57"/>
      <c r="PUK7" s="57"/>
      <c r="PUL7" s="57"/>
      <c r="PUM7" s="57"/>
      <c r="PUN7" s="57"/>
      <c r="PUO7" s="57"/>
      <c r="PUP7" s="57"/>
      <c r="PUQ7" s="57"/>
      <c r="PUR7" s="57"/>
      <c r="PUS7" s="57"/>
      <c r="PUT7" s="57"/>
      <c r="PUU7" s="57"/>
      <c r="PUV7" s="57"/>
      <c r="PUW7" s="57"/>
      <c r="PUX7" s="57"/>
      <c r="PUY7" s="57"/>
      <c r="PUZ7" s="57"/>
      <c r="PVA7" s="57"/>
      <c r="PVB7" s="57"/>
      <c r="PVC7" s="57"/>
      <c r="PVD7" s="57"/>
      <c r="PVE7" s="57"/>
      <c r="PVF7" s="57"/>
      <c r="PVG7" s="57"/>
      <c r="PVH7" s="57"/>
      <c r="PVI7" s="57"/>
      <c r="PVJ7" s="57"/>
      <c r="PVK7" s="57"/>
      <c r="PVL7" s="57"/>
      <c r="PVM7" s="57"/>
      <c r="PVN7" s="57"/>
      <c r="PVO7" s="57"/>
      <c r="PVP7" s="57"/>
      <c r="PVQ7" s="57"/>
      <c r="PVR7" s="57"/>
      <c r="PVS7" s="57"/>
      <c r="PVT7" s="57"/>
      <c r="PVU7" s="57"/>
      <c r="PVV7" s="57"/>
      <c r="PVW7" s="57"/>
      <c r="PVX7" s="57"/>
      <c r="PVY7" s="57"/>
      <c r="PVZ7" s="57"/>
      <c r="PWA7" s="57"/>
      <c r="PWB7" s="57"/>
      <c r="PWC7" s="57"/>
      <c r="PWD7" s="57"/>
      <c r="PWE7" s="57"/>
      <c r="PWF7" s="57"/>
      <c r="PWG7" s="57"/>
      <c r="PWH7" s="57"/>
      <c r="PWI7" s="57"/>
      <c r="PWJ7" s="57"/>
      <c r="PWK7" s="57"/>
      <c r="PWL7" s="57"/>
      <c r="PWM7" s="57"/>
      <c r="PWN7" s="57"/>
      <c r="PWO7" s="57"/>
      <c r="PWP7" s="57"/>
      <c r="PWQ7" s="57"/>
      <c r="PWR7" s="57"/>
      <c r="PWS7" s="57"/>
      <c r="PWT7" s="57"/>
      <c r="PWU7" s="57"/>
      <c r="PWV7" s="57"/>
      <c r="PWW7" s="57"/>
      <c r="PWX7" s="57"/>
      <c r="PWY7" s="57"/>
      <c r="PWZ7" s="57"/>
      <c r="PXA7" s="57"/>
      <c r="PXB7" s="57"/>
      <c r="PXC7" s="57"/>
      <c r="PXD7" s="57"/>
      <c r="PXE7" s="57"/>
      <c r="PXF7" s="57"/>
      <c r="PXG7" s="57"/>
      <c r="PXH7" s="57"/>
      <c r="PXI7" s="57"/>
      <c r="PXJ7" s="57"/>
      <c r="PXK7" s="57"/>
      <c r="PXL7" s="57"/>
      <c r="PXM7" s="57"/>
      <c r="PXN7" s="57"/>
      <c r="PXO7" s="57"/>
      <c r="PXP7" s="57"/>
      <c r="PXQ7" s="57"/>
      <c r="PXR7" s="57"/>
      <c r="PXS7" s="57"/>
      <c r="PXT7" s="57"/>
      <c r="PXU7" s="57"/>
      <c r="PXV7" s="57"/>
      <c r="PXW7" s="57"/>
      <c r="PXX7" s="57"/>
      <c r="PXY7" s="57"/>
      <c r="PXZ7" s="57"/>
      <c r="PYA7" s="57"/>
      <c r="PYB7" s="57"/>
      <c r="PYC7" s="57"/>
      <c r="PYD7" s="57"/>
      <c r="PYE7" s="57"/>
      <c r="PYF7" s="57"/>
      <c r="PYG7" s="57"/>
      <c r="PYH7" s="57"/>
      <c r="PYI7" s="57"/>
      <c r="PYJ7" s="57"/>
      <c r="PYK7" s="57"/>
      <c r="PYL7" s="57"/>
      <c r="PYM7" s="57"/>
      <c r="PYN7" s="57"/>
      <c r="PYO7" s="57"/>
      <c r="PYP7" s="57"/>
      <c r="PYQ7" s="57"/>
      <c r="PYR7" s="57"/>
      <c r="PYS7" s="57"/>
      <c r="PYT7" s="57"/>
      <c r="PYU7" s="57"/>
      <c r="PYV7" s="57"/>
      <c r="PYW7" s="57"/>
      <c r="PYX7" s="57"/>
      <c r="PYY7" s="57"/>
      <c r="PYZ7" s="57"/>
      <c r="PZA7" s="57"/>
      <c r="PZB7" s="57"/>
      <c r="PZC7" s="57"/>
      <c r="PZD7" s="57"/>
      <c r="PZE7" s="57"/>
      <c r="PZF7" s="57"/>
      <c r="PZG7" s="57"/>
      <c r="PZH7" s="57"/>
      <c r="PZI7" s="57"/>
      <c r="PZJ7" s="57"/>
      <c r="PZK7" s="57"/>
      <c r="PZL7" s="57"/>
      <c r="PZM7" s="57"/>
      <c r="PZN7" s="57"/>
      <c r="PZO7" s="57"/>
      <c r="PZP7" s="57"/>
      <c r="PZQ7" s="57"/>
      <c r="PZR7" s="57"/>
      <c r="PZS7" s="57"/>
      <c r="PZT7" s="57"/>
      <c r="PZU7" s="57"/>
      <c r="PZV7" s="57"/>
      <c r="PZW7" s="57"/>
      <c r="PZX7" s="57"/>
      <c r="PZY7" s="57"/>
      <c r="PZZ7" s="57"/>
      <c r="QAA7" s="57"/>
      <c r="QAB7" s="57"/>
      <c r="QAC7" s="57"/>
      <c r="QAD7" s="57"/>
      <c r="QAE7" s="57"/>
      <c r="QAF7" s="57"/>
      <c r="QAG7" s="57"/>
      <c r="QAH7" s="57"/>
      <c r="QAI7" s="57"/>
      <c r="QAJ7" s="57"/>
      <c r="QAK7" s="57"/>
      <c r="QAL7" s="57"/>
      <c r="QAM7" s="57"/>
      <c r="QAN7" s="57"/>
      <c r="QAO7" s="57"/>
      <c r="QAP7" s="57"/>
      <c r="QAQ7" s="57"/>
      <c r="QAR7" s="57"/>
      <c r="QAS7" s="57"/>
      <c r="QAT7" s="57"/>
      <c r="QAU7" s="57"/>
      <c r="QAV7" s="57"/>
      <c r="QAW7" s="57"/>
      <c r="QAX7" s="57"/>
      <c r="QAY7" s="57"/>
      <c r="QAZ7" s="57"/>
      <c r="QBA7" s="57"/>
      <c r="QBB7" s="57"/>
      <c r="QBC7" s="57"/>
      <c r="QBD7" s="57"/>
      <c r="QBE7" s="57"/>
      <c r="QBF7" s="57"/>
      <c r="QBG7" s="57"/>
      <c r="QBH7" s="57"/>
      <c r="QBI7" s="57"/>
      <c r="QBJ7" s="57"/>
      <c r="QBK7" s="57"/>
      <c r="QBL7" s="57"/>
      <c r="QBM7" s="57"/>
      <c r="QBN7" s="57"/>
      <c r="QBO7" s="57"/>
      <c r="QBP7" s="57"/>
      <c r="QBQ7" s="57"/>
      <c r="QBR7" s="57"/>
      <c r="QBS7" s="57"/>
      <c r="QBT7" s="57"/>
      <c r="QBU7" s="57"/>
      <c r="QBV7" s="57"/>
      <c r="QBW7" s="57"/>
      <c r="QBX7" s="57"/>
      <c r="QBY7" s="57"/>
      <c r="QBZ7" s="57"/>
      <c r="QCA7" s="57"/>
      <c r="QCB7" s="57"/>
      <c r="QCC7" s="57"/>
      <c r="QCD7" s="57"/>
      <c r="QCE7" s="57"/>
      <c r="QCF7" s="57"/>
      <c r="QCG7" s="57"/>
      <c r="QCH7" s="57"/>
      <c r="QCI7" s="57"/>
      <c r="QCJ7" s="57"/>
      <c r="QCK7" s="57"/>
      <c r="QCL7" s="57"/>
      <c r="QCM7" s="57"/>
      <c r="QCN7" s="57"/>
      <c r="QCO7" s="57"/>
      <c r="QCP7" s="57"/>
      <c r="QCQ7" s="57"/>
      <c r="QCR7" s="57"/>
      <c r="QCS7" s="57"/>
      <c r="QCT7" s="57"/>
      <c r="QCU7" s="57"/>
      <c r="QCV7" s="57"/>
      <c r="QCW7" s="57"/>
      <c r="QCX7" s="57"/>
      <c r="QCY7" s="57"/>
      <c r="QCZ7" s="57"/>
      <c r="QDA7" s="57"/>
      <c r="QDB7" s="57"/>
      <c r="QDC7" s="57"/>
      <c r="QDD7" s="57"/>
      <c r="QDE7" s="57"/>
      <c r="QDF7" s="57"/>
      <c r="QDG7" s="57"/>
      <c r="QDH7" s="57"/>
      <c r="QDI7" s="57"/>
      <c r="QDJ7" s="57"/>
      <c r="QDK7" s="57"/>
      <c r="QDL7" s="57"/>
      <c r="QDM7" s="57"/>
      <c r="QDN7" s="57"/>
      <c r="QDO7" s="57"/>
      <c r="QDP7" s="57"/>
      <c r="QDQ7" s="57"/>
      <c r="QDR7" s="57"/>
      <c r="QDS7" s="57"/>
      <c r="QDT7" s="57"/>
      <c r="QDU7" s="57"/>
      <c r="QDV7" s="57"/>
      <c r="QDW7" s="57"/>
      <c r="QDX7" s="57"/>
      <c r="QDY7" s="57"/>
      <c r="QDZ7" s="57"/>
      <c r="QEA7" s="57"/>
      <c r="QEB7" s="57"/>
      <c r="QEC7" s="57"/>
      <c r="QED7" s="57"/>
      <c r="QEE7" s="57"/>
      <c r="QEF7" s="57"/>
      <c r="QEG7" s="57"/>
      <c r="QEH7" s="57"/>
      <c r="QEI7" s="57"/>
      <c r="QEJ7" s="57"/>
      <c r="QEK7" s="57"/>
      <c r="QEL7" s="57"/>
      <c r="QEM7" s="57"/>
      <c r="QEN7" s="57"/>
      <c r="QEO7" s="57"/>
      <c r="QEP7" s="57"/>
      <c r="QEQ7" s="57"/>
      <c r="QER7" s="57"/>
      <c r="QES7" s="57"/>
      <c r="QET7" s="57"/>
      <c r="QEU7" s="57"/>
      <c r="QEV7" s="57"/>
      <c r="QEW7" s="57"/>
      <c r="QEX7" s="57"/>
      <c r="QEY7" s="57"/>
      <c r="QEZ7" s="57"/>
      <c r="QFA7" s="57"/>
      <c r="QFB7" s="57"/>
      <c r="QFC7" s="57"/>
      <c r="QFD7" s="57"/>
      <c r="QFE7" s="57"/>
      <c r="QFF7" s="57"/>
      <c r="QFG7" s="57"/>
      <c r="QFH7" s="57"/>
      <c r="QFI7" s="57"/>
      <c r="QFJ7" s="57"/>
      <c r="QFK7" s="57"/>
      <c r="QFL7" s="57"/>
      <c r="QFM7" s="57"/>
      <c r="QFN7" s="57"/>
      <c r="QFO7" s="57"/>
      <c r="QFP7" s="57"/>
      <c r="QFQ7" s="57"/>
      <c r="QFR7" s="57"/>
      <c r="QFS7" s="57"/>
      <c r="QFT7" s="57"/>
      <c r="QFU7" s="57"/>
      <c r="QFV7" s="57"/>
      <c r="QFW7" s="57"/>
      <c r="QFX7" s="57"/>
      <c r="QFY7" s="57"/>
      <c r="QFZ7" s="57"/>
      <c r="QGA7" s="57"/>
      <c r="QGB7" s="57"/>
      <c r="QGC7" s="57"/>
      <c r="QGD7" s="57"/>
      <c r="QGE7" s="57"/>
      <c r="QGF7" s="57"/>
      <c r="QGG7" s="57"/>
      <c r="QGH7" s="57"/>
      <c r="QGI7" s="57"/>
      <c r="QGJ7" s="57"/>
      <c r="QGK7" s="57"/>
      <c r="QGL7" s="57"/>
      <c r="QGM7" s="57"/>
      <c r="QGN7" s="57"/>
      <c r="QGO7" s="57"/>
      <c r="QGP7" s="57"/>
      <c r="QGQ7" s="57"/>
      <c r="QGR7" s="57"/>
      <c r="QGS7" s="57"/>
      <c r="QGT7" s="57"/>
      <c r="QGU7" s="57"/>
      <c r="QGV7" s="57"/>
      <c r="QGW7" s="57"/>
      <c r="QGX7" s="57"/>
      <c r="QGY7" s="57"/>
      <c r="QGZ7" s="57"/>
      <c r="QHA7" s="57"/>
      <c r="QHB7" s="57"/>
      <c r="QHC7" s="57"/>
      <c r="QHD7" s="57"/>
      <c r="QHE7" s="57"/>
      <c r="QHF7" s="57"/>
      <c r="QHG7" s="57"/>
      <c r="QHH7" s="57"/>
      <c r="QHI7" s="57"/>
      <c r="QHJ7" s="57"/>
      <c r="QHK7" s="57"/>
      <c r="QHL7" s="57"/>
      <c r="QHM7" s="57"/>
      <c r="QHN7" s="57"/>
      <c r="QHO7" s="57"/>
      <c r="QHP7" s="57"/>
      <c r="QHQ7" s="57"/>
      <c r="QHR7" s="57"/>
      <c r="QHS7" s="57"/>
      <c r="QHT7" s="57"/>
      <c r="QHU7" s="57"/>
      <c r="QHV7" s="57"/>
      <c r="QHW7" s="57"/>
      <c r="QHX7" s="57"/>
      <c r="QHY7" s="57"/>
      <c r="QHZ7" s="57"/>
      <c r="QIA7" s="57"/>
      <c r="QIB7" s="57"/>
      <c r="QIC7" s="57"/>
      <c r="QID7" s="57"/>
      <c r="QIE7" s="57"/>
      <c r="QIF7" s="57"/>
      <c r="QIG7" s="57"/>
      <c r="QIH7" s="57"/>
      <c r="QII7" s="57"/>
      <c r="QIJ7" s="57"/>
      <c r="QIK7" s="57"/>
      <c r="QIL7" s="57"/>
      <c r="QIM7" s="57"/>
      <c r="QIN7" s="57"/>
      <c r="QIO7" s="57"/>
      <c r="QIP7" s="57"/>
      <c r="QIQ7" s="57"/>
      <c r="QIR7" s="57"/>
      <c r="QIS7" s="57"/>
      <c r="QIT7" s="57"/>
      <c r="QIU7" s="57"/>
      <c r="QIV7" s="57"/>
      <c r="QIW7" s="57"/>
      <c r="QIX7" s="57"/>
      <c r="QIY7" s="57"/>
      <c r="QIZ7" s="57"/>
      <c r="QJA7" s="57"/>
      <c r="QJB7" s="57"/>
      <c r="QJC7" s="57"/>
      <c r="QJD7" s="57"/>
      <c r="QJE7" s="57"/>
      <c r="QJF7" s="57"/>
      <c r="QJG7" s="57"/>
      <c r="QJH7" s="57"/>
      <c r="QJI7" s="57"/>
      <c r="QJJ7" s="57"/>
      <c r="QJK7" s="57"/>
      <c r="QJL7" s="57"/>
      <c r="QJM7" s="57"/>
      <c r="QJN7" s="57"/>
      <c r="QJO7" s="57"/>
      <c r="QJP7" s="57"/>
      <c r="QJQ7" s="57"/>
      <c r="QJR7" s="57"/>
      <c r="QJS7" s="57"/>
      <c r="QJT7" s="57"/>
      <c r="QJU7" s="57"/>
      <c r="QJV7" s="57"/>
      <c r="QJW7" s="57"/>
      <c r="QJX7" s="57"/>
      <c r="QJY7" s="57"/>
      <c r="QJZ7" s="57"/>
      <c r="QKA7" s="57"/>
      <c r="QKB7" s="57"/>
      <c r="QKC7" s="57"/>
      <c r="QKD7" s="57"/>
      <c r="QKE7" s="57"/>
      <c r="QKF7" s="57"/>
      <c r="QKG7" s="57"/>
      <c r="QKH7" s="57"/>
      <c r="QKI7" s="57"/>
      <c r="QKJ7" s="57"/>
      <c r="QKK7" s="57"/>
      <c r="QKL7" s="57"/>
      <c r="QKM7" s="57"/>
      <c r="QKN7" s="57"/>
      <c r="QKO7" s="57"/>
      <c r="QKP7" s="57"/>
      <c r="QKQ7" s="57"/>
      <c r="QKR7" s="57"/>
      <c r="QKS7" s="57"/>
      <c r="QKT7" s="57"/>
      <c r="QKU7" s="57"/>
      <c r="QKV7" s="57"/>
      <c r="QKW7" s="57"/>
      <c r="QKX7" s="57"/>
      <c r="QKY7" s="57"/>
      <c r="QKZ7" s="57"/>
      <c r="QLA7" s="57"/>
      <c r="QLB7" s="57"/>
      <c r="QLC7" s="57"/>
      <c r="QLD7" s="57"/>
      <c r="QLE7" s="57"/>
      <c r="QLF7" s="57"/>
      <c r="QLG7" s="57"/>
      <c r="QLH7" s="57"/>
      <c r="QLI7" s="57"/>
      <c r="QLJ7" s="57"/>
      <c r="QLK7" s="57"/>
      <c r="QLL7" s="57"/>
      <c r="QLM7" s="57"/>
      <c r="QLN7" s="57"/>
      <c r="QLO7" s="57"/>
      <c r="QLP7" s="57"/>
      <c r="QLQ7" s="57"/>
      <c r="QLR7" s="57"/>
      <c r="QLS7" s="57"/>
      <c r="QLT7" s="57"/>
      <c r="QLU7" s="57"/>
      <c r="QLV7" s="57"/>
      <c r="QLW7" s="57"/>
      <c r="QLX7" s="57"/>
      <c r="QLY7" s="57"/>
      <c r="QLZ7" s="57"/>
      <c r="QMA7" s="57"/>
      <c r="QMB7" s="57"/>
      <c r="QMC7" s="57"/>
      <c r="QMD7" s="57"/>
      <c r="QME7" s="57"/>
      <c r="QMF7" s="57"/>
      <c r="QMG7" s="57"/>
      <c r="QMH7" s="57"/>
      <c r="QMI7" s="57"/>
      <c r="QMJ7" s="57"/>
      <c r="QMK7" s="57"/>
      <c r="QML7" s="57"/>
      <c r="QMM7" s="57"/>
      <c r="QMN7" s="57"/>
      <c r="QMO7" s="57"/>
      <c r="QMP7" s="57"/>
      <c r="QMQ7" s="57"/>
      <c r="QMR7" s="57"/>
      <c r="QMS7" s="57"/>
      <c r="QMT7" s="57"/>
      <c r="QMU7" s="57"/>
      <c r="QMV7" s="57"/>
      <c r="QMW7" s="57"/>
      <c r="QMX7" s="57"/>
      <c r="QMY7" s="57"/>
      <c r="QMZ7" s="57"/>
      <c r="QNA7" s="57"/>
      <c r="QNB7" s="57"/>
      <c r="QNC7" s="57"/>
      <c r="QND7" s="57"/>
      <c r="QNE7" s="57"/>
      <c r="QNF7" s="57"/>
      <c r="QNG7" s="57"/>
      <c r="QNH7" s="57"/>
      <c r="QNI7" s="57"/>
      <c r="QNJ7" s="57"/>
      <c r="QNK7" s="57"/>
      <c r="QNL7" s="57"/>
      <c r="QNM7" s="57"/>
      <c r="QNN7" s="57"/>
      <c r="QNO7" s="57"/>
      <c r="QNP7" s="57"/>
      <c r="QNQ7" s="57"/>
      <c r="QNR7" s="57"/>
      <c r="QNS7" s="57"/>
      <c r="QNT7" s="57"/>
      <c r="QNU7" s="57"/>
      <c r="QNV7" s="57"/>
      <c r="QNW7" s="57"/>
      <c r="QNX7" s="57"/>
      <c r="QNY7" s="57"/>
      <c r="QNZ7" s="57"/>
      <c r="QOA7" s="57"/>
      <c r="QOB7" s="57"/>
      <c r="QOC7" s="57"/>
      <c r="QOD7" s="57"/>
      <c r="QOE7" s="57"/>
      <c r="QOF7" s="57"/>
      <c r="QOG7" s="57"/>
      <c r="QOH7" s="57"/>
      <c r="QOI7" s="57"/>
      <c r="QOJ7" s="57"/>
      <c r="QOK7" s="57"/>
      <c r="QOL7" s="57"/>
      <c r="QOM7" s="57"/>
      <c r="QON7" s="57"/>
      <c r="QOO7" s="57"/>
      <c r="QOP7" s="57"/>
      <c r="QOQ7" s="57"/>
      <c r="QOR7" s="57"/>
      <c r="QOS7" s="57"/>
      <c r="QOT7" s="57"/>
      <c r="QOU7" s="57"/>
      <c r="QOV7" s="57"/>
      <c r="QOW7" s="57"/>
      <c r="QOX7" s="57"/>
      <c r="QOY7" s="57"/>
      <c r="QOZ7" s="57"/>
      <c r="QPA7" s="57"/>
      <c r="QPB7" s="57"/>
      <c r="QPC7" s="57"/>
      <c r="QPD7" s="57"/>
      <c r="QPE7" s="57"/>
      <c r="QPF7" s="57"/>
      <c r="QPG7" s="57"/>
      <c r="QPH7" s="57"/>
      <c r="QPI7" s="57"/>
      <c r="QPJ7" s="57"/>
      <c r="QPK7" s="57"/>
      <c r="QPL7" s="57"/>
      <c r="QPM7" s="57"/>
      <c r="QPN7" s="57"/>
      <c r="QPO7" s="57"/>
      <c r="QPP7" s="57"/>
      <c r="QPQ7" s="57"/>
      <c r="QPR7" s="57"/>
      <c r="QPS7" s="57"/>
      <c r="QPT7" s="57"/>
      <c r="QPU7" s="57"/>
      <c r="QPV7" s="57"/>
      <c r="QPW7" s="57"/>
      <c r="QPX7" s="57"/>
      <c r="QPY7" s="57"/>
      <c r="QPZ7" s="57"/>
      <c r="QQA7" s="57"/>
      <c r="QQB7" s="57"/>
      <c r="QQC7" s="57"/>
      <c r="QQD7" s="57"/>
      <c r="QQE7" s="57"/>
      <c r="QQF7" s="57"/>
      <c r="QQG7" s="57"/>
      <c r="QQH7" s="57"/>
      <c r="QQI7" s="57"/>
      <c r="QQJ7" s="57"/>
      <c r="QQK7" s="57"/>
      <c r="QQL7" s="57"/>
      <c r="QQM7" s="57"/>
      <c r="QQN7" s="57"/>
      <c r="QQO7" s="57"/>
      <c r="QQP7" s="57"/>
      <c r="QQQ7" s="57"/>
      <c r="QQR7" s="57"/>
      <c r="QQS7" s="57"/>
      <c r="QQT7" s="57"/>
      <c r="QQU7" s="57"/>
      <c r="QQV7" s="57"/>
      <c r="QQW7" s="57"/>
      <c r="QQX7" s="57"/>
      <c r="QQY7" s="57"/>
      <c r="QQZ7" s="57"/>
      <c r="QRA7" s="57"/>
      <c r="QRB7" s="57"/>
      <c r="QRC7" s="57"/>
      <c r="QRD7" s="57"/>
      <c r="QRE7" s="57"/>
      <c r="QRF7" s="57"/>
      <c r="QRG7" s="57"/>
      <c r="QRH7" s="57"/>
      <c r="QRI7" s="57"/>
      <c r="QRJ7" s="57"/>
      <c r="QRK7" s="57"/>
      <c r="QRL7" s="57"/>
      <c r="QRM7" s="57"/>
      <c r="QRN7" s="57"/>
      <c r="QRO7" s="57"/>
      <c r="QRP7" s="57"/>
      <c r="QRQ7" s="57"/>
      <c r="QRR7" s="57"/>
      <c r="QRS7" s="57"/>
      <c r="QRT7" s="57"/>
      <c r="QRU7" s="57"/>
      <c r="QRV7" s="57"/>
      <c r="QRW7" s="57"/>
      <c r="QRX7" s="57"/>
      <c r="QRY7" s="57"/>
      <c r="QRZ7" s="57"/>
      <c r="QSA7" s="57"/>
      <c r="QSB7" s="57"/>
      <c r="QSC7" s="57"/>
      <c r="QSD7" s="57"/>
      <c r="QSE7" s="57"/>
      <c r="QSF7" s="57"/>
      <c r="QSG7" s="57"/>
      <c r="QSH7" s="57"/>
      <c r="QSI7" s="57"/>
      <c r="QSJ7" s="57"/>
      <c r="QSK7" s="57"/>
      <c r="QSL7" s="57"/>
      <c r="QSM7" s="57"/>
      <c r="QSN7" s="57"/>
      <c r="QSO7" s="57"/>
      <c r="QSP7" s="57"/>
      <c r="QSQ7" s="57"/>
      <c r="QSR7" s="57"/>
      <c r="QSS7" s="57"/>
      <c r="QST7" s="57"/>
      <c r="QSU7" s="57"/>
      <c r="QSV7" s="57"/>
      <c r="QSW7" s="57"/>
      <c r="QSX7" s="57"/>
      <c r="QSY7" s="57"/>
      <c r="QSZ7" s="57"/>
      <c r="QTA7" s="57"/>
      <c r="QTB7" s="57"/>
      <c r="QTC7" s="57"/>
      <c r="QTD7" s="57"/>
      <c r="QTE7" s="57"/>
      <c r="QTF7" s="57"/>
      <c r="QTG7" s="57"/>
      <c r="QTH7" s="57"/>
      <c r="QTI7" s="57"/>
      <c r="QTJ7" s="57"/>
      <c r="QTK7" s="57"/>
      <c r="QTL7" s="57"/>
      <c r="QTM7" s="57"/>
      <c r="QTN7" s="57"/>
      <c r="QTO7" s="57"/>
      <c r="QTP7" s="57"/>
      <c r="QTQ7" s="57"/>
      <c r="QTR7" s="57"/>
      <c r="QTS7" s="57"/>
      <c r="QTT7" s="57"/>
      <c r="QTU7" s="57"/>
      <c r="QTV7" s="57"/>
      <c r="QTW7" s="57"/>
      <c r="QTX7" s="57"/>
      <c r="QTY7" s="57"/>
      <c r="QTZ7" s="57"/>
      <c r="QUA7" s="57"/>
      <c r="QUB7" s="57"/>
      <c r="QUC7" s="57"/>
      <c r="QUD7" s="57"/>
      <c r="QUE7" s="57"/>
      <c r="QUF7" s="57"/>
      <c r="QUG7" s="57"/>
      <c r="QUH7" s="57"/>
      <c r="QUI7" s="57"/>
      <c r="QUJ7" s="57"/>
      <c r="QUK7" s="57"/>
      <c r="QUL7" s="57"/>
      <c r="QUM7" s="57"/>
      <c r="QUN7" s="57"/>
      <c r="QUO7" s="57"/>
      <c r="QUP7" s="57"/>
      <c r="QUQ7" s="57"/>
      <c r="QUR7" s="57"/>
      <c r="QUS7" s="57"/>
      <c r="QUT7" s="57"/>
      <c r="QUU7" s="57"/>
      <c r="QUV7" s="57"/>
      <c r="QUW7" s="57"/>
      <c r="QUX7" s="57"/>
      <c r="QUY7" s="57"/>
      <c r="QUZ7" s="57"/>
      <c r="QVA7" s="57"/>
      <c r="QVB7" s="57"/>
      <c r="QVC7" s="57"/>
      <c r="QVD7" s="57"/>
      <c r="QVE7" s="57"/>
      <c r="QVF7" s="57"/>
      <c r="QVG7" s="57"/>
      <c r="QVH7" s="57"/>
      <c r="QVI7" s="57"/>
      <c r="QVJ7" s="57"/>
      <c r="QVK7" s="57"/>
      <c r="QVL7" s="57"/>
      <c r="QVM7" s="57"/>
      <c r="QVN7" s="57"/>
      <c r="QVO7" s="57"/>
      <c r="QVP7" s="57"/>
      <c r="QVQ7" s="57"/>
      <c r="QVR7" s="57"/>
      <c r="QVS7" s="57"/>
      <c r="QVT7" s="57"/>
      <c r="QVU7" s="57"/>
      <c r="QVV7" s="57"/>
      <c r="QVW7" s="57"/>
      <c r="QVX7" s="57"/>
      <c r="QVY7" s="57"/>
      <c r="QVZ7" s="57"/>
      <c r="QWA7" s="57"/>
      <c r="QWB7" s="57"/>
      <c r="QWC7" s="57"/>
      <c r="QWD7" s="57"/>
      <c r="QWE7" s="57"/>
      <c r="QWF7" s="57"/>
      <c r="QWG7" s="57"/>
      <c r="QWH7" s="57"/>
      <c r="QWI7" s="57"/>
      <c r="QWJ7" s="57"/>
      <c r="QWK7" s="57"/>
      <c r="QWL7" s="57"/>
      <c r="QWM7" s="57"/>
      <c r="QWN7" s="57"/>
      <c r="QWO7" s="57"/>
      <c r="QWP7" s="57"/>
      <c r="QWQ7" s="57"/>
      <c r="QWR7" s="57"/>
      <c r="QWS7" s="57"/>
      <c r="QWT7" s="57"/>
      <c r="QWU7" s="57"/>
      <c r="QWV7" s="57"/>
      <c r="QWW7" s="57"/>
      <c r="QWX7" s="57"/>
      <c r="QWY7" s="57"/>
      <c r="QWZ7" s="57"/>
      <c r="QXA7" s="57"/>
      <c r="QXB7" s="57"/>
      <c r="QXC7" s="57"/>
      <c r="QXD7" s="57"/>
      <c r="QXE7" s="57"/>
      <c r="QXF7" s="57"/>
      <c r="QXG7" s="57"/>
      <c r="QXH7" s="57"/>
      <c r="QXI7" s="57"/>
      <c r="QXJ7" s="57"/>
      <c r="QXK7" s="57"/>
      <c r="QXL7" s="57"/>
      <c r="QXM7" s="57"/>
      <c r="QXN7" s="57"/>
      <c r="QXO7" s="57"/>
      <c r="QXP7" s="57"/>
      <c r="QXQ7" s="57"/>
      <c r="QXR7" s="57"/>
      <c r="QXS7" s="57"/>
      <c r="QXT7" s="57"/>
      <c r="QXU7" s="57"/>
      <c r="QXV7" s="57"/>
      <c r="QXW7" s="57"/>
      <c r="QXX7" s="57"/>
      <c r="QXY7" s="57"/>
      <c r="QXZ7" s="57"/>
      <c r="QYA7" s="57"/>
      <c r="QYB7" s="57"/>
      <c r="QYC7" s="57"/>
      <c r="QYD7" s="57"/>
      <c r="QYE7" s="57"/>
      <c r="QYF7" s="57"/>
      <c r="QYG7" s="57"/>
      <c r="QYH7" s="57"/>
      <c r="QYI7" s="57"/>
      <c r="QYJ7" s="57"/>
      <c r="QYK7" s="57"/>
      <c r="QYL7" s="57"/>
      <c r="QYM7" s="57"/>
      <c r="QYN7" s="57"/>
      <c r="QYO7" s="57"/>
      <c r="QYP7" s="57"/>
      <c r="QYQ7" s="57"/>
      <c r="QYR7" s="57"/>
      <c r="QYS7" s="57"/>
      <c r="QYT7" s="57"/>
      <c r="QYU7" s="57"/>
      <c r="QYV7" s="57"/>
      <c r="QYW7" s="57"/>
      <c r="QYX7" s="57"/>
      <c r="QYY7" s="57"/>
      <c r="QYZ7" s="57"/>
      <c r="QZA7" s="57"/>
      <c r="QZB7" s="57"/>
      <c r="QZC7" s="57"/>
      <c r="QZD7" s="57"/>
      <c r="QZE7" s="57"/>
      <c r="QZF7" s="57"/>
      <c r="QZG7" s="57"/>
      <c r="QZH7" s="57"/>
      <c r="QZI7" s="57"/>
      <c r="QZJ7" s="57"/>
      <c r="QZK7" s="57"/>
      <c r="QZL7" s="57"/>
      <c r="QZM7" s="57"/>
      <c r="QZN7" s="57"/>
      <c r="QZO7" s="57"/>
      <c r="QZP7" s="57"/>
      <c r="QZQ7" s="57"/>
      <c r="QZR7" s="57"/>
      <c r="QZS7" s="57"/>
      <c r="QZT7" s="57"/>
      <c r="QZU7" s="57"/>
      <c r="QZV7" s="57"/>
      <c r="QZW7" s="57"/>
      <c r="QZX7" s="57"/>
      <c r="QZY7" s="57"/>
      <c r="QZZ7" s="57"/>
      <c r="RAA7" s="57"/>
      <c r="RAB7" s="57"/>
      <c r="RAC7" s="57"/>
      <c r="RAD7" s="57"/>
      <c r="RAE7" s="57"/>
      <c r="RAF7" s="57"/>
      <c r="RAG7" s="57"/>
      <c r="RAH7" s="57"/>
      <c r="RAI7" s="57"/>
      <c r="RAJ7" s="57"/>
      <c r="RAK7" s="57"/>
      <c r="RAL7" s="57"/>
      <c r="RAM7" s="57"/>
      <c r="RAN7" s="57"/>
      <c r="RAO7" s="57"/>
      <c r="RAP7" s="57"/>
      <c r="RAQ7" s="57"/>
      <c r="RAR7" s="57"/>
      <c r="RAS7" s="57"/>
      <c r="RAT7" s="57"/>
      <c r="RAU7" s="57"/>
      <c r="RAV7" s="57"/>
      <c r="RAW7" s="57"/>
      <c r="RAX7" s="57"/>
      <c r="RAY7" s="57"/>
      <c r="RAZ7" s="57"/>
      <c r="RBA7" s="57"/>
      <c r="RBB7" s="57"/>
      <c r="RBC7" s="57"/>
      <c r="RBD7" s="57"/>
      <c r="RBE7" s="57"/>
      <c r="RBF7" s="57"/>
      <c r="RBG7" s="57"/>
      <c r="RBH7" s="57"/>
      <c r="RBI7" s="57"/>
      <c r="RBJ7" s="57"/>
      <c r="RBK7" s="57"/>
      <c r="RBL7" s="57"/>
      <c r="RBM7" s="57"/>
      <c r="RBN7" s="57"/>
      <c r="RBO7" s="57"/>
      <c r="RBP7" s="57"/>
      <c r="RBQ7" s="57"/>
      <c r="RBR7" s="57"/>
      <c r="RBS7" s="57"/>
      <c r="RBT7" s="57"/>
      <c r="RBU7" s="57"/>
      <c r="RBV7" s="57"/>
      <c r="RBW7" s="57"/>
      <c r="RBX7" s="57"/>
      <c r="RBY7" s="57"/>
      <c r="RBZ7" s="57"/>
      <c r="RCA7" s="57"/>
      <c r="RCB7" s="57"/>
      <c r="RCC7" s="57"/>
      <c r="RCD7" s="57"/>
      <c r="RCE7" s="57"/>
      <c r="RCF7" s="57"/>
      <c r="RCG7" s="57"/>
      <c r="RCH7" s="57"/>
      <c r="RCI7" s="57"/>
      <c r="RCJ7" s="57"/>
      <c r="RCK7" s="57"/>
      <c r="RCL7" s="57"/>
      <c r="RCM7" s="57"/>
      <c r="RCN7" s="57"/>
      <c r="RCO7" s="57"/>
      <c r="RCP7" s="57"/>
      <c r="RCQ7" s="57"/>
      <c r="RCR7" s="57"/>
      <c r="RCS7" s="57"/>
      <c r="RCT7" s="57"/>
      <c r="RCU7" s="57"/>
      <c r="RCV7" s="57"/>
      <c r="RCW7" s="57"/>
      <c r="RCX7" s="57"/>
      <c r="RCY7" s="57"/>
      <c r="RCZ7" s="57"/>
      <c r="RDA7" s="57"/>
      <c r="RDB7" s="57"/>
      <c r="RDC7" s="57"/>
      <c r="RDD7" s="57"/>
      <c r="RDE7" s="57"/>
      <c r="RDF7" s="57"/>
      <c r="RDG7" s="57"/>
      <c r="RDH7" s="57"/>
      <c r="RDI7" s="57"/>
      <c r="RDJ7" s="57"/>
      <c r="RDK7" s="57"/>
      <c r="RDL7" s="57"/>
      <c r="RDM7" s="57"/>
      <c r="RDN7" s="57"/>
      <c r="RDO7" s="57"/>
      <c r="RDP7" s="57"/>
      <c r="RDQ7" s="57"/>
      <c r="RDR7" s="57"/>
      <c r="RDS7" s="57"/>
      <c r="RDT7" s="57"/>
      <c r="RDU7" s="57"/>
      <c r="RDV7" s="57"/>
      <c r="RDW7" s="57"/>
      <c r="RDX7" s="57"/>
      <c r="RDY7" s="57"/>
      <c r="RDZ7" s="57"/>
      <c r="REA7" s="57"/>
      <c r="REB7" s="57"/>
      <c r="REC7" s="57"/>
      <c r="RED7" s="57"/>
      <c r="REE7" s="57"/>
      <c r="REF7" s="57"/>
      <c r="REG7" s="57"/>
      <c r="REH7" s="57"/>
      <c r="REI7" s="57"/>
      <c r="REJ7" s="57"/>
      <c r="REK7" s="57"/>
      <c r="REL7" s="57"/>
      <c r="REM7" s="57"/>
      <c r="REN7" s="57"/>
      <c r="REO7" s="57"/>
      <c r="REP7" s="57"/>
      <c r="REQ7" s="57"/>
      <c r="RER7" s="57"/>
      <c r="RES7" s="57"/>
      <c r="RET7" s="57"/>
      <c r="REU7" s="57"/>
      <c r="REV7" s="57"/>
      <c r="REW7" s="57"/>
      <c r="REX7" s="57"/>
      <c r="REY7" s="57"/>
      <c r="REZ7" s="57"/>
      <c r="RFA7" s="57"/>
      <c r="RFB7" s="57"/>
      <c r="RFC7" s="57"/>
      <c r="RFD7" s="57"/>
      <c r="RFE7" s="57"/>
      <c r="RFF7" s="57"/>
      <c r="RFG7" s="57"/>
      <c r="RFH7" s="57"/>
      <c r="RFI7" s="57"/>
      <c r="RFJ7" s="57"/>
      <c r="RFK7" s="57"/>
      <c r="RFL7" s="57"/>
      <c r="RFM7" s="57"/>
      <c r="RFN7" s="57"/>
      <c r="RFO7" s="57"/>
      <c r="RFP7" s="57"/>
      <c r="RFQ7" s="57"/>
      <c r="RFR7" s="57"/>
      <c r="RFS7" s="57"/>
      <c r="RFT7" s="57"/>
      <c r="RFU7" s="57"/>
      <c r="RFV7" s="57"/>
      <c r="RFW7" s="57"/>
      <c r="RFX7" s="57"/>
      <c r="RFY7" s="57"/>
      <c r="RFZ7" s="57"/>
      <c r="RGA7" s="57"/>
      <c r="RGB7" s="57"/>
      <c r="RGC7" s="57"/>
      <c r="RGD7" s="57"/>
      <c r="RGE7" s="57"/>
      <c r="RGF7" s="57"/>
      <c r="RGG7" s="57"/>
      <c r="RGH7" s="57"/>
      <c r="RGI7" s="57"/>
      <c r="RGJ7" s="57"/>
      <c r="RGK7" s="57"/>
      <c r="RGL7" s="57"/>
      <c r="RGM7" s="57"/>
      <c r="RGN7" s="57"/>
      <c r="RGO7" s="57"/>
      <c r="RGP7" s="57"/>
      <c r="RGQ7" s="57"/>
      <c r="RGR7" s="57"/>
      <c r="RGS7" s="57"/>
      <c r="RGT7" s="57"/>
      <c r="RGU7" s="57"/>
      <c r="RGV7" s="57"/>
      <c r="RGW7" s="57"/>
      <c r="RGX7" s="57"/>
      <c r="RGY7" s="57"/>
      <c r="RGZ7" s="57"/>
      <c r="RHA7" s="57"/>
      <c r="RHB7" s="57"/>
      <c r="RHC7" s="57"/>
      <c r="RHD7" s="57"/>
      <c r="RHE7" s="57"/>
      <c r="RHF7" s="57"/>
      <c r="RHG7" s="57"/>
      <c r="RHH7" s="57"/>
      <c r="RHI7" s="57"/>
      <c r="RHJ7" s="57"/>
      <c r="RHK7" s="57"/>
      <c r="RHL7" s="57"/>
      <c r="RHM7" s="57"/>
      <c r="RHN7" s="57"/>
      <c r="RHO7" s="57"/>
      <c r="RHP7" s="57"/>
      <c r="RHQ7" s="57"/>
      <c r="RHR7" s="57"/>
      <c r="RHS7" s="57"/>
      <c r="RHT7" s="57"/>
      <c r="RHU7" s="57"/>
      <c r="RHV7" s="57"/>
      <c r="RHW7" s="57"/>
      <c r="RHX7" s="57"/>
      <c r="RHY7" s="57"/>
      <c r="RHZ7" s="57"/>
      <c r="RIA7" s="57"/>
      <c r="RIB7" s="57"/>
      <c r="RIC7" s="57"/>
      <c r="RID7" s="57"/>
      <c r="RIE7" s="57"/>
      <c r="RIF7" s="57"/>
      <c r="RIG7" s="57"/>
      <c r="RIH7" s="57"/>
      <c r="RII7" s="57"/>
      <c r="RIJ7" s="57"/>
      <c r="RIK7" s="57"/>
      <c r="RIL7" s="57"/>
      <c r="RIM7" s="57"/>
      <c r="RIN7" s="57"/>
      <c r="RIO7" s="57"/>
      <c r="RIP7" s="57"/>
      <c r="RIQ7" s="57"/>
      <c r="RIR7" s="57"/>
      <c r="RIS7" s="57"/>
      <c r="RIT7" s="57"/>
      <c r="RIU7" s="57"/>
      <c r="RIV7" s="57"/>
      <c r="RIW7" s="57"/>
      <c r="RIX7" s="57"/>
      <c r="RIY7" s="57"/>
      <c r="RIZ7" s="57"/>
      <c r="RJA7" s="57"/>
      <c r="RJB7" s="57"/>
      <c r="RJC7" s="57"/>
      <c r="RJD7" s="57"/>
      <c r="RJE7" s="57"/>
      <c r="RJF7" s="57"/>
      <c r="RJG7" s="57"/>
      <c r="RJH7" s="57"/>
      <c r="RJI7" s="57"/>
      <c r="RJJ7" s="57"/>
      <c r="RJK7" s="57"/>
      <c r="RJL7" s="57"/>
      <c r="RJM7" s="57"/>
      <c r="RJN7" s="57"/>
      <c r="RJO7" s="57"/>
      <c r="RJP7" s="57"/>
      <c r="RJQ7" s="57"/>
      <c r="RJR7" s="57"/>
      <c r="RJS7" s="57"/>
      <c r="RJT7" s="57"/>
      <c r="RJU7" s="57"/>
      <c r="RJV7" s="57"/>
      <c r="RJW7" s="57"/>
      <c r="RJX7" s="57"/>
      <c r="RJY7" s="57"/>
      <c r="RJZ7" s="57"/>
      <c r="RKA7" s="57"/>
      <c r="RKB7" s="57"/>
      <c r="RKC7" s="57"/>
      <c r="RKD7" s="57"/>
      <c r="RKE7" s="57"/>
      <c r="RKF7" s="57"/>
      <c r="RKG7" s="57"/>
      <c r="RKH7" s="57"/>
      <c r="RKI7" s="57"/>
      <c r="RKJ7" s="57"/>
      <c r="RKK7" s="57"/>
      <c r="RKL7" s="57"/>
      <c r="RKM7" s="57"/>
      <c r="RKN7" s="57"/>
      <c r="RKO7" s="57"/>
      <c r="RKP7" s="57"/>
      <c r="RKQ7" s="57"/>
      <c r="RKR7" s="57"/>
      <c r="RKS7" s="57"/>
      <c r="RKT7" s="57"/>
      <c r="RKU7" s="57"/>
      <c r="RKV7" s="57"/>
      <c r="RKW7" s="57"/>
      <c r="RKX7" s="57"/>
      <c r="RKY7" s="57"/>
      <c r="RKZ7" s="57"/>
      <c r="RLA7" s="57"/>
      <c r="RLB7" s="57"/>
      <c r="RLC7" s="57"/>
      <c r="RLD7" s="57"/>
      <c r="RLE7" s="57"/>
      <c r="RLF7" s="57"/>
      <c r="RLG7" s="57"/>
      <c r="RLH7" s="57"/>
      <c r="RLI7" s="57"/>
      <c r="RLJ7" s="57"/>
      <c r="RLK7" s="57"/>
      <c r="RLL7" s="57"/>
      <c r="RLM7" s="57"/>
      <c r="RLN7" s="57"/>
      <c r="RLO7" s="57"/>
      <c r="RLP7" s="57"/>
      <c r="RLQ7" s="57"/>
      <c r="RLR7" s="57"/>
      <c r="RLS7" s="57"/>
      <c r="RLT7" s="57"/>
      <c r="RLU7" s="57"/>
      <c r="RLV7" s="57"/>
      <c r="RLW7" s="57"/>
      <c r="RLX7" s="57"/>
      <c r="RLY7" s="57"/>
      <c r="RLZ7" s="57"/>
      <c r="RMA7" s="57"/>
      <c r="RMB7" s="57"/>
      <c r="RMC7" s="57"/>
      <c r="RMD7" s="57"/>
      <c r="RME7" s="57"/>
      <c r="RMF7" s="57"/>
      <c r="RMG7" s="57"/>
      <c r="RMH7" s="57"/>
      <c r="RMI7" s="57"/>
      <c r="RMJ7" s="57"/>
      <c r="RMK7" s="57"/>
      <c r="RML7" s="57"/>
      <c r="RMM7" s="57"/>
      <c r="RMN7" s="57"/>
      <c r="RMO7" s="57"/>
      <c r="RMP7" s="57"/>
      <c r="RMQ7" s="57"/>
      <c r="RMR7" s="57"/>
      <c r="RMS7" s="57"/>
      <c r="RMT7" s="57"/>
      <c r="RMU7" s="57"/>
      <c r="RMV7" s="57"/>
      <c r="RMW7" s="57"/>
      <c r="RMX7" s="57"/>
      <c r="RMY7" s="57"/>
      <c r="RMZ7" s="57"/>
      <c r="RNA7" s="57"/>
      <c r="RNB7" s="57"/>
      <c r="RNC7" s="57"/>
      <c r="RND7" s="57"/>
      <c r="RNE7" s="57"/>
      <c r="RNF7" s="57"/>
      <c r="RNG7" s="57"/>
      <c r="RNH7" s="57"/>
      <c r="RNI7" s="57"/>
      <c r="RNJ7" s="57"/>
      <c r="RNK7" s="57"/>
      <c r="RNL7" s="57"/>
      <c r="RNM7" s="57"/>
      <c r="RNN7" s="57"/>
      <c r="RNO7" s="57"/>
      <c r="RNP7" s="57"/>
      <c r="RNQ7" s="57"/>
      <c r="RNR7" s="57"/>
      <c r="RNS7" s="57"/>
      <c r="RNT7" s="57"/>
      <c r="RNU7" s="57"/>
      <c r="RNV7" s="57"/>
      <c r="RNW7" s="57"/>
      <c r="RNX7" s="57"/>
      <c r="RNY7" s="57"/>
      <c r="RNZ7" s="57"/>
      <c r="ROA7" s="57"/>
      <c r="ROB7" s="57"/>
      <c r="ROC7" s="57"/>
      <c r="ROD7" s="57"/>
      <c r="ROE7" s="57"/>
      <c r="ROF7" s="57"/>
      <c r="ROG7" s="57"/>
      <c r="ROH7" s="57"/>
      <c r="ROI7" s="57"/>
      <c r="ROJ7" s="57"/>
      <c r="ROK7" s="57"/>
      <c r="ROL7" s="57"/>
      <c r="ROM7" s="57"/>
      <c r="RON7" s="57"/>
      <c r="ROO7" s="57"/>
      <c r="ROP7" s="57"/>
      <c r="ROQ7" s="57"/>
      <c r="ROR7" s="57"/>
      <c r="ROS7" s="57"/>
      <c r="ROT7" s="57"/>
      <c r="ROU7" s="57"/>
      <c r="ROV7" s="57"/>
      <c r="ROW7" s="57"/>
      <c r="ROX7" s="57"/>
      <c r="ROY7" s="57"/>
      <c r="ROZ7" s="57"/>
      <c r="RPA7" s="57"/>
      <c r="RPB7" s="57"/>
      <c r="RPC7" s="57"/>
      <c r="RPD7" s="57"/>
      <c r="RPE7" s="57"/>
      <c r="RPF7" s="57"/>
      <c r="RPG7" s="57"/>
      <c r="RPH7" s="57"/>
      <c r="RPI7" s="57"/>
      <c r="RPJ7" s="57"/>
      <c r="RPK7" s="57"/>
      <c r="RPL7" s="57"/>
      <c r="RPM7" s="57"/>
      <c r="RPN7" s="57"/>
      <c r="RPO7" s="57"/>
      <c r="RPP7" s="57"/>
      <c r="RPQ7" s="57"/>
      <c r="RPR7" s="57"/>
      <c r="RPS7" s="57"/>
      <c r="RPT7" s="57"/>
      <c r="RPU7" s="57"/>
      <c r="RPV7" s="57"/>
      <c r="RPW7" s="57"/>
      <c r="RPX7" s="57"/>
      <c r="RPY7" s="57"/>
      <c r="RPZ7" s="57"/>
      <c r="RQA7" s="57"/>
      <c r="RQB7" s="57"/>
      <c r="RQC7" s="57"/>
      <c r="RQD7" s="57"/>
      <c r="RQE7" s="57"/>
      <c r="RQF7" s="57"/>
      <c r="RQG7" s="57"/>
      <c r="RQH7" s="57"/>
      <c r="RQI7" s="57"/>
      <c r="RQJ7" s="57"/>
      <c r="RQK7" s="57"/>
      <c r="RQL7" s="57"/>
      <c r="RQM7" s="57"/>
      <c r="RQN7" s="57"/>
      <c r="RQO7" s="57"/>
      <c r="RQP7" s="57"/>
      <c r="RQQ7" s="57"/>
      <c r="RQR7" s="57"/>
      <c r="RQS7" s="57"/>
      <c r="RQT7" s="57"/>
      <c r="RQU7" s="57"/>
      <c r="RQV7" s="57"/>
      <c r="RQW7" s="57"/>
      <c r="RQX7" s="57"/>
      <c r="RQY7" s="57"/>
      <c r="RQZ7" s="57"/>
      <c r="RRA7" s="57"/>
      <c r="RRB7" s="57"/>
      <c r="RRC7" s="57"/>
      <c r="RRD7" s="57"/>
      <c r="RRE7" s="57"/>
      <c r="RRF7" s="57"/>
      <c r="RRG7" s="57"/>
      <c r="RRH7" s="57"/>
      <c r="RRI7" s="57"/>
      <c r="RRJ7" s="57"/>
      <c r="RRK7" s="57"/>
      <c r="RRL7" s="57"/>
      <c r="RRM7" s="57"/>
      <c r="RRN7" s="57"/>
      <c r="RRO7" s="57"/>
      <c r="RRP7" s="57"/>
      <c r="RRQ7" s="57"/>
      <c r="RRR7" s="57"/>
      <c r="RRS7" s="57"/>
      <c r="RRT7" s="57"/>
      <c r="RRU7" s="57"/>
      <c r="RRV7" s="57"/>
      <c r="RRW7" s="57"/>
      <c r="RRX7" s="57"/>
      <c r="RRY7" s="57"/>
      <c r="RRZ7" s="57"/>
      <c r="RSA7" s="57"/>
      <c r="RSB7" s="57"/>
      <c r="RSC7" s="57"/>
      <c r="RSD7" s="57"/>
      <c r="RSE7" s="57"/>
      <c r="RSF7" s="57"/>
      <c r="RSG7" s="57"/>
      <c r="RSH7" s="57"/>
      <c r="RSI7" s="57"/>
      <c r="RSJ7" s="57"/>
      <c r="RSK7" s="57"/>
      <c r="RSL7" s="57"/>
      <c r="RSM7" s="57"/>
      <c r="RSN7" s="57"/>
      <c r="RSO7" s="57"/>
      <c r="RSP7" s="57"/>
      <c r="RSQ7" s="57"/>
      <c r="RSR7" s="57"/>
      <c r="RSS7" s="57"/>
      <c r="RST7" s="57"/>
      <c r="RSU7" s="57"/>
      <c r="RSV7" s="57"/>
      <c r="RSW7" s="57"/>
      <c r="RSX7" s="57"/>
      <c r="RSY7" s="57"/>
      <c r="RSZ7" s="57"/>
      <c r="RTA7" s="57"/>
      <c r="RTB7" s="57"/>
      <c r="RTC7" s="57"/>
      <c r="RTD7" s="57"/>
      <c r="RTE7" s="57"/>
      <c r="RTF7" s="57"/>
      <c r="RTG7" s="57"/>
      <c r="RTH7" s="57"/>
      <c r="RTI7" s="57"/>
      <c r="RTJ7" s="57"/>
      <c r="RTK7" s="57"/>
      <c r="RTL7" s="57"/>
      <c r="RTM7" s="57"/>
      <c r="RTN7" s="57"/>
      <c r="RTO7" s="57"/>
      <c r="RTP7" s="57"/>
      <c r="RTQ7" s="57"/>
      <c r="RTR7" s="57"/>
      <c r="RTS7" s="57"/>
      <c r="RTT7" s="57"/>
      <c r="RTU7" s="57"/>
      <c r="RTV7" s="57"/>
      <c r="RTW7" s="57"/>
      <c r="RTX7" s="57"/>
      <c r="RTY7" s="57"/>
      <c r="RTZ7" s="57"/>
      <c r="RUA7" s="57"/>
      <c r="RUB7" s="57"/>
      <c r="RUC7" s="57"/>
      <c r="RUD7" s="57"/>
      <c r="RUE7" s="57"/>
      <c r="RUF7" s="57"/>
      <c r="RUG7" s="57"/>
      <c r="RUH7" s="57"/>
      <c r="RUI7" s="57"/>
      <c r="RUJ7" s="57"/>
      <c r="RUK7" s="57"/>
      <c r="RUL7" s="57"/>
      <c r="RUM7" s="57"/>
      <c r="RUN7" s="57"/>
      <c r="RUO7" s="57"/>
      <c r="RUP7" s="57"/>
      <c r="RUQ7" s="57"/>
      <c r="RUR7" s="57"/>
      <c r="RUS7" s="57"/>
      <c r="RUT7" s="57"/>
      <c r="RUU7" s="57"/>
      <c r="RUV7" s="57"/>
      <c r="RUW7" s="57"/>
      <c r="RUX7" s="57"/>
      <c r="RUY7" s="57"/>
      <c r="RUZ7" s="57"/>
      <c r="RVA7" s="57"/>
      <c r="RVB7" s="57"/>
      <c r="RVC7" s="57"/>
      <c r="RVD7" s="57"/>
      <c r="RVE7" s="57"/>
      <c r="RVF7" s="57"/>
      <c r="RVG7" s="57"/>
      <c r="RVH7" s="57"/>
      <c r="RVI7" s="57"/>
      <c r="RVJ7" s="57"/>
      <c r="RVK7" s="57"/>
      <c r="RVL7" s="57"/>
      <c r="RVM7" s="57"/>
      <c r="RVN7" s="57"/>
      <c r="RVO7" s="57"/>
      <c r="RVP7" s="57"/>
      <c r="RVQ7" s="57"/>
      <c r="RVR7" s="57"/>
      <c r="RVS7" s="57"/>
      <c r="RVT7" s="57"/>
      <c r="RVU7" s="57"/>
      <c r="RVV7" s="57"/>
      <c r="RVW7" s="57"/>
      <c r="RVX7" s="57"/>
      <c r="RVY7" s="57"/>
      <c r="RVZ7" s="57"/>
      <c r="RWA7" s="57"/>
      <c r="RWB7" s="57"/>
      <c r="RWC7" s="57"/>
      <c r="RWD7" s="57"/>
      <c r="RWE7" s="57"/>
      <c r="RWF7" s="57"/>
      <c r="RWG7" s="57"/>
      <c r="RWH7" s="57"/>
      <c r="RWI7" s="57"/>
      <c r="RWJ7" s="57"/>
      <c r="RWK7" s="57"/>
      <c r="RWL7" s="57"/>
      <c r="RWM7" s="57"/>
      <c r="RWN7" s="57"/>
      <c r="RWO7" s="57"/>
      <c r="RWP7" s="57"/>
      <c r="RWQ7" s="57"/>
      <c r="RWR7" s="57"/>
      <c r="RWS7" s="57"/>
      <c r="RWT7" s="57"/>
      <c r="RWU7" s="57"/>
      <c r="RWV7" s="57"/>
      <c r="RWW7" s="57"/>
      <c r="RWX7" s="57"/>
      <c r="RWY7" s="57"/>
      <c r="RWZ7" s="57"/>
      <c r="RXA7" s="57"/>
      <c r="RXB7" s="57"/>
      <c r="RXC7" s="57"/>
      <c r="RXD7" s="57"/>
      <c r="RXE7" s="57"/>
      <c r="RXF7" s="57"/>
      <c r="RXG7" s="57"/>
      <c r="RXH7" s="57"/>
      <c r="RXI7" s="57"/>
      <c r="RXJ7" s="57"/>
      <c r="RXK7" s="57"/>
      <c r="RXL7" s="57"/>
      <c r="RXM7" s="57"/>
      <c r="RXN7" s="57"/>
      <c r="RXO7" s="57"/>
      <c r="RXP7" s="57"/>
      <c r="RXQ7" s="57"/>
      <c r="RXR7" s="57"/>
      <c r="RXS7" s="57"/>
      <c r="RXT7" s="57"/>
      <c r="RXU7" s="57"/>
      <c r="RXV7" s="57"/>
      <c r="RXW7" s="57"/>
      <c r="RXX7" s="57"/>
      <c r="RXY7" s="57"/>
      <c r="RXZ7" s="57"/>
      <c r="RYA7" s="57"/>
      <c r="RYB7" s="57"/>
      <c r="RYC7" s="57"/>
      <c r="RYD7" s="57"/>
      <c r="RYE7" s="57"/>
      <c r="RYF7" s="57"/>
      <c r="RYG7" s="57"/>
      <c r="RYH7" s="57"/>
      <c r="RYI7" s="57"/>
      <c r="RYJ7" s="57"/>
      <c r="RYK7" s="57"/>
      <c r="RYL7" s="57"/>
      <c r="RYM7" s="57"/>
      <c r="RYN7" s="57"/>
      <c r="RYO7" s="57"/>
      <c r="RYP7" s="57"/>
      <c r="RYQ7" s="57"/>
      <c r="RYR7" s="57"/>
      <c r="RYS7" s="57"/>
      <c r="RYT7" s="57"/>
      <c r="RYU7" s="57"/>
      <c r="RYV7" s="57"/>
      <c r="RYW7" s="57"/>
      <c r="RYX7" s="57"/>
      <c r="RYY7" s="57"/>
      <c r="RYZ7" s="57"/>
      <c r="RZA7" s="57"/>
      <c r="RZB7" s="57"/>
      <c r="RZC7" s="57"/>
      <c r="RZD7" s="57"/>
      <c r="RZE7" s="57"/>
      <c r="RZF7" s="57"/>
      <c r="RZG7" s="57"/>
      <c r="RZH7" s="57"/>
      <c r="RZI7" s="57"/>
      <c r="RZJ7" s="57"/>
      <c r="RZK7" s="57"/>
      <c r="RZL7" s="57"/>
      <c r="RZM7" s="57"/>
      <c r="RZN7" s="57"/>
      <c r="RZO7" s="57"/>
      <c r="RZP7" s="57"/>
      <c r="RZQ7" s="57"/>
      <c r="RZR7" s="57"/>
      <c r="RZS7" s="57"/>
      <c r="RZT7" s="57"/>
      <c r="RZU7" s="57"/>
      <c r="RZV7" s="57"/>
      <c r="RZW7" s="57"/>
      <c r="RZX7" s="57"/>
      <c r="RZY7" s="57"/>
      <c r="RZZ7" s="57"/>
      <c r="SAA7" s="57"/>
      <c r="SAB7" s="57"/>
      <c r="SAC7" s="57"/>
      <c r="SAD7" s="57"/>
      <c r="SAE7" s="57"/>
      <c r="SAF7" s="57"/>
      <c r="SAG7" s="57"/>
      <c r="SAH7" s="57"/>
      <c r="SAI7" s="57"/>
      <c r="SAJ7" s="57"/>
      <c r="SAK7" s="57"/>
      <c r="SAL7" s="57"/>
      <c r="SAM7" s="57"/>
      <c r="SAN7" s="57"/>
      <c r="SAO7" s="57"/>
      <c r="SAP7" s="57"/>
      <c r="SAQ7" s="57"/>
      <c r="SAR7" s="57"/>
      <c r="SAS7" s="57"/>
      <c r="SAT7" s="57"/>
      <c r="SAU7" s="57"/>
      <c r="SAV7" s="57"/>
      <c r="SAW7" s="57"/>
      <c r="SAX7" s="57"/>
      <c r="SAY7" s="57"/>
      <c r="SAZ7" s="57"/>
      <c r="SBA7" s="57"/>
      <c r="SBB7" s="57"/>
      <c r="SBC7" s="57"/>
      <c r="SBD7" s="57"/>
      <c r="SBE7" s="57"/>
      <c r="SBF7" s="57"/>
      <c r="SBG7" s="57"/>
      <c r="SBH7" s="57"/>
      <c r="SBI7" s="57"/>
      <c r="SBJ7" s="57"/>
      <c r="SBK7" s="57"/>
      <c r="SBL7" s="57"/>
      <c r="SBM7" s="57"/>
      <c r="SBN7" s="57"/>
      <c r="SBO7" s="57"/>
      <c r="SBP7" s="57"/>
      <c r="SBQ7" s="57"/>
      <c r="SBR7" s="57"/>
      <c r="SBS7" s="57"/>
      <c r="SBT7" s="57"/>
      <c r="SBU7" s="57"/>
      <c r="SBV7" s="57"/>
      <c r="SBW7" s="57"/>
      <c r="SBX7" s="57"/>
      <c r="SBY7" s="57"/>
      <c r="SBZ7" s="57"/>
      <c r="SCA7" s="57"/>
      <c r="SCB7" s="57"/>
      <c r="SCC7" s="57"/>
      <c r="SCD7" s="57"/>
      <c r="SCE7" s="57"/>
      <c r="SCF7" s="57"/>
      <c r="SCG7" s="57"/>
      <c r="SCH7" s="57"/>
      <c r="SCI7" s="57"/>
      <c r="SCJ7" s="57"/>
      <c r="SCK7" s="57"/>
      <c r="SCL7" s="57"/>
      <c r="SCM7" s="57"/>
      <c r="SCN7" s="57"/>
      <c r="SCO7" s="57"/>
      <c r="SCP7" s="57"/>
      <c r="SCQ7" s="57"/>
      <c r="SCR7" s="57"/>
      <c r="SCS7" s="57"/>
      <c r="SCT7" s="57"/>
      <c r="SCU7" s="57"/>
      <c r="SCV7" s="57"/>
      <c r="SCW7" s="57"/>
      <c r="SCX7" s="57"/>
      <c r="SCY7" s="57"/>
      <c r="SCZ7" s="57"/>
      <c r="SDA7" s="57"/>
      <c r="SDB7" s="57"/>
      <c r="SDC7" s="57"/>
      <c r="SDD7" s="57"/>
      <c r="SDE7" s="57"/>
      <c r="SDF7" s="57"/>
      <c r="SDG7" s="57"/>
      <c r="SDH7" s="57"/>
      <c r="SDI7" s="57"/>
      <c r="SDJ7" s="57"/>
      <c r="SDK7" s="57"/>
      <c r="SDL7" s="57"/>
      <c r="SDM7" s="57"/>
      <c r="SDN7" s="57"/>
      <c r="SDO7" s="57"/>
      <c r="SDP7" s="57"/>
      <c r="SDQ7" s="57"/>
      <c r="SDR7" s="57"/>
      <c r="SDS7" s="57"/>
      <c r="SDT7" s="57"/>
      <c r="SDU7" s="57"/>
      <c r="SDV7" s="57"/>
      <c r="SDW7" s="57"/>
      <c r="SDX7" s="57"/>
      <c r="SDY7" s="57"/>
      <c r="SDZ7" s="57"/>
      <c r="SEA7" s="57"/>
      <c r="SEB7" s="57"/>
      <c r="SEC7" s="57"/>
      <c r="SED7" s="57"/>
      <c r="SEE7" s="57"/>
      <c r="SEF7" s="57"/>
      <c r="SEG7" s="57"/>
      <c r="SEH7" s="57"/>
      <c r="SEI7" s="57"/>
      <c r="SEJ7" s="57"/>
      <c r="SEK7" s="57"/>
      <c r="SEL7" s="57"/>
      <c r="SEM7" s="57"/>
      <c r="SEN7" s="57"/>
      <c r="SEO7" s="57"/>
      <c r="SEP7" s="57"/>
      <c r="SEQ7" s="57"/>
      <c r="SER7" s="57"/>
      <c r="SES7" s="57"/>
      <c r="SET7" s="57"/>
      <c r="SEU7" s="57"/>
      <c r="SEV7" s="57"/>
      <c r="SEW7" s="57"/>
      <c r="SEX7" s="57"/>
      <c r="SEY7" s="57"/>
      <c r="SEZ7" s="57"/>
      <c r="SFA7" s="57"/>
      <c r="SFB7" s="57"/>
      <c r="SFC7" s="57"/>
      <c r="SFD7" s="57"/>
      <c r="SFE7" s="57"/>
      <c r="SFF7" s="57"/>
      <c r="SFG7" s="57"/>
      <c r="SFH7" s="57"/>
      <c r="SFI7" s="57"/>
      <c r="SFJ7" s="57"/>
      <c r="SFK7" s="57"/>
      <c r="SFL7" s="57"/>
      <c r="SFM7" s="57"/>
      <c r="SFN7" s="57"/>
      <c r="SFO7" s="57"/>
      <c r="SFP7" s="57"/>
      <c r="SFQ7" s="57"/>
      <c r="SFR7" s="57"/>
      <c r="SFS7" s="57"/>
      <c r="SFT7" s="57"/>
      <c r="SFU7" s="57"/>
      <c r="SFV7" s="57"/>
      <c r="SFW7" s="57"/>
      <c r="SFX7" s="57"/>
      <c r="SFY7" s="57"/>
      <c r="SFZ7" s="57"/>
      <c r="SGA7" s="57"/>
      <c r="SGB7" s="57"/>
      <c r="SGC7" s="57"/>
      <c r="SGD7" s="57"/>
      <c r="SGE7" s="57"/>
      <c r="SGF7" s="57"/>
      <c r="SGG7" s="57"/>
      <c r="SGH7" s="57"/>
      <c r="SGI7" s="57"/>
      <c r="SGJ7" s="57"/>
      <c r="SGK7" s="57"/>
      <c r="SGL7" s="57"/>
      <c r="SGM7" s="57"/>
      <c r="SGN7" s="57"/>
      <c r="SGO7" s="57"/>
      <c r="SGP7" s="57"/>
      <c r="SGQ7" s="57"/>
      <c r="SGR7" s="57"/>
      <c r="SGS7" s="57"/>
      <c r="SGT7" s="57"/>
      <c r="SGU7" s="57"/>
      <c r="SGV7" s="57"/>
      <c r="SGW7" s="57"/>
      <c r="SGX7" s="57"/>
      <c r="SGY7" s="57"/>
      <c r="SGZ7" s="57"/>
      <c r="SHA7" s="57"/>
      <c r="SHB7" s="57"/>
      <c r="SHC7" s="57"/>
      <c r="SHD7" s="57"/>
      <c r="SHE7" s="57"/>
      <c r="SHF7" s="57"/>
      <c r="SHG7" s="57"/>
      <c r="SHH7" s="57"/>
      <c r="SHI7" s="57"/>
      <c r="SHJ7" s="57"/>
      <c r="SHK7" s="57"/>
      <c r="SHL7" s="57"/>
      <c r="SHM7" s="57"/>
      <c r="SHN7" s="57"/>
      <c r="SHO7" s="57"/>
      <c r="SHP7" s="57"/>
      <c r="SHQ7" s="57"/>
      <c r="SHR7" s="57"/>
      <c r="SHS7" s="57"/>
      <c r="SHT7" s="57"/>
      <c r="SHU7" s="57"/>
      <c r="SHV7" s="57"/>
      <c r="SHW7" s="57"/>
      <c r="SHX7" s="57"/>
      <c r="SHY7" s="57"/>
      <c r="SHZ7" s="57"/>
      <c r="SIA7" s="57"/>
      <c r="SIB7" s="57"/>
      <c r="SIC7" s="57"/>
      <c r="SID7" s="57"/>
      <c r="SIE7" s="57"/>
      <c r="SIF7" s="57"/>
      <c r="SIG7" s="57"/>
      <c r="SIH7" s="57"/>
      <c r="SII7" s="57"/>
      <c r="SIJ7" s="57"/>
      <c r="SIK7" s="57"/>
      <c r="SIL7" s="57"/>
      <c r="SIM7" s="57"/>
      <c r="SIN7" s="57"/>
      <c r="SIO7" s="57"/>
      <c r="SIP7" s="57"/>
      <c r="SIQ7" s="57"/>
      <c r="SIR7" s="57"/>
      <c r="SIS7" s="57"/>
      <c r="SIT7" s="57"/>
      <c r="SIU7" s="57"/>
      <c r="SIV7" s="57"/>
      <c r="SIW7" s="57"/>
      <c r="SIX7" s="57"/>
      <c r="SIY7" s="57"/>
      <c r="SIZ7" s="57"/>
      <c r="SJA7" s="57"/>
      <c r="SJB7" s="57"/>
      <c r="SJC7" s="57"/>
      <c r="SJD7" s="57"/>
      <c r="SJE7" s="57"/>
      <c r="SJF7" s="57"/>
      <c r="SJG7" s="57"/>
      <c r="SJH7" s="57"/>
      <c r="SJI7" s="57"/>
      <c r="SJJ7" s="57"/>
      <c r="SJK7" s="57"/>
      <c r="SJL7" s="57"/>
      <c r="SJM7" s="57"/>
      <c r="SJN7" s="57"/>
      <c r="SJO7" s="57"/>
      <c r="SJP7" s="57"/>
      <c r="SJQ7" s="57"/>
      <c r="SJR7" s="57"/>
      <c r="SJS7" s="57"/>
      <c r="SJT7" s="57"/>
      <c r="SJU7" s="57"/>
      <c r="SJV7" s="57"/>
      <c r="SJW7" s="57"/>
      <c r="SJX7" s="57"/>
      <c r="SJY7" s="57"/>
      <c r="SJZ7" s="57"/>
      <c r="SKA7" s="57"/>
      <c r="SKB7" s="57"/>
      <c r="SKC7" s="57"/>
      <c r="SKD7" s="57"/>
      <c r="SKE7" s="57"/>
      <c r="SKF7" s="57"/>
      <c r="SKG7" s="57"/>
      <c r="SKH7" s="57"/>
      <c r="SKI7" s="57"/>
      <c r="SKJ7" s="57"/>
      <c r="SKK7" s="57"/>
      <c r="SKL7" s="57"/>
      <c r="SKM7" s="57"/>
      <c r="SKN7" s="57"/>
      <c r="SKO7" s="57"/>
      <c r="SKP7" s="57"/>
      <c r="SKQ7" s="57"/>
      <c r="SKR7" s="57"/>
      <c r="SKS7" s="57"/>
      <c r="SKT7" s="57"/>
      <c r="SKU7" s="57"/>
      <c r="SKV7" s="57"/>
      <c r="SKW7" s="57"/>
      <c r="SKX7" s="57"/>
      <c r="SKY7" s="57"/>
      <c r="SKZ7" s="57"/>
      <c r="SLA7" s="57"/>
      <c r="SLB7" s="57"/>
      <c r="SLC7" s="57"/>
      <c r="SLD7" s="57"/>
      <c r="SLE7" s="57"/>
      <c r="SLF7" s="57"/>
      <c r="SLG7" s="57"/>
      <c r="SLH7" s="57"/>
      <c r="SLI7" s="57"/>
      <c r="SLJ7" s="57"/>
      <c r="SLK7" s="57"/>
      <c r="SLL7" s="57"/>
      <c r="SLM7" s="57"/>
      <c r="SLN7" s="57"/>
      <c r="SLO7" s="57"/>
      <c r="SLP7" s="57"/>
      <c r="SLQ7" s="57"/>
      <c r="SLR7" s="57"/>
      <c r="SLS7" s="57"/>
      <c r="SLT7" s="57"/>
      <c r="SLU7" s="57"/>
      <c r="SLV7" s="57"/>
      <c r="SLW7" s="57"/>
      <c r="SLX7" s="57"/>
      <c r="SLY7" s="57"/>
      <c r="SLZ7" s="57"/>
      <c r="SMA7" s="57"/>
      <c r="SMB7" s="57"/>
      <c r="SMC7" s="57"/>
      <c r="SMD7" s="57"/>
      <c r="SME7" s="57"/>
      <c r="SMF7" s="57"/>
      <c r="SMG7" s="57"/>
      <c r="SMH7" s="57"/>
      <c r="SMI7" s="57"/>
      <c r="SMJ7" s="57"/>
      <c r="SMK7" s="57"/>
      <c r="SML7" s="57"/>
      <c r="SMM7" s="57"/>
      <c r="SMN7" s="57"/>
      <c r="SMO7" s="57"/>
      <c r="SMP7" s="57"/>
      <c r="SMQ7" s="57"/>
      <c r="SMR7" s="57"/>
      <c r="SMS7" s="57"/>
      <c r="SMT7" s="57"/>
      <c r="SMU7" s="57"/>
      <c r="SMV7" s="57"/>
      <c r="SMW7" s="57"/>
      <c r="SMX7" s="57"/>
      <c r="SMY7" s="57"/>
      <c r="SMZ7" s="57"/>
      <c r="SNA7" s="57"/>
      <c r="SNB7" s="57"/>
      <c r="SNC7" s="57"/>
      <c r="SND7" s="57"/>
      <c r="SNE7" s="57"/>
      <c r="SNF7" s="57"/>
      <c r="SNG7" s="57"/>
      <c r="SNH7" s="57"/>
      <c r="SNI7" s="57"/>
      <c r="SNJ7" s="57"/>
      <c r="SNK7" s="57"/>
      <c r="SNL7" s="57"/>
      <c r="SNM7" s="57"/>
      <c r="SNN7" s="57"/>
      <c r="SNO7" s="57"/>
      <c r="SNP7" s="57"/>
      <c r="SNQ7" s="57"/>
      <c r="SNR7" s="57"/>
      <c r="SNS7" s="57"/>
      <c r="SNT7" s="57"/>
      <c r="SNU7" s="57"/>
      <c r="SNV7" s="57"/>
      <c r="SNW7" s="57"/>
      <c r="SNX7" s="57"/>
      <c r="SNY7" s="57"/>
      <c r="SNZ7" s="57"/>
      <c r="SOA7" s="57"/>
      <c r="SOB7" s="57"/>
      <c r="SOC7" s="57"/>
      <c r="SOD7" s="57"/>
      <c r="SOE7" s="57"/>
      <c r="SOF7" s="57"/>
      <c r="SOG7" s="57"/>
      <c r="SOH7" s="57"/>
      <c r="SOI7" s="57"/>
      <c r="SOJ7" s="57"/>
      <c r="SOK7" s="57"/>
      <c r="SOL7" s="57"/>
      <c r="SOM7" s="57"/>
      <c r="SON7" s="57"/>
      <c r="SOO7" s="57"/>
      <c r="SOP7" s="57"/>
      <c r="SOQ7" s="57"/>
      <c r="SOR7" s="57"/>
      <c r="SOS7" s="57"/>
      <c r="SOT7" s="57"/>
      <c r="SOU7" s="57"/>
      <c r="SOV7" s="57"/>
      <c r="SOW7" s="57"/>
      <c r="SOX7" s="57"/>
      <c r="SOY7" s="57"/>
      <c r="SOZ7" s="57"/>
      <c r="SPA7" s="57"/>
      <c r="SPB7" s="57"/>
      <c r="SPC7" s="57"/>
      <c r="SPD7" s="57"/>
      <c r="SPE7" s="57"/>
      <c r="SPF7" s="57"/>
      <c r="SPG7" s="57"/>
      <c r="SPH7" s="57"/>
      <c r="SPI7" s="57"/>
      <c r="SPJ7" s="57"/>
      <c r="SPK7" s="57"/>
      <c r="SPL7" s="57"/>
      <c r="SPM7" s="57"/>
      <c r="SPN7" s="57"/>
      <c r="SPO7" s="57"/>
      <c r="SPP7" s="57"/>
      <c r="SPQ7" s="57"/>
      <c r="SPR7" s="57"/>
      <c r="SPS7" s="57"/>
      <c r="SPT7" s="57"/>
      <c r="SPU7" s="57"/>
      <c r="SPV7" s="57"/>
      <c r="SPW7" s="57"/>
      <c r="SPX7" s="57"/>
      <c r="SPY7" s="57"/>
      <c r="SPZ7" s="57"/>
      <c r="SQA7" s="57"/>
      <c r="SQB7" s="57"/>
      <c r="SQC7" s="57"/>
      <c r="SQD7" s="57"/>
      <c r="SQE7" s="57"/>
      <c r="SQF7" s="57"/>
      <c r="SQG7" s="57"/>
      <c r="SQH7" s="57"/>
      <c r="SQI7" s="57"/>
      <c r="SQJ7" s="57"/>
      <c r="SQK7" s="57"/>
      <c r="SQL7" s="57"/>
      <c r="SQM7" s="57"/>
      <c r="SQN7" s="57"/>
      <c r="SQO7" s="57"/>
      <c r="SQP7" s="57"/>
      <c r="SQQ7" s="57"/>
      <c r="SQR7" s="57"/>
      <c r="SQS7" s="57"/>
      <c r="SQT7" s="57"/>
      <c r="SQU7" s="57"/>
      <c r="SQV7" s="57"/>
      <c r="SQW7" s="57"/>
      <c r="SQX7" s="57"/>
      <c r="SQY7" s="57"/>
      <c r="SQZ7" s="57"/>
      <c r="SRA7" s="57"/>
      <c r="SRB7" s="57"/>
      <c r="SRC7" s="57"/>
      <c r="SRD7" s="57"/>
      <c r="SRE7" s="57"/>
      <c r="SRF7" s="57"/>
      <c r="SRG7" s="57"/>
      <c r="SRH7" s="57"/>
      <c r="SRI7" s="57"/>
      <c r="SRJ7" s="57"/>
      <c r="SRK7" s="57"/>
      <c r="SRL7" s="57"/>
      <c r="SRM7" s="57"/>
      <c r="SRN7" s="57"/>
      <c r="SRO7" s="57"/>
      <c r="SRP7" s="57"/>
      <c r="SRQ7" s="57"/>
      <c r="SRR7" s="57"/>
      <c r="SRS7" s="57"/>
      <c r="SRT7" s="57"/>
      <c r="SRU7" s="57"/>
      <c r="SRV7" s="57"/>
      <c r="SRW7" s="57"/>
      <c r="SRX7" s="57"/>
      <c r="SRY7" s="57"/>
      <c r="SRZ7" s="57"/>
      <c r="SSA7" s="57"/>
      <c r="SSB7" s="57"/>
      <c r="SSC7" s="57"/>
      <c r="SSD7" s="57"/>
      <c r="SSE7" s="57"/>
      <c r="SSF7" s="57"/>
      <c r="SSG7" s="57"/>
      <c r="SSH7" s="57"/>
      <c r="SSI7" s="57"/>
      <c r="SSJ7" s="57"/>
      <c r="SSK7" s="57"/>
      <c r="SSL7" s="57"/>
      <c r="SSM7" s="57"/>
      <c r="SSN7" s="57"/>
      <c r="SSO7" s="57"/>
      <c r="SSP7" s="57"/>
      <c r="SSQ7" s="57"/>
      <c r="SSR7" s="57"/>
      <c r="SSS7" s="57"/>
      <c r="SST7" s="57"/>
      <c r="SSU7" s="57"/>
      <c r="SSV7" s="57"/>
      <c r="SSW7" s="57"/>
      <c r="SSX7" s="57"/>
      <c r="SSY7" s="57"/>
      <c r="SSZ7" s="57"/>
      <c r="STA7" s="57"/>
      <c r="STB7" s="57"/>
      <c r="STC7" s="57"/>
      <c r="STD7" s="57"/>
      <c r="STE7" s="57"/>
      <c r="STF7" s="57"/>
      <c r="STG7" s="57"/>
      <c r="STH7" s="57"/>
      <c r="STI7" s="57"/>
      <c r="STJ7" s="57"/>
      <c r="STK7" s="57"/>
      <c r="STL7" s="57"/>
      <c r="STM7" s="57"/>
      <c r="STN7" s="57"/>
      <c r="STO7" s="57"/>
      <c r="STP7" s="57"/>
      <c r="STQ7" s="57"/>
      <c r="STR7" s="57"/>
      <c r="STS7" s="57"/>
      <c r="STT7" s="57"/>
      <c r="STU7" s="57"/>
      <c r="STV7" s="57"/>
      <c r="STW7" s="57"/>
      <c r="STX7" s="57"/>
      <c r="STY7" s="57"/>
      <c r="STZ7" s="57"/>
      <c r="SUA7" s="57"/>
      <c r="SUB7" s="57"/>
      <c r="SUC7" s="57"/>
      <c r="SUD7" s="57"/>
      <c r="SUE7" s="57"/>
      <c r="SUF7" s="57"/>
      <c r="SUG7" s="57"/>
      <c r="SUH7" s="57"/>
      <c r="SUI7" s="57"/>
      <c r="SUJ7" s="57"/>
      <c r="SUK7" s="57"/>
      <c r="SUL7" s="57"/>
      <c r="SUM7" s="57"/>
      <c r="SUN7" s="57"/>
      <c r="SUO7" s="57"/>
      <c r="SUP7" s="57"/>
      <c r="SUQ7" s="57"/>
      <c r="SUR7" s="57"/>
      <c r="SUS7" s="57"/>
      <c r="SUT7" s="57"/>
      <c r="SUU7" s="57"/>
      <c r="SUV7" s="57"/>
      <c r="SUW7" s="57"/>
      <c r="SUX7" s="57"/>
      <c r="SUY7" s="57"/>
      <c r="SUZ7" s="57"/>
      <c r="SVA7" s="57"/>
      <c r="SVB7" s="57"/>
      <c r="SVC7" s="57"/>
      <c r="SVD7" s="57"/>
      <c r="SVE7" s="57"/>
      <c r="SVF7" s="57"/>
      <c r="SVG7" s="57"/>
      <c r="SVH7" s="57"/>
      <c r="SVI7" s="57"/>
      <c r="SVJ7" s="57"/>
      <c r="SVK7" s="57"/>
      <c r="SVL7" s="57"/>
      <c r="SVM7" s="57"/>
      <c r="SVN7" s="57"/>
      <c r="SVO7" s="57"/>
      <c r="SVP7" s="57"/>
      <c r="SVQ7" s="57"/>
      <c r="SVR7" s="57"/>
      <c r="SVS7" s="57"/>
      <c r="SVT7" s="57"/>
      <c r="SVU7" s="57"/>
      <c r="SVV7" s="57"/>
      <c r="SVW7" s="57"/>
      <c r="SVX7" s="57"/>
      <c r="SVY7" s="57"/>
      <c r="SVZ7" s="57"/>
      <c r="SWA7" s="57"/>
      <c r="SWB7" s="57"/>
      <c r="SWC7" s="57"/>
      <c r="SWD7" s="57"/>
      <c r="SWE7" s="57"/>
      <c r="SWF7" s="57"/>
      <c r="SWG7" s="57"/>
      <c r="SWH7" s="57"/>
      <c r="SWI7" s="57"/>
      <c r="SWJ7" s="57"/>
      <c r="SWK7" s="57"/>
      <c r="SWL7" s="57"/>
      <c r="SWM7" s="57"/>
      <c r="SWN7" s="57"/>
      <c r="SWO7" s="57"/>
      <c r="SWP7" s="57"/>
      <c r="SWQ7" s="57"/>
      <c r="SWR7" s="57"/>
      <c r="SWS7" s="57"/>
      <c r="SWT7" s="57"/>
      <c r="SWU7" s="57"/>
      <c r="SWV7" s="57"/>
      <c r="SWW7" s="57"/>
      <c r="SWX7" s="57"/>
      <c r="SWY7" s="57"/>
      <c r="SWZ7" s="57"/>
      <c r="SXA7" s="57"/>
      <c r="SXB7" s="57"/>
      <c r="SXC7" s="57"/>
      <c r="SXD7" s="57"/>
      <c r="SXE7" s="57"/>
      <c r="SXF7" s="57"/>
      <c r="SXG7" s="57"/>
      <c r="SXH7" s="57"/>
      <c r="SXI7" s="57"/>
      <c r="SXJ7" s="57"/>
      <c r="SXK7" s="57"/>
      <c r="SXL7" s="57"/>
      <c r="SXM7" s="57"/>
      <c r="SXN7" s="57"/>
      <c r="SXO7" s="57"/>
      <c r="SXP7" s="57"/>
      <c r="SXQ7" s="57"/>
      <c r="SXR7" s="57"/>
      <c r="SXS7" s="57"/>
      <c r="SXT7" s="57"/>
      <c r="SXU7" s="57"/>
      <c r="SXV7" s="57"/>
      <c r="SXW7" s="57"/>
      <c r="SXX7" s="57"/>
      <c r="SXY7" s="57"/>
      <c r="SXZ7" s="57"/>
      <c r="SYA7" s="57"/>
      <c r="SYB7" s="57"/>
      <c r="SYC7" s="57"/>
      <c r="SYD7" s="57"/>
      <c r="SYE7" s="57"/>
      <c r="SYF7" s="57"/>
      <c r="SYG7" s="57"/>
      <c r="SYH7" s="57"/>
      <c r="SYI7" s="57"/>
      <c r="SYJ7" s="57"/>
      <c r="SYK7" s="57"/>
      <c r="SYL7" s="57"/>
      <c r="SYM7" s="57"/>
      <c r="SYN7" s="57"/>
      <c r="SYO7" s="57"/>
      <c r="SYP7" s="57"/>
      <c r="SYQ7" s="57"/>
      <c r="SYR7" s="57"/>
      <c r="SYS7" s="57"/>
      <c r="SYT7" s="57"/>
      <c r="SYU7" s="57"/>
      <c r="SYV7" s="57"/>
      <c r="SYW7" s="57"/>
      <c r="SYX7" s="57"/>
      <c r="SYY7" s="57"/>
      <c r="SYZ7" s="57"/>
      <c r="SZA7" s="57"/>
      <c r="SZB7" s="57"/>
      <c r="SZC7" s="57"/>
      <c r="SZD7" s="57"/>
      <c r="SZE7" s="57"/>
      <c r="SZF7" s="57"/>
      <c r="SZG7" s="57"/>
      <c r="SZH7" s="57"/>
      <c r="SZI7" s="57"/>
      <c r="SZJ7" s="57"/>
      <c r="SZK7" s="57"/>
      <c r="SZL7" s="57"/>
      <c r="SZM7" s="57"/>
      <c r="SZN7" s="57"/>
      <c r="SZO7" s="57"/>
      <c r="SZP7" s="57"/>
      <c r="SZQ7" s="57"/>
      <c r="SZR7" s="57"/>
      <c r="SZS7" s="57"/>
      <c r="SZT7" s="57"/>
      <c r="SZU7" s="57"/>
      <c r="SZV7" s="57"/>
      <c r="SZW7" s="57"/>
      <c r="SZX7" s="57"/>
      <c r="SZY7" s="57"/>
      <c r="SZZ7" s="57"/>
      <c r="TAA7" s="57"/>
      <c r="TAB7" s="57"/>
      <c r="TAC7" s="57"/>
      <c r="TAD7" s="57"/>
      <c r="TAE7" s="57"/>
      <c r="TAF7" s="57"/>
      <c r="TAG7" s="57"/>
      <c r="TAH7" s="57"/>
      <c r="TAI7" s="57"/>
      <c r="TAJ7" s="57"/>
      <c r="TAK7" s="57"/>
      <c r="TAL7" s="57"/>
      <c r="TAM7" s="57"/>
      <c r="TAN7" s="57"/>
      <c r="TAO7" s="57"/>
      <c r="TAP7" s="57"/>
      <c r="TAQ7" s="57"/>
      <c r="TAR7" s="57"/>
      <c r="TAS7" s="57"/>
      <c r="TAT7" s="57"/>
      <c r="TAU7" s="57"/>
      <c r="TAV7" s="57"/>
      <c r="TAW7" s="57"/>
      <c r="TAX7" s="57"/>
      <c r="TAY7" s="57"/>
      <c r="TAZ7" s="57"/>
      <c r="TBA7" s="57"/>
      <c r="TBB7" s="57"/>
      <c r="TBC7" s="57"/>
      <c r="TBD7" s="57"/>
      <c r="TBE7" s="57"/>
      <c r="TBF7" s="57"/>
      <c r="TBG7" s="57"/>
      <c r="TBH7" s="57"/>
      <c r="TBI7" s="57"/>
      <c r="TBJ7" s="57"/>
      <c r="TBK7" s="57"/>
      <c r="TBL7" s="57"/>
      <c r="TBM7" s="57"/>
      <c r="TBN7" s="57"/>
      <c r="TBO7" s="57"/>
      <c r="TBP7" s="57"/>
      <c r="TBQ7" s="57"/>
      <c r="TBR7" s="57"/>
      <c r="TBS7" s="57"/>
      <c r="TBT7" s="57"/>
      <c r="TBU7" s="57"/>
      <c r="TBV7" s="57"/>
      <c r="TBW7" s="57"/>
      <c r="TBX7" s="57"/>
      <c r="TBY7" s="57"/>
      <c r="TBZ7" s="57"/>
      <c r="TCA7" s="57"/>
      <c r="TCB7" s="57"/>
      <c r="TCC7" s="57"/>
      <c r="TCD7" s="57"/>
      <c r="TCE7" s="57"/>
      <c r="TCF7" s="57"/>
      <c r="TCG7" s="57"/>
      <c r="TCH7" s="57"/>
      <c r="TCI7" s="57"/>
      <c r="TCJ7" s="57"/>
      <c r="TCK7" s="57"/>
      <c r="TCL7" s="57"/>
      <c r="TCM7" s="57"/>
      <c r="TCN7" s="57"/>
      <c r="TCO7" s="57"/>
      <c r="TCP7" s="57"/>
      <c r="TCQ7" s="57"/>
      <c r="TCR7" s="57"/>
      <c r="TCS7" s="57"/>
      <c r="TCT7" s="57"/>
      <c r="TCU7" s="57"/>
      <c r="TCV7" s="57"/>
      <c r="TCW7" s="57"/>
      <c r="TCX7" s="57"/>
      <c r="TCY7" s="57"/>
      <c r="TCZ7" s="57"/>
      <c r="TDA7" s="57"/>
      <c r="TDB7" s="57"/>
      <c r="TDC7" s="57"/>
      <c r="TDD7" s="57"/>
      <c r="TDE7" s="57"/>
      <c r="TDF7" s="57"/>
      <c r="TDG7" s="57"/>
      <c r="TDH7" s="57"/>
      <c r="TDI7" s="57"/>
      <c r="TDJ7" s="57"/>
      <c r="TDK7" s="57"/>
      <c r="TDL7" s="57"/>
      <c r="TDM7" s="57"/>
      <c r="TDN7" s="57"/>
      <c r="TDO7" s="57"/>
      <c r="TDP7" s="57"/>
      <c r="TDQ7" s="57"/>
      <c r="TDR7" s="57"/>
      <c r="TDS7" s="57"/>
      <c r="TDT7" s="57"/>
      <c r="TDU7" s="57"/>
      <c r="TDV7" s="57"/>
      <c r="TDW7" s="57"/>
      <c r="TDX7" s="57"/>
      <c r="TDY7" s="57"/>
      <c r="TDZ7" s="57"/>
      <c r="TEA7" s="57"/>
      <c r="TEB7" s="57"/>
      <c r="TEC7" s="57"/>
      <c r="TED7" s="57"/>
      <c r="TEE7" s="57"/>
      <c r="TEF7" s="57"/>
      <c r="TEG7" s="57"/>
      <c r="TEH7" s="57"/>
      <c r="TEI7" s="57"/>
      <c r="TEJ7" s="57"/>
      <c r="TEK7" s="57"/>
      <c r="TEL7" s="57"/>
      <c r="TEM7" s="57"/>
      <c r="TEN7" s="57"/>
      <c r="TEO7" s="57"/>
      <c r="TEP7" s="57"/>
      <c r="TEQ7" s="57"/>
      <c r="TER7" s="57"/>
      <c r="TES7" s="57"/>
      <c r="TET7" s="57"/>
      <c r="TEU7" s="57"/>
      <c r="TEV7" s="57"/>
      <c r="TEW7" s="57"/>
      <c r="TEX7" s="57"/>
      <c r="TEY7" s="57"/>
      <c r="TEZ7" s="57"/>
      <c r="TFA7" s="57"/>
      <c r="TFB7" s="57"/>
      <c r="TFC7" s="57"/>
      <c r="TFD7" s="57"/>
      <c r="TFE7" s="57"/>
      <c r="TFF7" s="57"/>
      <c r="TFG7" s="57"/>
      <c r="TFH7" s="57"/>
      <c r="TFI7" s="57"/>
      <c r="TFJ7" s="57"/>
      <c r="TFK7" s="57"/>
      <c r="TFL7" s="57"/>
      <c r="TFM7" s="57"/>
      <c r="TFN7" s="57"/>
      <c r="TFO7" s="57"/>
      <c r="TFP7" s="57"/>
      <c r="TFQ7" s="57"/>
      <c r="TFR7" s="57"/>
      <c r="TFS7" s="57"/>
      <c r="TFT7" s="57"/>
      <c r="TFU7" s="57"/>
      <c r="TFV7" s="57"/>
      <c r="TFW7" s="57"/>
      <c r="TFX7" s="57"/>
      <c r="TFY7" s="57"/>
      <c r="TFZ7" s="57"/>
      <c r="TGA7" s="57"/>
      <c r="TGB7" s="57"/>
      <c r="TGC7" s="57"/>
      <c r="TGD7" s="57"/>
      <c r="TGE7" s="57"/>
      <c r="TGF7" s="57"/>
      <c r="TGG7" s="57"/>
      <c r="TGH7" s="57"/>
      <c r="TGI7" s="57"/>
      <c r="TGJ7" s="57"/>
      <c r="TGK7" s="57"/>
      <c r="TGL7" s="57"/>
      <c r="TGM7" s="57"/>
      <c r="TGN7" s="57"/>
      <c r="TGO7" s="57"/>
      <c r="TGP7" s="57"/>
      <c r="TGQ7" s="57"/>
      <c r="TGR7" s="57"/>
      <c r="TGS7" s="57"/>
      <c r="TGT7" s="57"/>
      <c r="TGU7" s="57"/>
      <c r="TGV7" s="57"/>
      <c r="TGW7" s="57"/>
      <c r="TGX7" s="57"/>
      <c r="TGY7" s="57"/>
      <c r="TGZ7" s="57"/>
      <c r="THA7" s="57"/>
      <c r="THB7" s="57"/>
      <c r="THC7" s="57"/>
      <c r="THD7" s="57"/>
      <c r="THE7" s="57"/>
      <c r="THF7" s="57"/>
      <c r="THG7" s="57"/>
      <c r="THH7" s="57"/>
      <c r="THI7" s="57"/>
      <c r="THJ7" s="57"/>
      <c r="THK7" s="57"/>
      <c r="THL7" s="57"/>
      <c r="THM7" s="57"/>
      <c r="THN7" s="57"/>
      <c r="THO7" s="57"/>
      <c r="THP7" s="57"/>
      <c r="THQ7" s="57"/>
      <c r="THR7" s="57"/>
      <c r="THS7" s="57"/>
      <c r="THT7" s="57"/>
      <c r="THU7" s="57"/>
      <c r="THV7" s="57"/>
      <c r="THW7" s="57"/>
      <c r="THX7" s="57"/>
      <c r="THY7" s="57"/>
      <c r="THZ7" s="57"/>
      <c r="TIA7" s="57"/>
      <c r="TIB7" s="57"/>
      <c r="TIC7" s="57"/>
      <c r="TID7" s="57"/>
      <c r="TIE7" s="57"/>
      <c r="TIF7" s="57"/>
      <c r="TIG7" s="57"/>
      <c r="TIH7" s="57"/>
      <c r="TII7" s="57"/>
      <c r="TIJ7" s="57"/>
      <c r="TIK7" s="57"/>
      <c r="TIL7" s="57"/>
      <c r="TIM7" s="57"/>
      <c r="TIN7" s="57"/>
      <c r="TIO7" s="57"/>
      <c r="TIP7" s="57"/>
      <c r="TIQ7" s="57"/>
      <c r="TIR7" s="57"/>
      <c r="TIS7" s="57"/>
      <c r="TIT7" s="57"/>
      <c r="TIU7" s="57"/>
      <c r="TIV7" s="57"/>
      <c r="TIW7" s="57"/>
      <c r="TIX7" s="57"/>
      <c r="TIY7" s="57"/>
      <c r="TIZ7" s="57"/>
      <c r="TJA7" s="57"/>
      <c r="TJB7" s="57"/>
      <c r="TJC7" s="57"/>
      <c r="TJD7" s="57"/>
      <c r="TJE7" s="57"/>
      <c r="TJF7" s="57"/>
      <c r="TJG7" s="57"/>
      <c r="TJH7" s="57"/>
      <c r="TJI7" s="57"/>
      <c r="TJJ7" s="57"/>
      <c r="TJK7" s="57"/>
      <c r="TJL7" s="57"/>
      <c r="TJM7" s="57"/>
      <c r="TJN7" s="57"/>
      <c r="TJO7" s="57"/>
      <c r="TJP7" s="57"/>
      <c r="TJQ7" s="57"/>
      <c r="TJR7" s="57"/>
      <c r="TJS7" s="57"/>
      <c r="TJT7" s="57"/>
      <c r="TJU7" s="57"/>
      <c r="TJV7" s="57"/>
      <c r="TJW7" s="57"/>
      <c r="TJX7" s="57"/>
      <c r="TJY7" s="57"/>
      <c r="TJZ7" s="57"/>
      <c r="TKA7" s="57"/>
      <c r="TKB7" s="57"/>
      <c r="TKC7" s="57"/>
      <c r="TKD7" s="57"/>
      <c r="TKE7" s="57"/>
      <c r="TKF7" s="57"/>
      <c r="TKG7" s="57"/>
      <c r="TKH7" s="57"/>
      <c r="TKI7" s="57"/>
      <c r="TKJ7" s="57"/>
      <c r="TKK7" s="57"/>
      <c r="TKL7" s="57"/>
      <c r="TKM7" s="57"/>
      <c r="TKN7" s="57"/>
      <c r="TKO7" s="57"/>
      <c r="TKP7" s="57"/>
      <c r="TKQ7" s="57"/>
      <c r="TKR7" s="57"/>
      <c r="TKS7" s="57"/>
      <c r="TKT7" s="57"/>
      <c r="TKU7" s="57"/>
      <c r="TKV7" s="57"/>
      <c r="TKW7" s="57"/>
      <c r="TKX7" s="57"/>
      <c r="TKY7" s="57"/>
      <c r="TKZ7" s="57"/>
      <c r="TLA7" s="57"/>
      <c r="TLB7" s="57"/>
      <c r="TLC7" s="57"/>
      <c r="TLD7" s="57"/>
      <c r="TLE7" s="57"/>
      <c r="TLF7" s="57"/>
      <c r="TLG7" s="57"/>
      <c r="TLH7" s="57"/>
      <c r="TLI7" s="57"/>
      <c r="TLJ7" s="57"/>
      <c r="TLK7" s="57"/>
      <c r="TLL7" s="57"/>
      <c r="TLM7" s="57"/>
      <c r="TLN7" s="57"/>
      <c r="TLO7" s="57"/>
      <c r="TLP7" s="57"/>
      <c r="TLQ7" s="57"/>
      <c r="TLR7" s="57"/>
      <c r="TLS7" s="57"/>
      <c r="TLT7" s="57"/>
      <c r="TLU7" s="57"/>
      <c r="TLV7" s="57"/>
      <c r="TLW7" s="57"/>
      <c r="TLX7" s="57"/>
      <c r="TLY7" s="57"/>
      <c r="TLZ7" s="57"/>
      <c r="TMA7" s="57"/>
      <c r="TMB7" s="57"/>
      <c r="TMC7" s="57"/>
      <c r="TMD7" s="57"/>
      <c r="TME7" s="57"/>
      <c r="TMF7" s="57"/>
      <c r="TMG7" s="57"/>
      <c r="TMH7" s="57"/>
      <c r="TMI7" s="57"/>
      <c r="TMJ7" s="57"/>
      <c r="TMK7" s="57"/>
      <c r="TML7" s="57"/>
      <c r="TMM7" s="57"/>
      <c r="TMN7" s="57"/>
      <c r="TMO7" s="57"/>
      <c r="TMP7" s="57"/>
      <c r="TMQ7" s="57"/>
      <c r="TMR7" s="57"/>
      <c r="TMS7" s="57"/>
      <c r="TMT7" s="57"/>
      <c r="TMU7" s="57"/>
      <c r="TMV7" s="57"/>
      <c r="TMW7" s="57"/>
      <c r="TMX7" s="57"/>
      <c r="TMY7" s="57"/>
      <c r="TMZ7" s="57"/>
      <c r="TNA7" s="57"/>
      <c r="TNB7" s="57"/>
      <c r="TNC7" s="57"/>
      <c r="TND7" s="57"/>
      <c r="TNE7" s="57"/>
      <c r="TNF7" s="57"/>
      <c r="TNG7" s="57"/>
      <c r="TNH7" s="57"/>
      <c r="TNI7" s="57"/>
      <c r="TNJ7" s="57"/>
      <c r="TNK7" s="57"/>
      <c r="TNL7" s="57"/>
      <c r="TNM7" s="57"/>
      <c r="TNN7" s="57"/>
      <c r="TNO7" s="57"/>
      <c r="TNP7" s="57"/>
      <c r="TNQ7" s="57"/>
      <c r="TNR7" s="57"/>
      <c r="TNS7" s="57"/>
      <c r="TNT7" s="57"/>
      <c r="TNU7" s="57"/>
      <c r="TNV7" s="57"/>
      <c r="TNW7" s="57"/>
      <c r="TNX7" s="57"/>
      <c r="TNY7" s="57"/>
      <c r="TNZ7" s="57"/>
      <c r="TOA7" s="57"/>
      <c r="TOB7" s="57"/>
      <c r="TOC7" s="57"/>
      <c r="TOD7" s="57"/>
      <c r="TOE7" s="57"/>
      <c r="TOF7" s="57"/>
      <c r="TOG7" s="57"/>
      <c r="TOH7" s="57"/>
      <c r="TOI7" s="57"/>
      <c r="TOJ7" s="57"/>
      <c r="TOK7" s="57"/>
      <c r="TOL7" s="57"/>
      <c r="TOM7" s="57"/>
      <c r="TON7" s="57"/>
      <c r="TOO7" s="57"/>
      <c r="TOP7" s="57"/>
      <c r="TOQ7" s="57"/>
      <c r="TOR7" s="57"/>
      <c r="TOS7" s="57"/>
      <c r="TOT7" s="57"/>
      <c r="TOU7" s="57"/>
      <c r="TOV7" s="57"/>
      <c r="TOW7" s="57"/>
      <c r="TOX7" s="57"/>
      <c r="TOY7" s="57"/>
      <c r="TOZ7" s="57"/>
      <c r="TPA7" s="57"/>
      <c r="TPB7" s="57"/>
      <c r="TPC7" s="57"/>
      <c r="TPD7" s="57"/>
      <c r="TPE7" s="57"/>
      <c r="TPF7" s="57"/>
      <c r="TPG7" s="57"/>
      <c r="TPH7" s="57"/>
      <c r="TPI7" s="57"/>
      <c r="TPJ7" s="57"/>
      <c r="TPK7" s="57"/>
      <c r="TPL7" s="57"/>
      <c r="TPM7" s="57"/>
      <c r="TPN7" s="57"/>
      <c r="TPO7" s="57"/>
      <c r="TPP7" s="57"/>
      <c r="TPQ7" s="57"/>
      <c r="TPR7" s="57"/>
      <c r="TPS7" s="57"/>
      <c r="TPT7" s="57"/>
      <c r="TPU7" s="57"/>
      <c r="TPV7" s="57"/>
      <c r="TPW7" s="57"/>
      <c r="TPX7" s="57"/>
      <c r="TPY7" s="57"/>
      <c r="TPZ7" s="57"/>
      <c r="TQA7" s="57"/>
      <c r="TQB7" s="57"/>
      <c r="TQC7" s="57"/>
      <c r="TQD7" s="57"/>
      <c r="TQE7" s="57"/>
      <c r="TQF7" s="57"/>
      <c r="TQG7" s="57"/>
      <c r="TQH7" s="57"/>
      <c r="TQI7" s="57"/>
      <c r="TQJ7" s="57"/>
      <c r="TQK7" s="57"/>
      <c r="TQL7" s="57"/>
      <c r="TQM7" s="57"/>
      <c r="TQN7" s="57"/>
      <c r="TQO7" s="57"/>
      <c r="TQP7" s="57"/>
      <c r="TQQ7" s="57"/>
      <c r="TQR7" s="57"/>
      <c r="TQS7" s="57"/>
      <c r="TQT7" s="57"/>
      <c r="TQU7" s="57"/>
      <c r="TQV7" s="57"/>
      <c r="TQW7" s="57"/>
      <c r="TQX7" s="57"/>
      <c r="TQY7" s="57"/>
      <c r="TQZ7" s="57"/>
      <c r="TRA7" s="57"/>
      <c r="TRB7" s="57"/>
      <c r="TRC7" s="57"/>
      <c r="TRD7" s="57"/>
      <c r="TRE7" s="57"/>
      <c r="TRF7" s="57"/>
      <c r="TRG7" s="57"/>
      <c r="TRH7" s="57"/>
      <c r="TRI7" s="57"/>
      <c r="TRJ7" s="57"/>
      <c r="TRK7" s="57"/>
      <c r="TRL7" s="57"/>
      <c r="TRM7" s="57"/>
      <c r="TRN7" s="57"/>
      <c r="TRO7" s="57"/>
      <c r="TRP7" s="57"/>
      <c r="TRQ7" s="57"/>
      <c r="TRR7" s="57"/>
      <c r="TRS7" s="57"/>
      <c r="TRT7" s="57"/>
      <c r="TRU7" s="57"/>
      <c r="TRV7" s="57"/>
      <c r="TRW7" s="57"/>
      <c r="TRX7" s="57"/>
      <c r="TRY7" s="57"/>
      <c r="TRZ7" s="57"/>
      <c r="TSA7" s="57"/>
      <c r="TSB7" s="57"/>
      <c r="TSC7" s="57"/>
      <c r="TSD7" s="57"/>
      <c r="TSE7" s="57"/>
      <c r="TSF7" s="57"/>
      <c r="TSG7" s="57"/>
      <c r="TSH7" s="57"/>
      <c r="TSI7" s="57"/>
      <c r="TSJ7" s="57"/>
      <c r="TSK7" s="57"/>
      <c r="TSL7" s="57"/>
      <c r="TSM7" s="57"/>
      <c r="TSN7" s="57"/>
      <c r="TSO7" s="57"/>
      <c r="TSP7" s="57"/>
      <c r="TSQ7" s="57"/>
      <c r="TSR7" s="57"/>
      <c r="TSS7" s="57"/>
      <c r="TST7" s="57"/>
      <c r="TSU7" s="57"/>
      <c r="TSV7" s="57"/>
      <c r="TSW7" s="57"/>
      <c r="TSX7" s="57"/>
      <c r="TSY7" s="57"/>
      <c r="TSZ7" s="57"/>
      <c r="TTA7" s="57"/>
      <c r="TTB7" s="57"/>
      <c r="TTC7" s="57"/>
      <c r="TTD7" s="57"/>
      <c r="TTE7" s="57"/>
      <c r="TTF7" s="57"/>
      <c r="TTG7" s="57"/>
      <c r="TTH7" s="57"/>
      <c r="TTI7" s="57"/>
      <c r="TTJ7" s="57"/>
      <c r="TTK7" s="57"/>
      <c r="TTL7" s="57"/>
      <c r="TTM7" s="57"/>
      <c r="TTN7" s="57"/>
      <c r="TTO7" s="57"/>
      <c r="TTP7" s="57"/>
      <c r="TTQ7" s="57"/>
      <c r="TTR7" s="57"/>
      <c r="TTS7" s="57"/>
      <c r="TTT7" s="57"/>
      <c r="TTU7" s="57"/>
      <c r="TTV7" s="57"/>
      <c r="TTW7" s="57"/>
      <c r="TTX7" s="57"/>
      <c r="TTY7" s="57"/>
      <c r="TTZ7" s="57"/>
      <c r="TUA7" s="57"/>
      <c r="TUB7" s="57"/>
      <c r="TUC7" s="57"/>
      <c r="TUD7" s="57"/>
      <c r="TUE7" s="57"/>
      <c r="TUF7" s="57"/>
      <c r="TUG7" s="57"/>
      <c r="TUH7" s="57"/>
      <c r="TUI7" s="57"/>
      <c r="TUJ7" s="57"/>
      <c r="TUK7" s="57"/>
      <c r="TUL7" s="57"/>
      <c r="TUM7" s="57"/>
      <c r="TUN7" s="57"/>
      <c r="TUO7" s="57"/>
      <c r="TUP7" s="57"/>
      <c r="TUQ7" s="57"/>
      <c r="TUR7" s="57"/>
      <c r="TUS7" s="57"/>
      <c r="TUT7" s="57"/>
      <c r="TUU7" s="57"/>
      <c r="TUV7" s="57"/>
      <c r="TUW7" s="57"/>
      <c r="TUX7" s="57"/>
      <c r="TUY7" s="57"/>
      <c r="TUZ7" s="57"/>
      <c r="TVA7" s="57"/>
      <c r="TVB7" s="57"/>
      <c r="TVC7" s="57"/>
      <c r="TVD7" s="57"/>
      <c r="TVE7" s="57"/>
      <c r="TVF7" s="57"/>
      <c r="TVG7" s="57"/>
      <c r="TVH7" s="57"/>
      <c r="TVI7" s="57"/>
      <c r="TVJ7" s="57"/>
      <c r="TVK7" s="57"/>
      <c r="TVL7" s="57"/>
      <c r="TVM7" s="57"/>
      <c r="TVN7" s="57"/>
      <c r="TVO7" s="57"/>
      <c r="TVP7" s="57"/>
      <c r="TVQ7" s="57"/>
      <c r="TVR7" s="57"/>
      <c r="TVS7" s="57"/>
      <c r="TVT7" s="57"/>
      <c r="TVU7" s="57"/>
      <c r="TVV7" s="57"/>
      <c r="TVW7" s="57"/>
      <c r="TVX7" s="57"/>
      <c r="TVY7" s="57"/>
      <c r="TVZ7" s="57"/>
      <c r="TWA7" s="57"/>
      <c r="TWB7" s="57"/>
      <c r="TWC7" s="57"/>
      <c r="TWD7" s="57"/>
      <c r="TWE7" s="57"/>
      <c r="TWF7" s="57"/>
      <c r="TWG7" s="57"/>
      <c r="TWH7" s="57"/>
      <c r="TWI7" s="57"/>
      <c r="TWJ7" s="57"/>
      <c r="TWK7" s="57"/>
      <c r="TWL7" s="57"/>
      <c r="TWM7" s="57"/>
      <c r="TWN7" s="57"/>
      <c r="TWO7" s="57"/>
      <c r="TWP7" s="57"/>
      <c r="TWQ7" s="57"/>
      <c r="TWR7" s="57"/>
      <c r="TWS7" s="57"/>
      <c r="TWT7" s="57"/>
      <c r="TWU7" s="57"/>
      <c r="TWV7" s="57"/>
      <c r="TWW7" s="57"/>
      <c r="TWX7" s="57"/>
      <c r="TWY7" s="57"/>
      <c r="TWZ7" s="57"/>
      <c r="TXA7" s="57"/>
      <c r="TXB7" s="57"/>
      <c r="TXC7" s="57"/>
      <c r="TXD7" s="57"/>
      <c r="TXE7" s="57"/>
      <c r="TXF7" s="57"/>
      <c r="TXG7" s="57"/>
      <c r="TXH7" s="57"/>
      <c r="TXI7" s="57"/>
      <c r="TXJ7" s="57"/>
      <c r="TXK7" s="57"/>
      <c r="TXL7" s="57"/>
      <c r="TXM7" s="57"/>
      <c r="TXN7" s="57"/>
      <c r="TXO7" s="57"/>
      <c r="TXP7" s="57"/>
      <c r="TXQ7" s="57"/>
      <c r="TXR7" s="57"/>
      <c r="TXS7" s="57"/>
      <c r="TXT7" s="57"/>
      <c r="TXU7" s="57"/>
      <c r="TXV7" s="57"/>
      <c r="TXW7" s="57"/>
      <c r="TXX7" s="57"/>
      <c r="TXY7" s="57"/>
      <c r="TXZ7" s="57"/>
      <c r="TYA7" s="57"/>
      <c r="TYB7" s="57"/>
      <c r="TYC7" s="57"/>
      <c r="TYD7" s="57"/>
      <c r="TYE7" s="57"/>
      <c r="TYF7" s="57"/>
      <c r="TYG7" s="57"/>
      <c r="TYH7" s="57"/>
      <c r="TYI7" s="57"/>
      <c r="TYJ7" s="57"/>
      <c r="TYK7" s="57"/>
      <c r="TYL7" s="57"/>
      <c r="TYM7" s="57"/>
      <c r="TYN7" s="57"/>
      <c r="TYO7" s="57"/>
      <c r="TYP7" s="57"/>
      <c r="TYQ7" s="57"/>
      <c r="TYR7" s="57"/>
      <c r="TYS7" s="57"/>
      <c r="TYT7" s="57"/>
      <c r="TYU7" s="57"/>
      <c r="TYV7" s="57"/>
      <c r="TYW7" s="57"/>
      <c r="TYX7" s="57"/>
      <c r="TYY7" s="57"/>
      <c r="TYZ7" s="57"/>
      <c r="TZA7" s="57"/>
      <c r="TZB7" s="57"/>
      <c r="TZC7" s="57"/>
      <c r="TZD7" s="57"/>
      <c r="TZE7" s="57"/>
      <c r="TZF7" s="57"/>
      <c r="TZG7" s="57"/>
      <c r="TZH7" s="57"/>
      <c r="TZI7" s="57"/>
      <c r="TZJ7" s="57"/>
      <c r="TZK7" s="57"/>
      <c r="TZL7" s="57"/>
      <c r="TZM7" s="57"/>
      <c r="TZN7" s="57"/>
      <c r="TZO7" s="57"/>
      <c r="TZP7" s="57"/>
      <c r="TZQ7" s="57"/>
      <c r="TZR7" s="57"/>
      <c r="TZS7" s="57"/>
      <c r="TZT7" s="57"/>
      <c r="TZU7" s="57"/>
      <c r="TZV7" s="57"/>
      <c r="TZW7" s="57"/>
      <c r="TZX7" s="57"/>
      <c r="TZY7" s="57"/>
      <c r="TZZ7" s="57"/>
      <c r="UAA7" s="57"/>
      <c r="UAB7" s="57"/>
      <c r="UAC7" s="57"/>
      <c r="UAD7" s="57"/>
      <c r="UAE7" s="57"/>
      <c r="UAF7" s="57"/>
      <c r="UAG7" s="57"/>
      <c r="UAH7" s="57"/>
      <c r="UAI7" s="57"/>
      <c r="UAJ7" s="57"/>
      <c r="UAK7" s="57"/>
      <c r="UAL7" s="57"/>
      <c r="UAM7" s="57"/>
      <c r="UAN7" s="57"/>
      <c r="UAO7" s="57"/>
      <c r="UAP7" s="57"/>
      <c r="UAQ7" s="57"/>
      <c r="UAR7" s="57"/>
      <c r="UAS7" s="57"/>
      <c r="UAT7" s="57"/>
      <c r="UAU7" s="57"/>
      <c r="UAV7" s="57"/>
      <c r="UAW7" s="57"/>
      <c r="UAX7" s="57"/>
      <c r="UAY7" s="57"/>
      <c r="UAZ7" s="57"/>
      <c r="UBA7" s="57"/>
      <c r="UBB7" s="57"/>
      <c r="UBC7" s="57"/>
      <c r="UBD7" s="57"/>
      <c r="UBE7" s="57"/>
      <c r="UBF7" s="57"/>
      <c r="UBG7" s="57"/>
      <c r="UBH7" s="57"/>
      <c r="UBI7" s="57"/>
      <c r="UBJ7" s="57"/>
      <c r="UBK7" s="57"/>
      <c r="UBL7" s="57"/>
      <c r="UBM7" s="57"/>
      <c r="UBN7" s="57"/>
      <c r="UBO7" s="57"/>
      <c r="UBP7" s="57"/>
      <c r="UBQ7" s="57"/>
      <c r="UBR7" s="57"/>
      <c r="UBS7" s="57"/>
      <c r="UBT7" s="57"/>
      <c r="UBU7" s="57"/>
      <c r="UBV7" s="57"/>
      <c r="UBW7" s="57"/>
      <c r="UBX7" s="57"/>
      <c r="UBY7" s="57"/>
      <c r="UBZ7" s="57"/>
      <c r="UCA7" s="57"/>
      <c r="UCB7" s="57"/>
      <c r="UCC7" s="57"/>
      <c r="UCD7" s="57"/>
      <c r="UCE7" s="57"/>
      <c r="UCF7" s="57"/>
      <c r="UCG7" s="57"/>
      <c r="UCH7" s="57"/>
      <c r="UCI7" s="57"/>
      <c r="UCJ7" s="57"/>
      <c r="UCK7" s="57"/>
      <c r="UCL7" s="57"/>
      <c r="UCM7" s="57"/>
      <c r="UCN7" s="57"/>
      <c r="UCO7" s="57"/>
      <c r="UCP7" s="57"/>
      <c r="UCQ7" s="57"/>
      <c r="UCR7" s="57"/>
      <c r="UCS7" s="57"/>
      <c r="UCT7" s="57"/>
      <c r="UCU7" s="57"/>
      <c r="UCV7" s="57"/>
      <c r="UCW7" s="57"/>
      <c r="UCX7" s="57"/>
      <c r="UCY7" s="57"/>
      <c r="UCZ7" s="57"/>
      <c r="UDA7" s="57"/>
      <c r="UDB7" s="57"/>
      <c r="UDC7" s="57"/>
      <c r="UDD7" s="57"/>
      <c r="UDE7" s="57"/>
      <c r="UDF7" s="57"/>
      <c r="UDG7" s="57"/>
      <c r="UDH7" s="57"/>
      <c r="UDI7" s="57"/>
      <c r="UDJ7" s="57"/>
      <c r="UDK7" s="57"/>
      <c r="UDL7" s="57"/>
      <c r="UDM7" s="57"/>
      <c r="UDN7" s="57"/>
      <c r="UDO7" s="57"/>
      <c r="UDP7" s="57"/>
      <c r="UDQ7" s="57"/>
      <c r="UDR7" s="57"/>
      <c r="UDS7" s="57"/>
      <c r="UDT7" s="57"/>
      <c r="UDU7" s="57"/>
      <c r="UDV7" s="57"/>
      <c r="UDW7" s="57"/>
      <c r="UDX7" s="57"/>
      <c r="UDY7" s="57"/>
      <c r="UDZ7" s="57"/>
      <c r="UEA7" s="57"/>
      <c r="UEB7" s="57"/>
      <c r="UEC7" s="57"/>
      <c r="UED7" s="57"/>
      <c r="UEE7" s="57"/>
      <c r="UEF7" s="57"/>
      <c r="UEG7" s="57"/>
      <c r="UEH7" s="57"/>
      <c r="UEI7" s="57"/>
      <c r="UEJ7" s="57"/>
      <c r="UEK7" s="57"/>
      <c r="UEL7" s="57"/>
      <c r="UEM7" s="57"/>
      <c r="UEN7" s="57"/>
      <c r="UEO7" s="57"/>
      <c r="UEP7" s="57"/>
      <c r="UEQ7" s="57"/>
      <c r="UER7" s="57"/>
      <c r="UES7" s="57"/>
      <c r="UET7" s="57"/>
      <c r="UEU7" s="57"/>
      <c r="UEV7" s="57"/>
      <c r="UEW7" s="57"/>
      <c r="UEX7" s="57"/>
      <c r="UEY7" s="57"/>
      <c r="UEZ7" s="57"/>
      <c r="UFA7" s="57"/>
      <c r="UFB7" s="57"/>
      <c r="UFC7" s="57"/>
      <c r="UFD7" s="57"/>
      <c r="UFE7" s="57"/>
      <c r="UFF7" s="57"/>
      <c r="UFG7" s="57"/>
      <c r="UFH7" s="57"/>
      <c r="UFI7" s="57"/>
      <c r="UFJ7" s="57"/>
      <c r="UFK7" s="57"/>
      <c r="UFL7" s="57"/>
      <c r="UFM7" s="57"/>
      <c r="UFN7" s="57"/>
      <c r="UFO7" s="57"/>
      <c r="UFP7" s="57"/>
      <c r="UFQ7" s="57"/>
      <c r="UFR7" s="57"/>
      <c r="UFS7" s="57"/>
      <c r="UFT7" s="57"/>
      <c r="UFU7" s="57"/>
      <c r="UFV7" s="57"/>
      <c r="UFW7" s="57"/>
      <c r="UFX7" s="57"/>
      <c r="UFY7" s="57"/>
      <c r="UFZ7" s="57"/>
      <c r="UGA7" s="57"/>
      <c r="UGB7" s="57"/>
      <c r="UGC7" s="57"/>
      <c r="UGD7" s="57"/>
      <c r="UGE7" s="57"/>
      <c r="UGF7" s="57"/>
      <c r="UGG7" s="57"/>
      <c r="UGH7" s="57"/>
      <c r="UGI7" s="57"/>
      <c r="UGJ7" s="57"/>
      <c r="UGK7" s="57"/>
      <c r="UGL7" s="57"/>
      <c r="UGM7" s="57"/>
      <c r="UGN7" s="57"/>
      <c r="UGO7" s="57"/>
      <c r="UGP7" s="57"/>
      <c r="UGQ7" s="57"/>
      <c r="UGR7" s="57"/>
      <c r="UGS7" s="57"/>
      <c r="UGT7" s="57"/>
      <c r="UGU7" s="57"/>
      <c r="UGV7" s="57"/>
      <c r="UGW7" s="57"/>
      <c r="UGX7" s="57"/>
      <c r="UGY7" s="57"/>
      <c r="UGZ7" s="57"/>
      <c r="UHA7" s="57"/>
      <c r="UHB7" s="57"/>
      <c r="UHC7" s="57"/>
      <c r="UHD7" s="57"/>
      <c r="UHE7" s="57"/>
      <c r="UHF7" s="57"/>
      <c r="UHG7" s="57"/>
      <c r="UHH7" s="57"/>
      <c r="UHI7" s="57"/>
      <c r="UHJ7" s="57"/>
      <c r="UHK7" s="57"/>
      <c r="UHL7" s="57"/>
      <c r="UHM7" s="57"/>
      <c r="UHN7" s="57"/>
      <c r="UHO7" s="57"/>
      <c r="UHP7" s="57"/>
      <c r="UHQ7" s="57"/>
      <c r="UHR7" s="57"/>
      <c r="UHS7" s="57"/>
      <c r="UHT7" s="57"/>
      <c r="UHU7" s="57"/>
      <c r="UHV7" s="57"/>
      <c r="UHW7" s="57"/>
      <c r="UHX7" s="57"/>
      <c r="UHY7" s="57"/>
      <c r="UHZ7" s="57"/>
      <c r="UIA7" s="57"/>
      <c r="UIB7" s="57"/>
      <c r="UIC7" s="57"/>
      <c r="UID7" s="57"/>
      <c r="UIE7" s="57"/>
      <c r="UIF7" s="57"/>
      <c r="UIG7" s="57"/>
      <c r="UIH7" s="57"/>
      <c r="UII7" s="57"/>
      <c r="UIJ7" s="57"/>
      <c r="UIK7" s="57"/>
      <c r="UIL7" s="57"/>
      <c r="UIM7" s="57"/>
      <c r="UIN7" s="57"/>
      <c r="UIO7" s="57"/>
      <c r="UIP7" s="57"/>
      <c r="UIQ7" s="57"/>
      <c r="UIR7" s="57"/>
      <c r="UIS7" s="57"/>
      <c r="UIT7" s="57"/>
      <c r="UIU7" s="57"/>
      <c r="UIV7" s="57"/>
      <c r="UIW7" s="57"/>
      <c r="UIX7" s="57"/>
      <c r="UIY7" s="57"/>
      <c r="UIZ7" s="57"/>
      <c r="UJA7" s="57"/>
      <c r="UJB7" s="57"/>
      <c r="UJC7" s="57"/>
      <c r="UJD7" s="57"/>
      <c r="UJE7" s="57"/>
      <c r="UJF7" s="57"/>
      <c r="UJG7" s="57"/>
      <c r="UJH7" s="57"/>
      <c r="UJI7" s="57"/>
      <c r="UJJ7" s="57"/>
      <c r="UJK7" s="57"/>
      <c r="UJL7" s="57"/>
      <c r="UJM7" s="57"/>
      <c r="UJN7" s="57"/>
      <c r="UJO7" s="57"/>
      <c r="UJP7" s="57"/>
      <c r="UJQ7" s="57"/>
      <c r="UJR7" s="57"/>
      <c r="UJS7" s="57"/>
      <c r="UJT7" s="57"/>
      <c r="UJU7" s="57"/>
      <c r="UJV7" s="57"/>
      <c r="UJW7" s="57"/>
      <c r="UJX7" s="57"/>
      <c r="UJY7" s="57"/>
      <c r="UJZ7" s="57"/>
      <c r="UKA7" s="57"/>
      <c r="UKB7" s="57"/>
      <c r="UKC7" s="57"/>
      <c r="UKD7" s="57"/>
      <c r="UKE7" s="57"/>
      <c r="UKF7" s="57"/>
      <c r="UKG7" s="57"/>
      <c r="UKH7" s="57"/>
      <c r="UKI7" s="57"/>
      <c r="UKJ7" s="57"/>
      <c r="UKK7" s="57"/>
      <c r="UKL7" s="57"/>
      <c r="UKM7" s="57"/>
      <c r="UKN7" s="57"/>
      <c r="UKO7" s="57"/>
      <c r="UKP7" s="57"/>
      <c r="UKQ7" s="57"/>
      <c r="UKR7" s="57"/>
      <c r="UKS7" s="57"/>
      <c r="UKT7" s="57"/>
      <c r="UKU7" s="57"/>
      <c r="UKV7" s="57"/>
      <c r="UKW7" s="57"/>
      <c r="UKX7" s="57"/>
      <c r="UKY7" s="57"/>
      <c r="UKZ7" s="57"/>
      <c r="ULA7" s="57"/>
      <c r="ULB7" s="57"/>
      <c r="ULC7" s="57"/>
      <c r="ULD7" s="57"/>
      <c r="ULE7" s="57"/>
      <c r="ULF7" s="57"/>
      <c r="ULG7" s="57"/>
      <c r="ULH7" s="57"/>
      <c r="ULI7" s="57"/>
      <c r="ULJ7" s="57"/>
      <c r="ULK7" s="57"/>
      <c r="ULL7" s="57"/>
      <c r="ULM7" s="57"/>
      <c r="ULN7" s="57"/>
      <c r="ULO7" s="57"/>
      <c r="ULP7" s="57"/>
      <c r="ULQ7" s="57"/>
      <c r="ULR7" s="57"/>
      <c r="ULS7" s="57"/>
      <c r="ULT7" s="57"/>
      <c r="ULU7" s="57"/>
      <c r="ULV7" s="57"/>
      <c r="ULW7" s="57"/>
      <c r="ULX7" s="57"/>
      <c r="ULY7" s="57"/>
      <c r="ULZ7" s="57"/>
      <c r="UMA7" s="57"/>
      <c r="UMB7" s="57"/>
      <c r="UMC7" s="57"/>
      <c r="UMD7" s="57"/>
      <c r="UME7" s="57"/>
      <c r="UMF7" s="57"/>
      <c r="UMG7" s="57"/>
      <c r="UMH7" s="57"/>
      <c r="UMI7" s="57"/>
      <c r="UMJ7" s="57"/>
      <c r="UMK7" s="57"/>
      <c r="UML7" s="57"/>
      <c r="UMM7" s="57"/>
      <c r="UMN7" s="57"/>
      <c r="UMO7" s="57"/>
      <c r="UMP7" s="57"/>
      <c r="UMQ7" s="57"/>
      <c r="UMR7" s="57"/>
      <c r="UMS7" s="57"/>
      <c r="UMT7" s="57"/>
      <c r="UMU7" s="57"/>
      <c r="UMV7" s="57"/>
      <c r="UMW7" s="57"/>
      <c r="UMX7" s="57"/>
      <c r="UMY7" s="57"/>
      <c r="UMZ7" s="57"/>
      <c r="UNA7" s="57"/>
      <c r="UNB7" s="57"/>
      <c r="UNC7" s="57"/>
      <c r="UND7" s="57"/>
      <c r="UNE7" s="57"/>
      <c r="UNF7" s="57"/>
      <c r="UNG7" s="57"/>
      <c r="UNH7" s="57"/>
      <c r="UNI7" s="57"/>
      <c r="UNJ7" s="57"/>
      <c r="UNK7" s="57"/>
      <c r="UNL7" s="57"/>
      <c r="UNM7" s="57"/>
      <c r="UNN7" s="57"/>
      <c r="UNO7" s="57"/>
      <c r="UNP7" s="57"/>
      <c r="UNQ7" s="57"/>
      <c r="UNR7" s="57"/>
      <c r="UNS7" s="57"/>
      <c r="UNT7" s="57"/>
      <c r="UNU7" s="57"/>
      <c r="UNV7" s="57"/>
      <c r="UNW7" s="57"/>
      <c r="UNX7" s="57"/>
      <c r="UNY7" s="57"/>
      <c r="UNZ7" s="57"/>
      <c r="UOA7" s="57"/>
      <c r="UOB7" s="57"/>
      <c r="UOC7" s="57"/>
      <c r="UOD7" s="57"/>
      <c r="UOE7" s="57"/>
      <c r="UOF7" s="57"/>
      <c r="UOG7" s="57"/>
      <c r="UOH7" s="57"/>
      <c r="UOI7" s="57"/>
      <c r="UOJ7" s="57"/>
      <c r="UOK7" s="57"/>
      <c r="UOL7" s="57"/>
      <c r="UOM7" s="57"/>
      <c r="UON7" s="57"/>
      <c r="UOO7" s="57"/>
      <c r="UOP7" s="57"/>
      <c r="UOQ7" s="57"/>
      <c r="UOR7" s="57"/>
      <c r="UOS7" s="57"/>
      <c r="UOT7" s="57"/>
      <c r="UOU7" s="57"/>
      <c r="UOV7" s="57"/>
      <c r="UOW7" s="57"/>
      <c r="UOX7" s="57"/>
      <c r="UOY7" s="57"/>
      <c r="UOZ7" s="57"/>
      <c r="UPA7" s="57"/>
      <c r="UPB7" s="57"/>
      <c r="UPC7" s="57"/>
      <c r="UPD7" s="57"/>
      <c r="UPE7" s="57"/>
      <c r="UPF7" s="57"/>
      <c r="UPG7" s="57"/>
      <c r="UPH7" s="57"/>
      <c r="UPI7" s="57"/>
      <c r="UPJ7" s="57"/>
      <c r="UPK7" s="57"/>
      <c r="UPL7" s="57"/>
      <c r="UPM7" s="57"/>
      <c r="UPN7" s="57"/>
      <c r="UPO7" s="57"/>
      <c r="UPP7" s="57"/>
      <c r="UPQ7" s="57"/>
      <c r="UPR7" s="57"/>
      <c r="UPS7" s="57"/>
      <c r="UPT7" s="57"/>
      <c r="UPU7" s="57"/>
      <c r="UPV7" s="57"/>
      <c r="UPW7" s="57"/>
      <c r="UPX7" s="57"/>
      <c r="UPY7" s="57"/>
      <c r="UPZ7" s="57"/>
      <c r="UQA7" s="57"/>
      <c r="UQB7" s="57"/>
      <c r="UQC7" s="57"/>
      <c r="UQD7" s="57"/>
      <c r="UQE7" s="57"/>
      <c r="UQF7" s="57"/>
      <c r="UQG7" s="57"/>
      <c r="UQH7" s="57"/>
      <c r="UQI7" s="57"/>
      <c r="UQJ7" s="57"/>
      <c r="UQK7" s="57"/>
      <c r="UQL7" s="57"/>
      <c r="UQM7" s="57"/>
      <c r="UQN7" s="57"/>
      <c r="UQO7" s="57"/>
      <c r="UQP7" s="57"/>
      <c r="UQQ7" s="57"/>
      <c r="UQR7" s="57"/>
      <c r="UQS7" s="57"/>
      <c r="UQT7" s="57"/>
      <c r="UQU7" s="57"/>
      <c r="UQV7" s="57"/>
      <c r="UQW7" s="57"/>
      <c r="UQX7" s="57"/>
      <c r="UQY7" s="57"/>
      <c r="UQZ7" s="57"/>
      <c r="URA7" s="57"/>
      <c r="URB7" s="57"/>
      <c r="URC7" s="57"/>
      <c r="URD7" s="57"/>
      <c r="URE7" s="57"/>
      <c r="URF7" s="57"/>
      <c r="URG7" s="57"/>
      <c r="URH7" s="57"/>
      <c r="URI7" s="57"/>
      <c r="URJ7" s="57"/>
      <c r="URK7" s="57"/>
      <c r="URL7" s="57"/>
      <c r="URM7" s="57"/>
      <c r="URN7" s="57"/>
      <c r="URO7" s="57"/>
      <c r="URP7" s="57"/>
      <c r="URQ7" s="57"/>
      <c r="URR7" s="57"/>
      <c r="URS7" s="57"/>
      <c r="URT7" s="57"/>
      <c r="URU7" s="57"/>
      <c r="URV7" s="57"/>
      <c r="URW7" s="57"/>
      <c r="URX7" s="57"/>
      <c r="URY7" s="57"/>
      <c r="URZ7" s="57"/>
      <c r="USA7" s="57"/>
      <c r="USB7" s="57"/>
      <c r="USC7" s="57"/>
      <c r="USD7" s="57"/>
      <c r="USE7" s="57"/>
      <c r="USF7" s="57"/>
      <c r="USG7" s="57"/>
      <c r="USH7" s="57"/>
      <c r="USI7" s="57"/>
      <c r="USJ7" s="57"/>
      <c r="USK7" s="57"/>
      <c r="USL7" s="57"/>
      <c r="USM7" s="57"/>
      <c r="USN7" s="57"/>
      <c r="USO7" s="57"/>
      <c r="USP7" s="57"/>
      <c r="USQ7" s="57"/>
      <c r="USR7" s="57"/>
      <c r="USS7" s="57"/>
      <c r="UST7" s="57"/>
      <c r="USU7" s="57"/>
      <c r="USV7" s="57"/>
      <c r="USW7" s="57"/>
      <c r="USX7" s="57"/>
      <c r="USY7" s="57"/>
      <c r="USZ7" s="57"/>
      <c r="UTA7" s="57"/>
      <c r="UTB7" s="57"/>
      <c r="UTC7" s="57"/>
      <c r="UTD7" s="57"/>
      <c r="UTE7" s="57"/>
      <c r="UTF7" s="57"/>
      <c r="UTG7" s="57"/>
      <c r="UTH7" s="57"/>
      <c r="UTI7" s="57"/>
      <c r="UTJ7" s="57"/>
      <c r="UTK7" s="57"/>
      <c r="UTL7" s="57"/>
      <c r="UTM7" s="57"/>
      <c r="UTN7" s="57"/>
      <c r="UTO7" s="57"/>
      <c r="UTP7" s="57"/>
      <c r="UTQ7" s="57"/>
      <c r="UTR7" s="57"/>
      <c r="UTS7" s="57"/>
      <c r="UTT7" s="57"/>
      <c r="UTU7" s="57"/>
      <c r="UTV7" s="57"/>
      <c r="UTW7" s="57"/>
      <c r="UTX7" s="57"/>
      <c r="UTY7" s="57"/>
      <c r="UTZ7" s="57"/>
      <c r="UUA7" s="57"/>
      <c r="UUB7" s="57"/>
      <c r="UUC7" s="57"/>
      <c r="UUD7" s="57"/>
      <c r="UUE7" s="57"/>
      <c r="UUF7" s="57"/>
      <c r="UUG7" s="57"/>
      <c r="UUH7" s="57"/>
      <c r="UUI7" s="57"/>
      <c r="UUJ7" s="57"/>
      <c r="UUK7" s="57"/>
      <c r="UUL7" s="57"/>
      <c r="UUM7" s="57"/>
      <c r="UUN7" s="57"/>
      <c r="UUO7" s="57"/>
      <c r="UUP7" s="57"/>
      <c r="UUQ7" s="57"/>
      <c r="UUR7" s="57"/>
      <c r="UUS7" s="57"/>
      <c r="UUT7" s="57"/>
      <c r="UUU7" s="57"/>
      <c r="UUV7" s="57"/>
      <c r="UUW7" s="57"/>
      <c r="UUX7" s="57"/>
      <c r="UUY7" s="57"/>
      <c r="UUZ7" s="57"/>
      <c r="UVA7" s="57"/>
      <c r="UVB7" s="57"/>
      <c r="UVC7" s="57"/>
      <c r="UVD7" s="57"/>
      <c r="UVE7" s="57"/>
      <c r="UVF7" s="57"/>
      <c r="UVG7" s="57"/>
      <c r="UVH7" s="57"/>
      <c r="UVI7" s="57"/>
      <c r="UVJ7" s="57"/>
      <c r="UVK7" s="57"/>
      <c r="UVL7" s="57"/>
      <c r="UVM7" s="57"/>
      <c r="UVN7" s="57"/>
      <c r="UVO7" s="57"/>
      <c r="UVP7" s="57"/>
      <c r="UVQ7" s="57"/>
      <c r="UVR7" s="57"/>
      <c r="UVS7" s="57"/>
      <c r="UVT7" s="57"/>
      <c r="UVU7" s="57"/>
      <c r="UVV7" s="57"/>
      <c r="UVW7" s="57"/>
      <c r="UVX7" s="57"/>
      <c r="UVY7" s="57"/>
      <c r="UVZ7" s="57"/>
      <c r="UWA7" s="57"/>
      <c r="UWB7" s="57"/>
      <c r="UWC7" s="57"/>
      <c r="UWD7" s="57"/>
      <c r="UWE7" s="57"/>
      <c r="UWF7" s="57"/>
      <c r="UWG7" s="57"/>
      <c r="UWH7" s="57"/>
      <c r="UWI7" s="57"/>
      <c r="UWJ7" s="57"/>
      <c r="UWK7" s="57"/>
      <c r="UWL7" s="57"/>
      <c r="UWM7" s="57"/>
      <c r="UWN7" s="57"/>
      <c r="UWO7" s="57"/>
      <c r="UWP7" s="57"/>
      <c r="UWQ7" s="57"/>
      <c r="UWR7" s="57"/>
      <c r="UWS7" s="57"/>
      <c r="UWT7" s="57"/>
      <c r="UWU7" s="57"/>
      <c r="UWV7" s="57"/>
      <c r="UWW7" s="57"/>
      <c r="UWX7" s="57"/>
      <c r="UWY7" s="57"/>
      <c r="UWZ7" s="57"/>
      <c r="UXA7" s="57"/>
      <c r="UXB7" s="57"/>
      <c r="UXC7" s="57"/>
      <c r="UXD7" s="57"/>
      <c r="UXE7" s="57"/>
      <c r="UXF7" s="57"/>
      <c r="UXG7" s="57"/>
      <c r="UXH7" s="57"/>
      <c r="UXI7" s="57"/>
      <c r="UXJ7" s="57"/>
      <c r="UXK7" s="57"/>
      <c r="UXL7" s="57"/>
      <c r="UXM7" s="57"/>
      <c r="UXN7" s="57"/>
      <c r="UXO7" s="57"/>
      <c r="UXP7" s="57"/>
      <c r="UXQ7" s="57"/>
      <c r="UXR7" s="57"/>
      <c r="UXS7" s="57"/>
      <c r="UXT7" s="57"/>
      <c r="UXU7" s="57"/>
      <c r="UXV7" s="57"/>
      <c r="UXW7" s="57"/>
      <c r="UXX7" s="57"/>
      <c r="UXY7" s="57"/>
      <c r="UXZ7" s="57"/>
      <c r="UYA7" s="57"/>
      <c r="UYB7" s="57"/>
      <c r="UYC7" s="57"/>
      <c r="UYD7" s="57"/>
      <c r="UYE7" s="57"/>
      <c r="UYF7" s="57"/>
      <c r="UYG7" s="57"/>
      <c r="UYH7" s="57"/>
      <c r="UYI7" s="57"/>
      <c r="UYJ7" s="57"/>
      <c r="UYK7" s="57"/>
      <c r="UYL7" s="57"/>
      <c r="UYM7" s="57"/>
      <c r="UYN7" s="57"/>
      <c r="UYO7" s="57"/>
      <c r="UYP7" s="57"/>
      <c r="UYQ7" s="57"/>
      <c r="UYR7" s="57"/>
      <c r="UYS7" s="57"/>
      <c r="UYT7" s="57"/>
      <c r="UYU7" s="57"/>
      <c r="UYV7" s="57"/>
      <c r="UYW7" s="57"/>
      <c r="UYX7" s="57"/>
      <c r="UYY7" s="57"/>
      <c r="UYZ7" s="57"/>
      <c r="UZA7" s="57"/>
      <c r="UZB7" s="57"/>
      <c r="UZC7" s="57"/>
      <c r="UZD7" s="57"/>
      <c r="UZE7" s="57"/>
      <c r="UZF7" s="57"/>
      <c r="UZG7" s="57"/>
      <c r="UZH7" s="57"/>
      <c r="UZI7" s="57"/>
      <c r="UZJ7" s="57"/>
      <c r="UZK7" s="57"/>
      <c r="UZL7" s="57"/>
      <c r="UZM7" s="57"/>
      <c r="UZN7" s="57"/>
      <c r="UZO7" s="57"/>
      <c r="UZP7" s="57"/>
      <c r="UZQ7" s="57"/>
      <c r="UZR7" s="57"/>
      <c r="UZS7" s="57"/>
      <c r="UZT7" s="57"/>
      <c r="UZU7" s="57"/>
      <c r="UZV7" s="57"/>
      <c r="UZW7" s="57"/>
      <c r="UZX7" s="57"/>
      <c r="UZY7" s="57"/>
      <c r="UZZ7" s="57"/>
      <c r="VAA7" s="57"/>
      <c r="VAB7" s="57"/>
      <c r="VAC7" s="57"/>
      <c r="VAD7" s="57"/>
      <c r="VAE7" s="57"/>
      <c r="VAF7" s="57"/>
      <c r="VAG7" s="57"/>
      <c r="VAH7" s="57"/>
      <c r="VAI7" s="57"/>
      <c r="VAJ7" s="57"/>
      <c r="VAK7" s="57"/>
      <c r="VAL7" s="57"/>
      <c r="VAM7" s="57"/>
      <c r="VAN7" s="57"/>
      <c r="VAO7" s="57"/>
      <c r="VAP7" s="57"/>
      <c r="VAQ7" s="57"/>
      <c r="VAR7" s="57"/>
      <c r="VAS7" s="57"/>
      <c r="VAT7" s="57"/>
      <c r="VAU7" s="57"/>
      <c r="VAV7" s="57"/>
      <c r="VAW7" s="57"/>
      <c r="VAX7" s="57"/>
      <c r="VAY7" s="57"/>
      <c r="VAZ7" s="57"/>
      <c r="VBA7" s="57"/>
      <c r="VBB7" s="57"/>
      <c r="VBC7" s="57"/>
      <c r="VBD7" s="57"/>
      <c r="VBE7" s="57"/>
      <c r="VBF7" s="57"/>
      <c r="VBG7" s="57"/>
      <c r="VBH7" s="57"/>
      <c r="VBI7" s="57"/>
      <c r="VBJ7" s="57"/>
      <c r="VBK7" s="57"/>
      <c r="VBL7" s="57"/>
      <c r="VBM7" s="57"/>
      <c r="VBN7" s="57"/>
      <c r="VBO7" s="57"/>
      <c r="VBP7" s="57"/>
      <c r="VBQ7" s="57"/>
      <c r="VBR7" s="57"/>
      <c r="VBS7" s="57"/>
      <c r="VBT7" s="57"/>
      <c r="VBU7" s="57"/>
      <c r="VBV7" s="57"/>
      <c r="VBW7" s="57"/>
      <c r="VBX7" s="57"/>
      <c r="VBY7" s="57"/>
      <c r="VBZ7" s="57"/>
      <c r="VCA7" s="57"/>
      <c r="VCB7" s="57"/>
      <c r="VCC7" s="57"/>
      <c r="VCD7" s="57"/>
      <c r="VCE7" s="57"/>
      <c r="VCF7" s="57"/>
      <c r="VCG7" s="57"/>
      <c r="VCH7" s="57"/>
      <c r="VCI7" s="57"/>
      <c r="VCJ7" s="57"/>
      <c r="VCK7" s="57"/>
      <c r="VCL7" s="57"/>
      <c r="VCM7" s="57"/>
      <c r="VCN7" s="57"/>
      <c r="VCO7" s="57"/>
      <c r="VCP7" s="57"/>
      <c r="VCQ7" s="57"/>
      <c r="VCR7" s="57"/>
      <c r="VCS7" s="57"/>
      <c r="VCT7" s="57"/>
      <c r="VCU7" s="57"/>
      <c r="VCV7" s="57"/>
      <c r="VCW7" s="57"/>
      <c r="VCX7" s="57"/>
      <c r="VCY7" s="57"/>
      <c r="VCZ7" s="57"/>
      <c r="VDA7" s="57"/>
      <c r="VDB7" s="57"/>
      <c r="VDC7" s="57"/>
      <c r="VDD7" s="57"/>
      <c r="VDE7" s="57"/>
      <c r="VDF7" s="57"/>
      <c r="VDG7" s="57"/>
      <c r="VDH7" s="57"/>
      <c r="VDI7" s="57"/>
      <c r="VDJ7" s="57"/>
      <c r="VDK7" s="57"/>
      <c r="VDL7" s="57"/>
      <c r="VDM7" s="57"/>
      <c r="VDN7" s="57"/>
      <c r="VDO7" s="57"/>
      <c r="VDP7" s="57"/>
      <c r="VDQ7" s="57"/>
      <c r="VDR7" s="57"/>
      <c r="VDS7" s="57"/>
      <c r="VDT7" s="57"/>
      <c r="VDU7" s="57"/>
      <c r="VDV7" s="57"/>
      <c r="VDW7" s="57"/>
      <c r="VDX7" s="57"/>
      <c r="VDY7" s="57"/>
      <c r="VDZ7" s="57"/>
      <c r="VEA7" s="57"/>
      <c r="VEB7" s="57"/>
      <c r="VEC7" s="57"/>
      <c r="VED7" s="57"/>
      <c r="VEE7" s="57"/>
      <c r="VEF7" s="57"/>
      <c r="VEG7" s="57"/>
      <c r="VEH7" s="57"/>
      <c r="VEI7" s="57"/>
      <c r="VEJ7" s="57"/>
      <c r="VEK7" s="57"/>
      <c r="VEL7" s="57"/>
      <c r="VEM7" s="57"/>
      <c r="VEN7" s="57"/>
      <c r="VEO7" s="57"/>
      <c r="VEP7" s="57"/>
      <c r="VEQ7" s="57"/>
      <c r="VER7" s="57"/>
      <c r="VES7" s="57"/>
      <c r="VET7" s="57"/>
      <c r="VEU7" s="57"/>
      <c r="VEV7" s="57"/>
      <c r="VEW7" s="57"/>
      <c r="VEX7" s="57"/>
      <c r="VEY7" s="57"/>
      <c r="VEZ7" s="57"/>
      <c r="VFA7" s="57"/>
      <c r="VFB7" s="57"/>
      <c r="VFC7" s="57"/>
      <c r="VFD7" s="57"/>
      <c r="VFE7" s="57"/>
      <c r="VFF7" s="57"/>
      <c r="VFG7" s="57"/>
      <c r="VFH7" s="57"/>
      <c r="VFI7" s="57"/>
      <c r="VFJ7" s="57"/>
      <c r="VFK7" s="57"/>
      <c r="VFL7" s="57"/>
      <c r="VFM7" s="57"/>
      <c r="VFN7" s="57"/>
      <c r="VFO7" s="57"/>
      <c r="VFP7" s="57"/>
      <c r="VFQ7" s="57"/>
      <c r="VFR7" s="57"/>
      <c r="VFS7" s="57"/>
      <c r="VFT7" s="57"/>
      <c r="VFU7" s="57"/>
      <c r="VFV7" s="57"/>
      <c r="VFW7" s="57"/>
      <c r="VFX7" s="57"/>
      <c r="VFY7" s="57"/>
      <c r="VFZ7" s="57"/>
      <c r="VGA7" s="57"/>
      <c r="VGB7" s="57"/>
      <c r="VGC7" s="57"/>
      <c r="VGD7" s="57"/>
      <c r="VGE7" s="57"/>
      <c r="VGF7" s="57"/>
      <c r="VGG7" s="57"/>
      <c r="VGH7" s="57"/>
      <c r="VGI7" s="57"/>
      <c r="VGJ7" s="57"/>
      <c r="VGK7" s="57"/>
      <c r="VGL7" s="57"/>
      <c r="VGM7" s="57"/>
      <c r="VGN7" s="57"/>
      <c r="VGO7" s="57"/>
      <c r="VGP7" s="57"/>
      <c r="VGQ7" s="57"/>
      <c r="VGR7" s="57"/>
      <c r="VGS7" s="57"/>
      <c r="VGT7" s="57"/>
      <c r="VGU7" s="57"/>
      <c r="VGV7" s="57"/>
      <c r="VGW7" s="57"/>
      <c r="VGX7" s="57"/>
      <c r="VGY7" s="57"/>
      <c r="VGZ7" s="57"/>
      <c r="VHA7" s="57"/>
      <c r="VHB7" s="57"/>
      <c r="VHC7" s="57"/>
      <c r="VHD7" s="57"/>
      <c r="VHE7" s="57"/>
      <c r="VHF7" s="57"/>
      <c r="VHG7" s="57"/>
      <c r="VHH7" s="57"/>
      <c r="VHI7" s="57"/>
      <c r="VHJ7" s="57"/>
      <c r="VHK7" s="57"/>
      <c r="VHL7" s="57"/>
      <c r="VHM7" s="57"/>
      <c r="VHN7" s="57"/>
      <c r="VHO7" s="57"/>
      <c r="VHP7" s="57"/>
      <c r="VHQ7" s="57"/>
      <c r="VHR7" s="57"/>
      <c r="VHS7" s="57"/>
      <c r="VHT7" s="57"/>
      <c r="VHU7" s="57"/>
      <c r="VHV7" s="57"/>
      <c r="VHW7" s="57"/>
      <c r="VHX7" s="57"/>
      <c r="VHY7" s="57"/>
      <c r="VHZ7" s="57"/>
      <c r="VIA7" s="57"/>
      <c r="VIB7" s="57"/>
      <c r="VIC7" s="57"/>
      <c r="VID7" s="57"/>
      <c r="VIE7" s="57"/>
      <c r="VIF7" s="57"/>
      <c r="VIG7" s="57"/>
      <c r="VIH7" s="57"/>
      <c r="VII7" s="57"/>
      <c r="VIJ7" s="57"/>
      <c r="VIK7" s="57"/>
      <c r="VIL7" s="57"/>
      <c r="VIM7" s="57"/>
      <c r="VIN7" s="57"/>
      <c r="VIO7" s="57"/>
      <c r="VIP7" s="57"/>
      <c r="VIQ7" s="57"/>
      <c r="VIR7" s="57"/>
      <c r="VIS7" s="57"/>
      <c r="VIT7" s="57"/>
      <c r="VIU7" s="57"/>
      <c r="VIV7" s="57"/>
      <c r="VIW7" s="57"/>
      <c r="VIX7" s="57"/>
      <c r="VIY7" s="57"/>
      <c r="VIZ7" s="57"/>
      <c r="VJA7" s="57"/>
      <c r="VJB7" s="57"/>
      <c r="VJC7" s="57"/>
      <c r="VJD7" s="57"/>
      <c r="VJE7" s="57"/>
      <c r="VJF7" s="57"/>
      <c r="VJG7" s="57"/>
      <c r="VJH7" s="57"/>
      <c r="VJI7" s="57"/>
      <c r="VJJ7" s="57"/>
      <c r="VJK7" s="57"/>
      <c r="VJL7" s="57"/>
      <c r="VJM7" s="57"/>
      <c r="VJN7" s="57"/>
      <c r="VJO7" s="57"/>
      <c r="VJP7" s="57"/>
      <c r="VJQ7" s="57"/>
      <c r="VJR7" s="57"/>
      <c r="VJS7" s="57"/>
      <c r="VJT7" s="57"/>
      <c r="VJU7" s="57"/>
      <c r="VJV7" s="57"/>
      <c r="VJW7" s="57"/>
      <c r="VJX7" s="57"/>
      <c r="VJY7" s="57"/>
      <c r="VJZ7" s="57"/>
      <c r="VKA7" s="57"/>
      <c r="VKB7" s="57"/>
      <c r="VKC7" s="57"/>
      <c r="VKD7" s="57"/>
      <c r="VKE7" s="57"/>
      <c r="VKF7" s="57"/>
      <c r="VKG7" s="57"/>
      <c r="VKH7" s="57"/>
      <c r="VKI7" s="57"/>
      <c r="VKJ7" s="57"/>
      <c r="VKK7" s="57"/>
      <c r="VKL7" s="57"/>
      <c r="VKM7" s="57"/>
      <c r="VKN7" s="57"/>
      <c r="VKO7" s="57"/>
      <c r="VKP7" s="57"/>
      <c r="VKQ7" s="57"/>
      <c r="VKR7" s="57"/>
      <c r="VKS7" s="57"/>
      <c r="VKT7" s="57"/>
      <c r="VKU7" s="57"/>
      <c r="VKV7" s="57"/>
      <c r="VKW7" s="57"/>
      <c r="VKX7" s="57"/>
      <c r="VKY7" s="57"/>
      <c r="VKZ7" s="57"/>
      <c r="VLA7" s="57"/>
      <c r="VLB7" s="57"/>
      <c r="VLC7" s="57"/>
      <c r="VLD7" s="57"/>
      <c r="VLE7" s="57"/>
      <c r="VLF7" s="57"/>
      <c r="VLG7" s="57"/>
      <c r="VLH7" s="57"/>
      <c r="VLI7" s="57"/>
      <c r="VLJ7" s="57"/>
      <c r="VLK7" s="57"/>
      <c r="VLL7" s="57"/>
      <c r="VLM7" s="57"/>
      <c r="VLN7" s="57"/>
      <c r="VLO7" s="57"/>
      <c r="VLP7" s="57"/>
      <c r="VLQ7" s="57"/>
      <c r="VLR7" s="57"/>
      <c r="VLS7" s="57"/>
      <c r="VLT7" s="57"/>
      <c r="VLU7" s="57"/>
      <c r="VLV7" s="57"/>
      <c r="VLW7" s="57"/>
      <c r="VLX7" s="57"/>
      <c r="VLY7" s="57"/>
      <c r="VLZ7" s="57"/>
      <c r="VMA7" s="57"/>
      <c r="VMB7" s="57"/>
      <c r="VMC7" s="57"/>
      <c r="VMD7" s="57"/>
      <c r="VME7" s="57"/>
      <c r="VMF7" s="57"/>
      <c r="VMG7" s="57"/>
      <c r="VMH7" s="57"/>
      <c r="VMI7" s="57"/>
      <c r="VMJ7" s="57"/>
      <c r="VMK7" s="57"/>
      <c r="VML7" s="57"/>
      <c r="VMM7" s="57"/>
      <c r="VMN7" s="57"/>
      <c r="VMO7" s="57"/>
      <c r="VMP7" s="57"/>
      <c r="VMQ7" s="57"/>
      <c r="VMR7" s="57"/>
      <c r="VMS7" s="57"/>
      <c r="VMT7" s="57"/>
      <c r="VMU7" s="57"/>
      <c r="VMV7" s="57"/>
      <c r="VMW7" s="57"/>
      <c r="VMX7" s="57"/>
      <c r="VMY7" s="57"/>
      <c r="VMZ7" s="57"/>
      <c r="VNA7" s="57"/>
      <c r="VNB7" s="57"/>
      <c r="VNC7" s="57"/>
      <c r="VND7" s="57"/>
      <c r="VNE7" s="57"/>
      <c r="VNF7" s="57"/>
      <c r="VNG7" s="57"/>
      <c r="VNH7" s="57"/>
      <c r="VNI7" s="57"/>
      <c r="VNJ7" s="57"/>
      <c r="VNK7" s="57"/>
      <c r="VNL7" s="57"/>
      <c r="VNM7" s="57"/>
      <c r="VNN7" s="57"/>
      <c r="VNO7" s="57"/>
      <c r="VNP7" s="57"/>
      <c r="VNQ7" s="57"/>
      <c r="VNR7" s="57"/>
      <c r="VNS7" s="57"/>
      <c r="VNT7" s="57"/>
      <c r="VNU7" s="57"/>
      <c r="VNV7" s="57"/>
      <c r="VNW7" s="57"/>
      <c r="VNX7" s="57"/>
      <c r="VNY7" s="57"/>
      <c r="VNZ7" s="57"/>
      <c r="VOA7" s="57"/>
      <c r="VOB7" s="57"/>
      <c r="VOC7" s="57"/>
      <c r="VOD7" s="57"/>
      <c r="VOE7" s="57"/>
      <c r="VOF7" s="57"/>
      <c r="VOG7" s="57"/>
      <c r="VOH7" s="57"/>
      <c r="VOI7" s="57"/>
      <c r="VOJ7" s="57"/>
      <c r="VOK7" s="57"/>
      <c r="VOL7" s="57"/>
      <c r="VOM7" s="57"/>
      <c r="VON7" s="57"/>
      <c r="VOO7" s="57"/>
      <c r="VOP7" s="57"/>
      <c r="VOQ7" s="57"/>
      <c r="VOR7" s="57"/>
      <c r="VOS7" s="57"/>
      <c r="VOT7" s="57"/>
      <c r="VOU7" s="57"/>
      <c r="VOV7" s="57"/>
      <c r="VOW7" s="57"/>
      <c r="VOX7" s="57"/>
      <c r="VOY7" s="57"/>
      <c r="VOZ7" s="57"/>
      <c r="VPA7" s="57"/>
      <c r="VPB7" s="57"/>
      <c r="VPC7" s="57"/>
      <c r="VPD7" s="57"/>
      <c r="VPE7" s="57"/>
      <c r="VPF7" s="57"/>
      <c r="VPG7" s="57"/>
      <c r="VPH7" s="57"/>
      <c r="VPI7" s="57"/>
      <c r="VPJ7" s="57"/>
      <c r="VPK7" s="57"/>
      <c r="VPL7" s="57"/>
      <c r="VPM7" s="57"/>
      <c r="VPN7" s="57"/>
      <c r="VPO7" s="57"/>
      <c r="VPP7" s="57"/>
      <c r="VPQ7" s="57"/>
      <c r="VPR7" s="57"/>
      <c r="VPS7" s="57"/>
      <c r="VPT7" s="57"/>
      <c r="VPU7" s="57"/>
      <c r="VPV7" s="57"/>
      <c r="VPW7" s="57"/>
      <c r="VPX7" s="57"/>
      <c r="VPY7" s="57"/>
      <c r="VPZ7" s="57"/>
      <c r="VQA7" s="57"/>
      <c r="VQB7" s="57"/>
      <c r="VQC7" s="57"/>
      <c r="VQD7" s="57"/>
      <c r="VQE7" s="57"/>
      <c r="VQF7" s="57"/>
      <c r="VQG7" s="57"/>
      <c r="VQH7" s="57"/>
      <c r="VQI7" s="57"/>
      <c r="VQJ7" s="57"/>
      <c r="VQK7" s="57"/>
      <c r="VQL7" s="57"/>
      <c r="VQM7" s="57"/>
      <c r="VQN7" s="57"/>
      <c r="VQO7" s="57"/>
      <c r="VQP7" s="57"/>
      <c r="VQQ7" s="57"/>
      <c r="VQR7" s="57"/>
      <c r="VQS7" s="57"/>
      <c r="VQT7" s="57"/>
      <c r="VQU7" s="57"/>
      <c r="VQV7" s="57"/>
      <c r="VQW7" s="57"/>
      <c r="VQX7" s="57"/>
      <c r="VQY7" s="57"/>
      <c r="VQZ7" s="57"/>
      <c r="VRA7" s="57"/>
      <c r="VRB7" s="57"/>
      <c r="VRC7" s="57"/>
      <c r="VRD7" s="57"/>
      <c r="VRE7" s="57"/>
      <c r="VRF7" s="57"/>
      <c r="VRG7" s="57"/>
      <c r="VRH7" s="57"/>
      <c r="VRI7" s="57"/>
      <c r="VRJ7" s="57"/>
      <c r="VRK7" s="57"/>
      <c r="VRL7" s="57"/>
      <c r="VRM7" s="57"/>
      <c r="VRN7" s="57"/>
      <c r="VRO7" s="57"/>
      <c r="VRP7" s="57"/>
      <c r="VRQ7" s="57"/>
      <c r="VRR7" s="57"/>
      <c r="VRS7" s="57"/>
      <c r="VRT7" s="57"/>
      <c r="VRU7" s="57"/>
      <c r="VRV7" s="57"/>
      <c r="VRW7" s="57"/>
      <c r="VRX7" s="57"/>
      <c r="VRY7" s="57"/>
      <c r="VRZ7" s="57"/>
      <c r="VSA7" s="57"/>
      <c r="VSB7" s="57"/>
      <c r="VSC7" s="57"/>
      <c r="VSD7" s="57"/>
      <c r="VSE7" s="57"/>
      <c r="VSF7" s="57"/>
      <c r="VSG7" s="57"/>
      <c r="VSH7" s="57"/>
      <c r="VSI7" s="57"/>
      <c r="VSJ7" s="57"/>
      <c r="VSK7" s="57"/>
      <c r="VSL7" s="57"/>
      <c r="VSM7" s="57"/>
      <c r="VSN7" s="57"/>
      <c r="VSO7" s="57"/>
      <c r="VSP7" s="57"/>
      <c r="VSQ7" s="57"/>
      <c r="VSR7" s="57"/>
      <c r="VSS7" s="57"/>
      <c r="VST7" s="57"/>
      <c r="VSU7" s="57"/>
      <c r="VSV7" s="57"/>
      <c r="VSW7" s="57"/>
      <c r="VSX7" s="57"/>
      <c r="VSY7" s="57"/>
      <c r="VSZ7" s="57"/>
      <c r="VTA7" s="57"/>
      <c r="VTB7" s="57"/>
      <c r="VTC7" s="57"/>
      <c r="VTD7" s="57"/>
      <c r="VTE7" s="57"/>
      <c r="VTF7" s="57"/>
      <c r="VTG7" s="57"/>
      <c r="VTH7" s="57"/>
      <c r="VTI7" s="57"/>
      <c r="VTJ7" s="57"/>
      <c r="VTK7" s="57"/>
      <c r="VTL7" s="57"/>
      <c r="VTM7" s="57"/>
      <c r="VTN7" s="57"/>
      <c r="VTO7" s="57"/>
      <c r="VTP7" s="57"/>
      <c r="VTQ7" s="57"/>
      <c r="VTR7" s="57"/>
      <c r="VTS7" s="57"/>
      <c r="VTT7" s="57"/>
      <c r="VTU7" s="57"/>
      <c r="VTV7" s="57"/>
      <c r="VTW7" s="57"/>
      <c r="VTX7" s="57"/>
      <c r="VTY7" s="57"/>
      <c r="VTZ7" s="57"/>
      <c r="VUA7" s="57"/>
      <c r="VUB7" s="57"/>
      <c r="VUC7" s="57"/>
      <c r="VUD7" s="57"/>
      <c r="VUE7" s="57"/>
      <c r="VUF7" s="57"/>
      <c r="VUG7" s="57"/>
      <c r="VUH7" s="57"/>
      <c r="VUI7" s="57"/>
      <c r="VUJ7" s="57"/>
      <c r="VUK7" s="57"/>
      <c r="VUL7" s="57"/>
      <c r="VUM7" s="57"/>
      <c r="VUN7" s="57"/>
      <c r="VUO7" s="57"/>
      <c r="VUP7" s="57"/>
      <c r="VUQ7" s="57"/>
      <c r="VUR7" s="57"/>
      <c r="VUS7" s="57"/>
      <c r="VUT7" s="57"/>
      <c r="VUU7" s="57"/>
      <c r="VUV7" s="57"/>
      <c r="VUW7" s="57"/>
      <c r="VUX7" s="57"/>
      <c r="VUY7" s="57"/>
      <c r="VUZ7" s="57"/>
      <c r="VVA7" s="57"/>
      <c r="VVB7" s="57"/>
      <c r="VVC7" s="57"/>
      <c r="VVD7" s="57"/>
      <c r="VVE7" s="57"/>
      <c r="VVF7" s="57"/>
      <c r="VVG7" s="57"/>
      <c r="VVH7" s="57"/>
      <c r="VVI7" s="57"/>
      <c r="VVJ7" s="57"/>
      <c r="VVK7" s="57"/>
      <c r="VVL7" s="57"/>
      <c r="VVM7" s="57"/>
      <c r="VVN7" s="57"/>
      <c r="VVO7" s="57"/>
      <c r="VVP7" s="57"/>
      <c r="VVQ7" s="57"/>
      <c r="VVR7" s="57"/>
      <c r="VVS7" s="57"/>
      <c r="VVT7" s="57"/>
      <c r="VVU7" s="57"/>
      <c r="VVV7" s="57"/>
      <c r="VVW7" s="57"/>
      <c r="VVX7" s="57"/>
      <c r="VVY7" s="57"/>
      <c r="VVZ7" s="57"/>
      <c r="VWA7" s="57"/>
      <c r="VWB7" s="57"/>
      <c r="VWC7" s="57"/>
      <c r="VWD7" s="57"/>
      <c r="VWE7" s="57"/>
      <c r="VWF7" s="57"/>
      <c r="VWG7" s="57"/>
      <c r="VWH7" s="57"/>
      <c r="VWI7" s="57"/>
      <c r="VWJ7" s="57"/>
      <c r="VWK7" s="57"/>
      <c r="VWL7" s="57"/>
      <c r="VWM7" s="57"/>
      <c r="VWN7" s="57"/>
      <c r="VWO7" s="57"/>
      <c r="VWP7" s="57"/>
      <c r="VWQ7" s="57"/>
      <c r="VWR7" s="57"/>
      <c r="VWS7" s="57"/>
      <c r="VWT7" s="57"/>
      <c r="VWU7" s="57"/>
      <c r="VWV7" s="57"/>
      <c r="VWW7" s="57"/>
      <c r="VWX7" s="57"/>
      <c r="VWY7" s="57"/>
      <c r="VWZ7" s="57"/>
      <c r="VXA7" s="57"/>
      <c r="VXB7" s="57"/>
      <c r="VXC7" s="57"/>
      <c r="VXD7" s="57"/>
      <c r="VXE7" s="57"/>
      <c r="VXF7" s="57"/>
      <c r="VXG7" s="57"/>
      <c r="VXH7" s="57"/>
      <c r="VXI7" s="57"/>
      <c r="VXJ7" s="57"/>
      <c r="VXK7" s="57"/>
      <c r="VXL7" s="57"/>
      <c r="VXM7" s="57"/>
      <c r="VXN7" s="57"/>
      <c r="VXO7" s="57"/>
      <c r="VXP7" s="57"/>
      <c r="VXQ7" s="57"/>
      <c r="VXR7" s="57"/>
      <c r="VXS7" s="57"/>
      <c r="VXT7" s="57"/>
      <c r="VXU7" s="57"/>
      <c r="VXV7" s="57"/>
      <c r="VXW7" s="57"/>
      <c r="VXX7" s="57"/>
      <c r="VXY7" s="57"/>
      <c r="VXZ7" s="57"/>
      <c r="VYA7" s="57"/>
      <c r="VYB7" s="57"/>
      <c r="VYC7" s="57"/>
      <c r="VYD7" s="57"/>
      <c r="VYE7" s="57"/>
      <c r="VYF7" s="57"/>
      <c r="VYG7" s="57"/>
      <c r="VYH7" s="57"/>
      <c r="VYI7" s="57"/>
      <c r="VYJ7" s="57"/>
      <c r="VYK7" s="57"/>
      <c r="VYL7" s="57"/>
      <c r="VYM7" s="57"/>
      <c r="VYN7" s="57"/>
      <c r="VYO7" s="57"/>
      <c r="VYP7" s="57"/>
      <c r="VYQ7" s="57"/>
      <c r="VYR7" s="57"/>
      <c r="VYS7" s="57"/>
      <c r="VYT7" s="57"/>
      <c r="VYU7" s="57"/>
      <c r="VYV7" s="57"/>
      <c r="VYW7" s="57"/>
      <c r="VYX7" s="57"/>
      <c r="VYY7" s="57"/>
      <c r="VYZ7" s="57"/>
      <c r="VZA7" s="57"/>
      <c r="VZB7" s="57"/>
      <c r="VZC7" s="57"/>
      <c r="VZD7" s="57"/>
      <c r="VZE7" s="57"/>
      <c r="VZF7" s="57"/>
      <c r="VZG7" s="57"/>
      <c r="VZH7" s="57"/>
      <c r="VZI7" s="57"/>
      <c r="VZJ7" s="57"/>
      <c r="VZK7" s="57"/>
      <c r="VZL7" s="57"/>
      <c r="VZM7" s="57"/>
      <c r="VZN7" s="57"/>
      <c r="VZO7" s="57"/>
      <c r="VZP7" s="57"/>
      <c r="VZQ7" s="57"/>
      <c r="VZR7" s="57"/>
      <c r="VZS7" s="57"/>
      <c r="VZT7" s="57"/>
      <c r="VZU7" s="57"/>
      <c r="VZV7" s="57"/>
      <c r="VZW7" s="57"/>
      <c r="VZX7" s="57"/>
      <c r="VZY7" s="57"/>
      <c r="VZZ7" s="57"/>
      <c r="WAA7" s="57"/>
      <c r="WAB7" s="57"/>
      <c r="WAC7" s="57"/>
      <c r="WAD7" s="57"/>
      <c r="WAE7" s="57"/>
      <c r="WAF7" s="57"/>
      <c r="WAG7" s="57"/>
      <c r="WAH7" s="57"/>
      <c r="WAI7" s="57"/>
      <c r="WAJ7" s="57"/>
      <c r="WAK7" s="57"/>
      <c r="WAL7" s="57"/>
      <c r="WAM7" s="57"/>
      <c r="WAN7" s="57"/>
      <c r="WAO7" s="57"/>
      <c r="WAP7" s="57"/>
      <c r="WAQ7" s="57"/>
      <c r="WAR7" s="57"/>
      <c r="WAS7" s="57"/>
      <c r="WAT7" s="57"/>
      <c r="WAU7" s="57"/>
      <c r="WAV7" s="57"/>
      <c r="WAW7" s="57"/>
      <c r="WAX7" s="57"/>
      <c r="WAY7" s="57"/>
      <c r="WAZ7" s="57"/>
      <c r="WBA7" s="57"/>
      <c r="WBB7" s="57"/>
      <c r="WBC7" s="57"/>
      <c r="WBD7" s="57"/>
      <c r="WBE7" s="57"/>
      <c r="WBF7" s="57"/>
      <c r="WBG7" s="57"/>
      <c r="WBH7" s="57"/>
      <c r="WBI7" s="57"/>
      <c r="WBJ7" s="57"/>
      <c r="WBK7" s="57"/>
      <c r="WBL7" s="57"/>
      <c r="WBM7" s="57"/>
      <c r="WBN7" s="57"/>
      <c r="WBO7" s="57"/>
      <c r="WBP7" s="57"/>
      <c r="WBQ7" s="57"/>
      <c r="WBR7" s="57"/>
      <c r="WBS7" s="57"/>
      <c r="WBT7" s="57"/>
      <c r="WBU7" s="57"/>
      <c r="WBV7" s="57"/>
      <c r="WBW7" s="57"/>
      <c r="WBX7" s="57"/>
      <c r="WBY7" s="57"/>
      <c r="WBZ7" s="57"/>
      <c r="WCA7" s="57"/>
      <c r="WCB7" s="57"/>
      <c r="WCC7" s="57"/>
      <c r="WCD7" s="57"/>
      <c r="WCE7" s="57"/>
      <c r="WCF7" s="57"/>
      <c r="WCG7" s="57"/>
      <c r="WCH7" s="57"/>
      <c r="WCI7" s="57"/>
      <c r="WCJ7" s="57"/>
      <c r="WCK7" s="57"/>
      <c r="WCL7" s="57"/>
      <c r="WCM7" s="57"/>
      <c r="WCN7" s="57"/>
      <c r="WCO7" s="57"/>
      <c r="WCP7" s="57"/>
      <c r="WCQ7" s="57"/>
      <c r="WCR7" s="57"/>
      <c r="WCS7" s="57"/>
      <c r="WCT7" s="57"/>
      <c r="WCU7" s="57"/>
      <c r="WCV7" s="57"/>
      <c r="WCW7" s="57"/>
      <c r="WCX7" s="57"/>
      <c r="WCY7" s="57"/>
      <c r="WCZ7" s="57"/>
      <c r="WDA7" s="57"/>
      <c r="WDB7" s="57"/>
      <c r="WDC7" s="57"/>
      <c r="WDD7" s="57"/>
      <c r="WDE7" s="57"/>
      <c r="WDF7" s="57"/>
      <c r="WDG7" s="57"/>
      <c r="WDH7" s="57"/>
      <c r="WDI7" s="57"/>
      <c r="WDJ7" s="57"/>
      <c r="WDK7" s="57"/>
      <c r="WDL7" s="57"/>
      <c r="WDM7" s="57"/>
      <c r="WDN7" s="57"/>
      <c r="WDO7" s="57"/>
      <c r="WDP7" s="57"/>
      <c r="WDQ7" s="57"/>
      <c r="WDR7" s="57"/>
      <c r="WDS7" s="57"/>
      <c r="WDT7" s="57"/>
      <c r="WDU7" s="57"/>
      <c r="WDV7" s="57"/>
      <c r="WDW7" s="57"/>
      <c r="WDX7" s="57"/>
      <c r="WDY7" s="57"/>
      <c r="WDZ7" s="57"/>
      <c r="WEA7" s="57"/>
      <c r="WEB7" s="57"/>
      <c r="WEC7" s="57"/>
      <c r="WED7" s="57"/>
      <c r="WEE7" s="57"/>
      <c r="WEF7" s="57"/>
      <c r="WEG7" s="57"/>
      <c r="WEH7" s="57"/>
      <c r="WEI7" s="57"/>
      <c r="WEJ7" s="57"/>
      <c r="WEK7" s="57"/>
      <c r="WEL7" s="57"/>
      <c r="WEM7" s="57"/>
      <c r="WEN7" s="57"/>
      <c r="WEO7" s="57"/>
      <c r="WEP7" s="57"/>
      <c r="WEQ7" s="57"/>
      <c r="WER7" s="57"/>
      <c r="WES7" s="57"/>
      <c r="WET7" s="57"/>
      <c r="WEU7" s="57"/>
      <c r="WEV7" s="57"/>
      <c r="WEW7" s="57"/>
      <c r="WEX7" s="57"/>
      <c r="WEY7" s="57"/>
      <c r="WEZ7" s="57"/>
      <c r="WFA7" s="57"/>
      <c r="WFB7" s="57"/>
      <c r="WFC7" s="57"/>
      <c r="WFD7" s="57"/>
      <c r="WFE7" s="57"/>
      <c r="WFF7" s="57"/>
      <c r="WFG7" s="57"/>
      <c r="WFH7" s="57"/>
      <c r="WFI7" s="57"/>
      <c r="WFJ7" s="57"/>
      <c r="WFK7" s="57"/>
      <c r="WFL7" s="57"/>
      <c r="WFM7" s="57"/>
      <c r="WFN7" s="57"/>
      <c r="WFO7" s="57"/>
      <c r="WFP7" s="57"/>
      <c r="WFQ7" s="57"/>
      <c r="WFR7" s="57"/>
      <c r="WFS7" s="57"/>
      <c r="WFT7" s="57"/>
      <c r="WFU7" s="57"/>
      <c r="WFV7" s="57"/>
      <c r="WFW7" s="57"/>
      <c r="WFX7" s="57"/>
      <c r="WFY7" s="57"/>
      <c r="WFZ7" s="57"/>
      <c r="WGA7" s="57"/>
      <c r="WGB7" s="57"/>
      <c r="WGC7" s="57"/>
      <c r="WGD7" s="57"/>
      <c r="WGE7" s="57"/>
      <c r="WGF7" s="57"/>
      <c r="WGG7" s="57"/>
      <c r="WGH7" s="57"/>
      <c r="WGI7" s="57"/>
      <c r="WGJ7" s="57"/>
      <c r="WGK7" s="57"/>
      <c r="WGL7" s="57"/>
      <c r="WGM7" s="57"/>
      <c r="WGN7" s="57"/>
      <c r="WGO7" s="57"/>
      <c r="WGP7" s="57"/>
      <c r="WGQ7" s="57"/>
      <c r="WGR7" s="57"/>
      <c r="WGS7" s="57"/>
      <c r="WGT7" s="57"/>
      <c r="WGU7" s="57"/>
      <c r="WGV7" s="57"/>
      <c r="WGW7" s="57"/>
      <c r="WGX7" s="57"/>
      <c r="WGY7" s="57"/>
      <c r="WGZ7" s="57"/>
      <c r="WHA7" s="57"/>
      <c r="WHB7" s="57"/>
      <c r="WHC7" s="57"/>
      <c r="WHD7" s="57"/>
      <c r="WHE7" s="57"/>
      <c r="WHF7" s="57"/>
      <c r="WHG7" s="57"/>
      <c r="WHH7" s="57"/>
      <c r="WHI7" s="57"/>
      <c r="WHJ7" s="57"/>
      <c r="WHK7" s="57"/>
      <c r="WHL7" s="57"/>
      <c r="WHM7" s="57"/>
      <c r="WHN7" s="57"/>
      <c r="WHO7" s="57"/>
      <c r="WHP7" s="57"/>
      <c r="WHQ7" s="57"/>
      <c r="WHR7" s="57"/>
      <c r="WHS7" s="57"/>
      <c r="WHT7" s="57"/>
      <c r="WHU7" s="57"/>
      <c r="WHV7" s="57"/>
      <c r="WHW7" s="57"/>
      <c r="WHX7" s="57"/>
      <c r="WHY7" s="57"/>
      <c r="WHZ7" s="57"/>
      <c r="WIA7" s="57"/>
      <c r="WIB7" s="57"/>
      <c r="WIC7" s="57"/>
      <c r="WID7" s="57"/>
      <c r="WIE7" s="57"/>
      <c r="WIF7" s="57"/>
      <c r="WIG7" s="57"/>
      <c r="WIH7" s="57"/>
      <c r="WII7" s="57"/>
      <c r="WIJ7" s="57"/>
      <c r="WIK7" s="57"/>
      <c r="WIL7" s="57"/>
      <c r="WIM7" s="57"/>
      <c r="WIN7" s="57"/>
      <c r="WIO7" s="57"/>
      <c r="WIP7" s="57"/>
      <c r="WIQ7" s="57"/>
      <c r="WIR7" s="57"/>
      <c r="WIS7" s="57"/>
      <c r="WIT7" s="57"/>
      <c r="WIU7" s="57"/>
      <c r="WIV7" s="57"/>
      <c r="WIW7" s="57"/>
      <c r="WIX7" s="57"/>
      <c r="WIY7" s="57"/>
      <c r="WIZ7" s="57"/>
      <c r="WJA7" s="57"/>
      <c r="WJB7" s="57"/>
      <c r="WJC7" s="57"/>
      <c r="WJD7" s="57"/>
      <c r="WJE7" s="57"/>
      <c r="WJF7" s="57"/>
      <c r="WJG7" s="57"/>
      <c r="WJH7" s="57"/>
      <c r="WJI7" s="57"/>
      <c r="WJJ7" s="57"/>
      <c r="WJK7" s="57"/>
      <c r="WJL7" s="57"/>
      <c r="WJM7" s="57"/>
      <c r="WJN7" s="57"/>
      <c r="WJO7" s="57"/>
      <c r="WJP7" s="57"/>
      <c r="WJQ7" s="57"/>
      <c r="WJR7" s="57"/>
      <c r="WJS7" s="57"/>
      <c r="WJT7" s="57"/>
      <c r="WJU7" s="57"/>
      <c r="WJV7" s="57"/>
      <c r="WJW7" s="57"/>
      <c r="WJX7" s="57"/>
      <c r="WJY7" s="57"/>
      <c r="WJZ7" s="57"/>
      <c r="WKA7" s="57"/>
      <c r="WKB7" s="57"/>
      <c r="WKC7" s="57"/>
      <c r="WKD7" s="57"/>
      <c r="WKE7" s="57"/>
      <c r="WKF7" s="57"/>
      <c r="WKG7" s="57"/>
      <c r="WKH7" s="57"/>
      <c r="WKI7" s="57"/>
      <c r="WKJ7" s="57"/>
      <c r="WKK7" s="57"/>
      <c r="WKL7" s="57"/>
      <c r="WKM7" s="57"/>
      <c r="WKN7" s="57"/>
      <c r="WKO7" s="57"/>
      <c r="WKP7" s="57"/>
      <c r="WKQ7" s="57"/>
      <c r="WKR7" s="57"/>
      <c r="WKS7" s="57"/>
      <c r="WKT7" s="57"/>
      <c r="WKU7" s="57"/>
      <c r="WKV7" s="57"/>
      <c r="WKW7" s="57"/>
      <c r="WKX7" s="57"/>
      <c r="WKY7" s="57"/>
      <c r="WKZ7" s="57"/>
      <c r="WLA7" s="57"/>
      <c r="WLB7" s="57"/>
      <c r="WLC7" s="57"/>
      <c r="WLD7" s="57"/>
      <c r="WLE7" s="57"/>
      <c r="WLF7" s="57"/>
      <c r="WLG7" s="57"/>
      <c r="WLH7" s="57"/>
      <c r="WLI7" s="57"/>
      <c r="WLJ7" s="57"/>
      <c r="WLK7" s="57"/>
      <c r="WLL7" s="57"/>
      <c r="WLM7" s="57"/>
      <c r="WLN7" s="57"/>
      <c r="WLO7" s="57"/>
      <c r="WLP7" s="57"/>
      <c r="WLQ7" s="57"/>
      <c r="WLR7" s="57"/>
      <c r="WLS7" s="57"/>
      <c r="WLT7" s="57"/>
      <c r="WLU7" s="57"/>
      <c r="WLV7" s="57"/>
      <c r="WLW7" s="57"/>
      <c r="WLX7" s="57"/>
      <c r="WLY7" s="57"/>
      <c r="WLZ7" s="57"/>
      <c r="WMA7" s="57"/>
      <c r="WMB7" s="57"/>
      <c r="WMC7" s="57"/>
      <c r="WMD7" s="57"/>
      <c r="WME7" s="57"/>
      <c r="WMF7" s="57"/>
      <c r="WMG7" s="57"/>
      <c r="WMH7" s="57"/>
      <c r="WMI7" s="57"/>
      <c r="WMJ7" s="57"/>
      <c r="WMK7" s="57"/>
      <c r="WML7" s="57"/>
      <c r="WMM7" s="57"/>
      <c r="WMN7" s="57"/>
      <c r="WMO7" s="57"/>
      <c r="WMP7" s="57"/>
      <c r="WMQ7" s="57"/>
      <c r="WMR7" s="57"/>
      <c r="WMS7" s="57"/>
      <c r="WMT7" s="57"/>
      <c r="WMU7" s="57"/>
      <c r="WMV7" s="57"/>
      <c r="WMW7" s="57"/>
      <c r="WMX7" s="57"/>
      <c r="WMY7" s="57"/>
      <c r="WMZ7" s="57"/>
      <c r="WNA7" s="57"/>
      <c r="WNB7" s="57"/>
      <c r="WNC7" s="57"/>
      <c r="WND7" s="57"/>
      <c r="WNE7" s="57"/>
      <c r="WNF7" s="57"/>
      <c r="WNG7" s="57"/>
      <c r="WNH7" s="57"/>
      <c r="WNI7" s="57"/>
      <c r="WNJ7" s="57"/>
      <c r="WNK7" s="57"/>
      <c r="WNL7" s="57"/>
      <c r="WNM7" s="57"/>
      <c r="WNN7" s="57"/>
      <c r="WNO7" s="57"/>
      <c r="WNP7" s="57"/>
      <c r="WNQ7" s="57"/>
      <c r="WNR7" s="57"/>
      <c r="WNS7" s="57"/>
      <c r="WNT7" s="57"/>
      <c r="WNU7" s="57"/>
      <c r="WNV7" s="57"/>
      <c r="WNW7" s="57"/>
      <c r="WNX7" s="57"/>
      <c r="WNY7" s="57"/>
      <c r="WNZ7" s="57"/>
      <c r="WOA7" s="57"/>
      <c r="WOB7" s="57"/>
      <c r="WOC7" s="57"/>
      <c r="WOD7" s="57"/>
      <c r="WOE7" s="57"/>
      <c r="WOF7" s="57"/>
      <c r="WOG7" s="57"/>
      <c r="WOH7" s="57"/>
      <c r="WOI7" s="57"/>
      <c r="WOJ7" s="57"/>
      <c r="WOK7" s="57"/>
      <c r="WOL7" s="57"/>
      <c r="WOM7" s="57"/>
      <c r="WON7" s="57"/>
      <c r="WOO7" s="57"/>
      <c r="WOP7" s="57"/>
      <c r="WOQ7" s="57"/>
      <c r="WOR7" s="57"/>
      <c r="WOS7" s="57"/>
      <c r="WOT7" s="57"/>
      <c r="WOU7" s="57"/>
      <c r="WOV7" s="57"/>
      <c r="WOW7" s="57"/>
      <c r="WOX7" s="57"/>
      <c r="WOY7" s="57"/>
      <c r="WOZ7" s="57"/>
      <c r="WPA7" s="57"/>
      <c r="WPB7" s="57"/>
      <c r="WPC7" s="57"/>
      <c r="WPD7" s="57"/>
      <c r="WPE7" s="57"/>
      <c r="WPF7" s="57"/>
      <c r="WPG7" s="57"/>
      <c r="WPH7" s="57"/>
      <c r="WPI7" s="57"/>
      <c r="WPJ7" s="57"/>
      <c r="WPK7" s="57"/>
      <c r="WPL7" s="57"/>
      <c r="WPM7" s="57"/>
      <c r="WPN7" s="57"/>
      <c r="WPO7" s="57"/>
      <c r="WPP7" s="57"/>
      <c r="WPQ7" s="57"/>
      <c r="WPR7" s="57"/>
      <c r="WPS7" s="57"/>
      <c r="WPT7" s="57"/>
      <c r="WPU7" s="57"/>
      <c r="WPV7" s="57"/>
      <c r="WPW7" s="57"/>
      <c r="WPX7" s="57"/>
      <c r="WPY7" s="57"/>
      <c r="WPZ7" s="57"/>
      <c r="WQA7" s="57"/>
      <c r="WQB7" s="57"/>
      <c r="WQC7" s="57"/>
      <c r="WQD7" s="57"/>
      <c r="WQE7" s="57"/>
      <c r="WQF7" s="57"/>
      <c r="WQG7" s="57"/>
      <c r="WQH7" s="57"/>
      <c r="WQI7" s="57"/>
      <c r="WQJ7" s="57"/>
      <c r="WQK7" s="57"/>
      <c r="WQL7" s="57"/>
      <c r="WQM7" s="57"/>
      <c r="WQN7" s="57"/>
      <c r="WQO7" s="57"/>
      <c r="WQP7" s="57"/>
      <c r="WQQ7" s="57"/>
      <c r="WQR7" s="57"/>
      <c r="WQS7" s="57"/>
      <c r="WQT7" s="57"/>
      <c r="WQU7" s="57"/>
      <c r="WQV7" s="57"/>
      <c r="WQW7" s="57"/>
      <c r="WQX7" s="57"/>
      <c r="WQY7" s="57"/>
      <c r="WQZ7" s="57"/>
      <c r="WRA7" s="57"/>
      <c r="WRB7" s="57"/>
      <c r="WRC7" s="57"/>
      <c r="WRD7" s="57"/>
      <c r="WRE7" s="57"/>
      <c r="WRF7" s="57"/>
      <c r="WRG7" s="57"/>
      <c r="WRH7" s="57"/>
      <c r="WRI7" s="57"/>
      <c r="WRJ7" s="57"/>
      <c r="WRK7" s="57"/>
      <c r="WRL7" s="57"/>
      <c r="WRM7" s="57"/>
      <c r="WRN7" s="57"/>
      <c r="WRO7" s="57"/>
      <c r="WRP7" s="57"/>
      <c r="WRQ7" s="57"/>
      <c r="WRR7" s="57"/>
      <c r="WRS7" s="57"/>
      <c r="WRT7" s="57"/>
      <c r="WRU7" s="57"/>
      <c r="WRV7" s="57"/>
      <c r="WRW7" s="57"/>
      <c r="WRX7" s="57"/>
      <c r="WRY7" s="57"/>
      <c r="WRZ7" s="57"/>
      <c r="WSA7" s="57"/>
      <c r="WSB7" s="57"/>
      <c r="WSC7" s="57"/>
      <c r="WSD7" s="57"/>
      <c r="WSE7" s="57"/>
      <c r="WSF7" s="57"/>
      <c r="WSG7" s="57"/>
      <c r="WSH7" s="57"/>
      <c r="WSI7" s="57"/>
      <c r="WSJ7" s="57"/>
      <c r="WSK7" s="57"/>
      <c r="WSL7" s="57"/>
      <c r="WSM7" s="57"/>
      <c r="WSN7" s="57"/>
      <c r="WSO7" s="57"/>
      <c r="WSP7" s="57"/>
      <c r="WSQ7" s="57"/>
      <c r="WSR7" s="57"/>
      <c r="WSS7" s="57"/>
      <c r="WST7" s="57"/>
      <c r="WSU7" s="57"/>
      <c r="WSV7" s="57"/>
      <c r="WSW7" s="57"/>
      <c r="WSX7" s="57"/>
      <c r="WSY7" s="57"/>
      <c r="WSZ7" s="57"/>
      <c r="WTA7" s="57"/>
      <c r="WTB7" s="57"/>
      <c r="WTC7" s="57"/>
      <c r="WTD7" s="57"/>
      <c r="WTE7" s="57"/>
      <c r="WTF7" s="57"/>
      <c r="WTG7" s="57"/>
      <c r="WTH7" s="57"/>
      <c r="WTI7" s="57"/>
      <c r="WTJ7" s="57"/>
      <c r="WTK7" s="57"/>
      <c r="WTL7" s="57"/>
      <c r="WTM7" s="57"/>
      <c r="WTN7" s="57"/>
      <c r="WTO7" s="57"/>
      <c r="WTP7" s="57"/>
      <c r="WTQ7" s="57"/>
      <c r="WTR7" s="57"/>
      <c r="WTS7" s="57"/>
      <c r="WTT7" s="57"/>
      <c r="WTU7" s="57"/>
      <c r="WTV7" s="57"/>
      <c r="WTW7" s="57"/>
      <c r="WTX7" s="57"/>
      <c r="WTY7" s="57"/>
      <c r="WTZ7" s="57"/>
      <c r="WUA7" s="57"/>
      <c r="WUB7" s="57"/>
      <c r="WUC7" s="57"/>
      <c r="WUD7" s="57"/>
      <c r="WUE7" s="57"/>
      <c r="WUF7" s="57"/>
      <c r="WUG7" s="57"/>
      <c r="WUH7" s="57"/>
      <c r="WUI7" s="57"/>
      <c r="WUJ7" s="57"/>
      <c r="WUK7" s="57"/>
      <c r="WUL7" s="57"/>
      <c r="WUM7" s="57"/>
      <c r="WUN7" s="57"/>
      <c r="WUO7" s="57"/>
      <c r="WUP7" s="57"/>
      <c r="WUQ7" s="57"/>
      <c r="WUR7" s="57"/>
      <c r="WUS7" s="57"/>
      <c r="WUT7" s="57"/>
      <c r="WUU7" s="57"/>
      <c r="WUV7" s="57"/>
      <c r="WUW7" s="57"/>
      <c r="WUX7" s="57"/>
      <c r="WUY7" s="57"/>
      <c r="WUZ7" s="57"/>
      <c r="WVA7" s="57"/>
      <c r="WVB7" s="57"/>
      <c r="WVC7" s="57"/>
      <c r="WVD7" s="57"/>
      <c r="WVE7" s="57"/>
      <c r="WVF7" s="57"/>
      <c r="WVG7" s="57"/>
      <c r="WVH7" s="57"/>
      <c r="WVI7" s="57"/>
      <c r="WVJ7" s="57"/>
      <c r="WVK7" s="57"/>
      <c r="WVL7" s="57"/>
      <c r="WVM7" s="57"/>
      <c r="WVN7" s="57"/>
      <c r="WVO7" s="57"/>
      <c r="WVP7" s="57"/>
      <c r="WVQ7" s="57"/>
      <c r="WVR7" s="57"/>
      <c r="WVS7" s="57"/>
      <c r="WVT7" s="57"/>
      <c r="WVU7" s="57"/>
      <c r="WVV7" s="57"/>
      <c r="WVW7" s="57"/>
      <c r="WVX7" s="57"/>
      <c r="WVY7" s="57"/>
      <c r="WVZ7" s="57"/>
      <c r="WWA7" s="57"/>
      <c r="WWB7" s="57"/>
      <c r="WWC7" s="57"/>
      <c r="WWD7" s="57"/>
      <c r="WWE7" s="57"/>
      <c r="WWF7" s="57"/>
      <c r="WWG7" s="57"/>
      <c r="WWH7" s="57"/>
      <c r="WWI7" s="57"/>
      <c r="WWJ7" s="57"/>
      <c r="WWK7" s="57"/>
      <c r="WWL7" s="57"/>
      <c r="WWM7" s="57"/>
      <c r="WWN7" s="57"/>
      <c r="WWO7" s="57"/>
      <c r="WWP7" s="57"/>
      <c r="WWQ7" s="57"/>
      <c r="WWR7" s="57"/>
      <c r="WWS7" s="57"/>
      <c r="WWT7" s="57"/>
      <c r="WWU7" s="57"/>
      <c r="WWV7" s="57"/>
      <c r="WWW7" s="57"/>
      <c r="WWX7" s="57"/>
      <c r="WWY7" s="57"/>
      <c r="WWZ7" s="57"/>
      <c r="WXA7" s="57"/>
      <c r="WXB7" s="57"/>
      <c r="WXC7" s="57"/>
      <c r="WXD7" s="57"/>
      <c r="WXE7" s="57"/>
      <c r="WXF7" s="57"/>
      <c r="WXG7" s="57"/>
      <c r="WXH7" s="57"/>
      <c r="WXI7" s="57"/>
      <c r="WXJ7" s="57"/>
      <c r="WXK7" s="57"/>
      <c r="WXL7" s="57"/>
      <c r="WXM7" s="57"/>
      <c r="WXN7" s="57"/>
      <c r="WXO7" s="57"/>
      <c r="WXP7" s="57"/>
      <c r="WXQ7" s="57"/>
      <c r="WXR7" s="57"/>
      <c r="WXS7" s="57"/>
      <c r="WXT7" s="57"/>
      <c r="WXU7" s="57"/>
      <c r="WXV7" s="57"/>
      <c r="WXW7" s="57"/>
      <c r="WXX7" s="57"/>
      <c r="WXY7" s="57"/>
      <c r="WXZ7" s="57"/>
      <c r="WYA7" s="57"/>
      <c r="WYB7" s="57"/>
      <c r="WYC7" s="57"/>
      <c r="WYD7" s="57"/>
      <c r="WYE7" s="57"/>
      <c r="WYF7" s="57"/>
      <c r="WYG7" s="57"/>
      <c r="WYH7" s="57"/>
      <c r="WYI7" s="57"/>
      <c r="WYJ7" s="57"/>
      <c r="WYK7" s="57"/>
      <c r="WYL7" s="57"/>
      <c r="WYM7" s="57"/>
      <c r="WYN7" s="57"/>
      <c r="WYO7" s="57"/>
      <c r="WYP7" s="57"/>
      <c r="WYQ7" s="57"/>
      <c r="WYR7" s="57"/>
      <c r="WYS7" s="57"/>
      <c r="WYT7" s="57"/>
      <c r="WYU7" s="57"/>
      <c r="WYV7" s="57"/>
      <c r="WYW7" s="57"/>
      <c r="WYX7" s="57"/>
      <c r="WYY7" s="57"/>
      <c r="WYZ7" s="57"/>
      <c r="WZA7" s="57"/>
      <c r="WZB7" s="57"/>
      <c r="WZC7" s="57"/>
      <c r="WZD7" s="57"/>
      <c r="WZE7" s="57"/>
      <c r="WZF7" s="57"/>
      <c r="WZG7" s="57"/>
      <c r="WZH7" s="57"/>
      <c r="WZI7" s="57"/>
      <c r="WZJ7" s="57"/>
      <c r="WZK7" s="57"/>
      <c r="WZL7" s="57"/>
      <c r="WZM7" s="57"/>
      <c r="WZN7" s="57"/>
      <c r="WZO7" s="57"/>
      <c r="WZP7" s="57"/>
      <c r="WZQ7" s="57"/>
      <c r="WZR7" s="57"/>
      <c r="WZS7" s="57"/>
      <c r="WZT7" s="57"/>
      <c r="WZU7" s="57"/>
      <c r="WZV7" s="57"/>
      <c r="WZW7" s="57"/>
      <c r="WZX7" s="57"/>
      <c r="WZY7" s="57"/>
      <c r="WZZ7" s="57"/>
      <c r="XAA7" s="57"/>
      <c r="XAB7" s="57"/>
      <c r="XAC7" s="57"/>
      <c r="XAD7" s="57"/>
      <c r="XAE7" s="57"/>
      <c r="XAF7" s="57"/>
      <c r="XAG7" s="57"/>
      <c r="XAH7" s="57"/>
      <c r="XAI7" s="57"/>
      <c r="XAJ7" s="57"/>
      <c r="XAK7" s="57"/>
      <c r="XAL7" s="57"/>
      <c r="XAM7" s="57"/>
      <c r="XAN7" s="57"/>
      <c r="XAO7" s="57"/>
      <c r="XAP7" s="57"/>
      <c r="XAQ7" s="57"/>
      <c r="XAR7" s="57"/>
      <c r="XAS7" s="57"/>
      <c r="XAT7" s="57"/>
      <c r="XAU7" s="57"/>
      <c r="XAV7" s="57"/>
      <c r="XAW7" s="57"/>
      <c r="XAX7" s="57"/>
      <c r="XAY7" s="57"/>
      <c r="XAZ7" s="57"/>
      <c r="XBA7" s="57"/>
      <c r="XBB7" s="57"/>
      <c r="XBC7" s="57"/>
      <c r="XBD7" s="57"/>
      <c r="XBE7" s="57"/>
      <c r="XBF7" s="57"/>
      <c r="XBG7" s="57"/>
      <c r="XBH7" s="57"/>
      <c r="XBI7" s="57"/>
      <c r="XBJ7" s="57"/>
      <c r="XBK7" s="57"/>
      <c r="XBL7" s="57"/>
      <c r="XBM7" s="57"/>
      <c r="XBN7" s="57"/>
      <c r="XBO7" s="57"/>
      <c r="XBP7" s="57"/>
      <c r="XBQ7" s="57"/>
      <c r="XBR7" s="57"/>
      <c r="XBS7" s="57"/>
      <c r="XBT7" s="57"/>
      <c r="XBU7" s="57"/>
      <c r="XBV7" s="57"/>
      <c r="XBW7" s="57"/>
      <c r="XBX7" s="57"/>
      <c r="XBY7" s="57"/>
      <c r="XBZ7" s="57"/>
      <c r="XCA7" s="57"/>
      <c r="XCB7" s="57"/>
      <c r="XCC7" s="57"/>
      <c r="XCD7" s="57"/>
      <c r="XCE7" s="57"/>
      <c r="XCF7" s="57"/>
      <c r="XCG7" s="57"/>
      <c r="XCH7" s="57"/>
      <c r="XCI7" s="57"/>
      <c r="XCJ7" s="57"/>
      <c r="XCK7" s="57"/>
      <c r="XCL7" s="57"/>
      <c r="XCM7" s="57"/>
      <c r="XCN7" s="57"/>
      <c r="XCO7" s="57"/>
      <c r="XCP7" s="57"/>
      <c r="XCQ7" s="57"/>
      <c r="XCR7" s="57"/>
      <c r="XCS7" s="57"/>
      <c r="XCT7" s="57"/>
      <c r="XCU7" s="57"/>
      <c r="XCV7" s="57"/>
      <c r="XCW7" s="57"/>
      <c r="XCX7" s="57"/>
      <c r="XCY7" s="57"/>
      <c r="XCZ7" s="57"/>
      <c r="XDA7" s="57"/>
      <c r="XDB7" s="57"/>
      <c r="XDC7" s="57"/>
      <c r="XDD7" s="57"/>
      <c r="XDE7" s="57"/>
      <c r="XDF7" s="57"/>
      <c r="XDG7" s="57"/>
      <c r="XDH7" s="57"/>
      <c r="XDI7" s="57"/>
      <c r="XDJ7" s="57"/>
      <c r="XDK7" s="57"/>
      <c r="XDL7" s="57"/>
      <c r="XDM7" s="57"/>
      <c r="XDN7" s="57"/>
      <c r="XDO7" s="57"/>
      <c r="XDP7" s="57"/>
      <c r="XDQ7" s="57"/>
      <c r="XDR7" s="57"/>
      <c r="XDS7" s="57"/>
      <c r="XDT7" s="57"/>
      <c r="XDU7" s="57"/>
      <c r="XDV7" s="57"/>
      <c r="XDW7" s="57"/>
      <c r="XDX7" s="57"/>
      <c r="XDY7" s="57"/>
      <c r="XDZ7" s="57"/>
      <c r="XEA7" s="57"/>
      <c r="XEB7" s="57"/>
      <c r="XEC7" s="57"/>
      <c r="XED7" s="57"/>
      <c r="XEE7" s="57"/>
      <c r="XEF7" s="57"/>
      <c r="XEG7" s="57"/>
      <c r="XEH7" s="57"/>
      <c r="XEI7" s="57"/>
      <c r="XEJ7" s="57"/>
      <c r="XEK7" s="57"/>
      <c r="XEL7" s="57"/>
      <c r="XEM7" s="57"/>
      <c r="XEN7" s="57"/>
      <c r="XEO7" s="57"/>
      <c r="XEP7" s="57"/>
      <c r="XEQ7" s="57"/>
      <c r="XER7" s="57"/>
      <c r="XES7" s="57"/>
      <c r="XET7" s="57"/>
      <c r="XEU7" s="57"/>
      <c r="XEV7" s="57"/>
      <c r="XEW7" s="57"/>
      <c r="XEX7" s="57"/>
      <c r="XEY7" s="57"/>
      <c r="XEZ7" s="57"/>
      <c r="XFA7" s="57"/>
      <c r="XFB7" s="57"/>
      <c r="XFC7" s="57"/>
      <c r="XFD7" s="57"/>
    </row>
    <row r="8" spans="1:16384" s="30" customFormat="1" ht="32.25" customHeight="1">
      <c r="A8" s="40">
        <v>2018</v>
      </c>
      <c r="B8" s="41" t="s">
        <v>2978</v>
      </c>
      <c r="C8" s="41" t="s">
        <v>2979</v>
      </c>
      <c r="D8" s="41" t="s">
        <v>2962</v>
      </c>
      <c r="E8" s="41" t="s">
        <v>2944</v>
      </c>
      <c r="F8" s="41" t="s">
        <v>2969</v>
      </c>
      <c r="G8" s="41" t="s">
        <v>2970</v>
      </c>
      <c r="H8" s="41" t="s">
        <v>2953</v>
      </c>
      <c r="I8" s="48" t="s">
        <v>2971</v>
      </c>
      <c r="J8" s="48" t="s">
        <v>2972</v>
      </c>
      <c r="K8" s="49">
        <v>210.15</v>
      </c>
      <c r="L8" s="49"/>
      <c r="M8" s="49"/>
      <c r="N8" s="49"/>
      <c r="O8" s="49"/>
      <c r="P8" s="50" t="s">
        <v>2973</v>
      </c>
      <c r="Q8" s="50"/>
      <c r="R8" s="39" t="s">
        <v>1525</v>
      </c>
      <c r="S8" s="41" t="s">
        <v>1525</v>
      </c>
      <c r="T8" s="41">
        <v>197179.87</v>
      </c>
      <c r="U8" s="41">
        <v>823790.97</v>
      </c>
      <c r="V8" s="49"/>
      <c r="W8" s="56">
        <f>X8+Y8</f>
        <v>4858.29</v>
      </c>
      <c r="X8" s="56">
        <f>ROUND(T8/K8,2)</f>
        <v>938.28</v>
      </c>
      <c r="Y8" s="56">
        <f>ROUND(U8/K8,2)</f>
        <v>3920.01</v>
      </c>
      <c r="Z8" s="39"/>
      <c r="AA8" s="41"/>
      <c r="AB8" s="57"/>
      <c r="AC8" s="57"/>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c r="MD8" s="58"/>
      <c r="ME8" s="58"/>
      <c r="MF8" s="58"/>
      <c r="MG8" s="58"/>
      <c r="MH8" s="58"/>
      <c r="MI8" s="58"/>
      <c r="MJ8" s="58"/>
      <c r="MK8" s="58"/>
      <c r="ML8" s="58"/>
      <c r="MM8" s="58"/>
      <c r="MN8" s="58"/>
      <c r="MO8" s="58"/>
      <c r="MP8" s="58"/>
      <c r="MQ8" s="58"/>
      <c r="MR8" s="58"/>
      <c r="MS8" s="58"/>
      <c r="MT8" s="58"/>
      <c r="MU8" s="58"/>
      <c r="MV8" s="58"/>
      <c r="MW8" s="58"/>
      <c r="MX8" s="58"/>
      <c r="MY8" s="58"/>
      <c r="MZ8" s="58"/>
      <c r="NA8" s="58"/>
      <c r="NB8" s="58"/>
      <c r="NC8" s="58"/>
      <c r="ND8" s="58"/>
      <c r="NE8" s="58"/>
      <c r="NF8" s="58"/>
      <c r="NG8" s="58"/>
      <c r="NH8" s="58"/>
      <c r="NI8" s="58"/>
      <c r="NJ8" s="58"/>
      <c r="NK8" s="58"/>
      <c r="NL8" s="58"/>
      <c r="NM8" s="58"/>
      <c r="NN8" s="58"/>
      <c r="NO8" s="58"/>
      <c r="NP8" s="58"/>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c r="RZ8" s="58"/>
      <c r="SA8" s="58"/>
      <c r="SB8" s="58"/>
      <c r="SC8" s="58"/>
      <c r="SD8" s="58"/>
      <c r="SE8" s="58"/>
      <c r="SF8" s="58"/>
      <c r="SG8" s="58"/>
      <c r="SH8" s="58"/>
      <c r="SI8" s="58"/>
      <c r="SJ8" s="58"/>
      <c r="SK8" s="58"/>
      <c r="SL8" s="58"/>
      <c r="SM8" s="58"/>
      <c r="SN8" s="58"/>
      <c r="SO8" s="58"/>
      <c r="SP8" s="58"/>
      <c r="SQ8" s="58"/>
      <c r="SR8" s="58"/>
      <c r="SS8" s="58"/>
      <c r="ST8" s="58"/>
      <c r="SU8" s="58"/>
      <c r="SV8" s="58"/>
      <c r="SW8" s="58"/>
      <c r="SX8" s="58"/>
      <c r="SY8" s="58"/>
      <c r="SZ8" s="58"/>
      <c r="TA8" s="58"/>
      <c r="TB8" s="58"/>
      <c r="TC8" s="58"/>
      <c r="TD8" s="58"/>
      <c r="TE8" s="58"/>
      <c r="TF8" s="58"/>
      <c r="TG8" s="58"/>
      <c r="TH8" s="58"/>
      <c r="TI8" s="58"/>
      <c r="TJ8" s="58"/>
      <c r="TK8" s="58"/>
      <c r="TL8" s="58"/>
      <c r="TM8" s="58"/>
      <c r="TN8" s="58"/>
      <c r="TO8" s="58"/>
      <c r="TP8" s="58"/>
      <c r="TQ8" s="58"/>
      <c r="TR8" s="58"/>
      <c r="TS8" s="58"/>
      <c r="TT8" s="58"/>
      <c r="TU8" s="58"/>
      <c r="TV8" s="58"/>
      <c r="TW8" s="58"/>
      <c r="TX8" s="58"/>
      <c r="TY8" s="58"/>
      <c r="TZ8" s="58"/>
      <c r="UA8" s="58"/>
      <c r="UB8" s="58"/>
      <c r="UC8" s="58"/>
      <c r="UD8" s="58"/>
      <c r="UE8" s="58"/>
      <c r="UF8" s="58"/>
      <c r="UG8" s="58"/>
      <c r="UH8" s="58"/>
      <c r="UI8" s="58"/>
      <c r="UJ8" s="58"/>
      <c r="UK8" s="58"/>
      <c r="UL8" s="58"/>
      <c r="UM8" s="58"/>
      <c r="UN8" s="58"/>
      <c r="UO8" s="58"/>
      <c r="UP8" s="58"/>
      <c r="UQ8" s="58"/>
      <c r="UR8" s="58"/>
      <c r="US8" s="58"/>
      <c r="UT8" s="58"/>
      <c r="UU8" s="58"/>
      <c r="UV8" s="58"/>
      <c r="UW8" s="58"/>
      <c r="UX8" s="58"/>
      <c r="UY8" s="58"/>
      <c r="UZ8" s="58"/>
      <c r="VA8" s="58"/>
      <c r="VB8" s="58"/>
      <c r="VC8" s="58"/>
      <c r="VD8" s="58"/>
      <c r="VE8" s="58"/>
      <c r="VF8" s="58"/>
      <c r="VG8" s="58"/>
      <c r="VH8" s="58"/>
      <c r="VI8" s="58"/>
      <c r="VJ8" s="58"/>
      <c r="VK8" s="58"/>
      <c r="VL8" s="58"/>
      <c r="VM8" s="58"/>
      <c r="VN8" s="58"/>
      <c r="VO8" s="58"/>
      <c r="VP8" s="58"/>
      <c r="VQ8" s="58"/>
      <c r="VR8" s="58"/>
      <c r="VS8" s="58"/>
      <c r="VT8" s="58"/>
      <c r="VU8" s="58"/>
      <c r="VV8" s="58"/>
      <c r="VW8" s="58"/>
      <c r="VX8" s="58"/>
      <c r="VY8" s="58"/>
      <c r="VZ8" s="58"/>
      <c r="WA8" s="58"/>
      <c r="WB8" s="58"/>
      <c r="WC8" s="58"/>
      <c r="WD8" s="58"/>
      <c r="WE8" s="58"/>
      <c r="WF8" s="58"/>
      <c r="WG8" s="58"/>
      <c r="WH8" s="58"/>
      <c r="WI8" s="58"/>
      <c r="WJ8" s="58"/>
      <c r="WK8" s="58"/>
      <c r="WL8" s="58"/>
      <c r="WM8" s="58"/>
      <c r="WN8" s="58"/>
      <c r="WO8" s="58"/>
      <c r="WP8" s="58"/>
      <c r="WQ8" s="58"/>
      <c r="WR8" s="58"/>
      <c r="WS8" s="58"/>
      <c r="WT8" s="58"/>
      <c r="WU8" s="58"/>
      <c r="WV8" s="58"/>
      <c r="WW8" s="58"/>
      <c r="WX8" s="58"/>
      <c r="WY8" s="58"/>
      <c r="WZ8" s="58"/>
      <c r="XA8" s="58"/>
      <c r="XB8" s="58"/>
      <c r="XC8" s="58"/>
      <c r="XD8" s="58"/>
      <c r="XE8" s="58"/>
      <c r="XF8" s="58"/>
      <c r="XG8" s="58"/>
      <c r="XH8" s="58"/>
      <c r="XI8" s="58"/>
      <c r="XJ8" s="58"/>
      <c r="XK8" s="58"/>
      <c r="XL8" s="58"/>
      <c r="XM8" s="58"/>
      <c r="XN8" s="58"/>
      <c r="XO8" s="58"/>
      <c r="XP8" s="58"/>
      <c r="XQ8" s="58"/>
      <c r="XR8" s="58"/>
      <c r="XS8" s="58"/>
      <c r="XT8" s="58"/>
      <c r="XU8" s="58"/>
      <c r="XV8" s="58"/>
      <c r="XW8" s="58"/>
      <c r="XX8" s="58"/>
      <c r="XY8" s="58"/>
      <c r="XZ8" s="58"/>
      <c r="YA8" s="58"/>
      <c r="YB8" s="58"/>
      <c r="YC8" s="58"/>
      <c r="YD8" s="58"/>
      <c r="YE8" s="58"/>
      <c r="YF8" s="58"/>
      <c r="YG8" s="58"/>
      <c r="YH8" s="58"/>
      <c r="YI8" s="58"/>
      <c r="YJ8" s="58"/>
      <c r="YK8" s="58"/>
      <c r="YL8" s="58"/>
      <c r="YM8" s="58"/>
      <c r="YN8" s="58"/>
      <c r="YO8" s="58"/>
      <c r="YP8" s="58"/>
      <c r="YQ8" s="58"/>
      <c r="YR8" s="58"/>
      <c r="YS8" s="58"/>
      <c r="YT8" s="58"/>
      <c r="YU8" s="58"/>
      <c r="YV8" s="58"/>
      <c r="YW8" s="58"/>
      <c r="YX8" s="58"/>
      <c r="YY8" s="58"/>
      <c r="YZ8" s="58"/>
      <c r="ZA8" s="58"/>
      <c r="ZB8" s="58"/>
      <c r="ZC8" s="58"/>
      <c r="ZD8" s="58"/>
      <c r="ZE8" s="58"/>
      <c r="ZF8" s="58"/>
      <c r="ZG8" s="58"/>
      <c r="ZH8" s="58"/>
      <c r="ZI8" s="58"/>
      <c r="ZJ8" s="58"/>
      <c r="ZK8" s="58"/>
      <c r="ZL8" s="58"/>
      <c r="ZM8" s="58"/>
      <c r="ZN8" s="58"/>
      <c r="ZO8" s="58"/>
      <c r="ZP8" s="58"/>
      <c r="ZQ8" s="58"/>
      <c r="ZR8" s="58"/>
      <c r="ZS8" s="58"/>
      <c r="ZT8" s="58"/>
      <c r="ZU8" s="58"/>
      <c r="ZV8" s="58"/>
      <c r="ZW8" s="58"/>
      <c r="ZX8" s="58"/>
      <c r="ZY8" s="58"/>
      <c r="ZZ8" s="58"/>
      <c r="AAA8" s="58"/>
      <c r="AAB8" s="58"/>
      <c r="AAC8" s="58"/>
      <c r="AAD8" s="58"/>
      <c r="AAE8" s="58"/>
      <c r="AAF8" s="58"/>
      <c r="AAG8" s="58"/>
      <c r="AAH8" s="58"/>
      <c r="AAI8" s="58"/>
      <c r="AAJ8" s="58"/>
      <c r="AAK8" s="58"/>
      <c r="AAL8" s="58"/>
      <c r="AAM8" s="58"/>
      <c r="AAN8" s="58"/>
      <c r="AAO8" s="58"/>
      <c r="AAP8" s="58"/>
      <c r="AAQ8" s="58"/>
      <c r="AAR8" s="58"/>
      <c r="AAS8" s="58"/>
      <c r="AAT8" s="58"/>
      <c r="AAU8" s="58"/>
      <c r="AAV8" s="58"/>
      <c r="AAW8" s="58"/>
      <c r="AAX8" s="58"/>
      <c r="AAY8" s="58"/>
      <c r="AAZ8" s="58"/>
      <c r="ABA8" s="58"/>
      <c r="ABB8" s="58"/>
      <c r="ABC8" s="58"/>
      <c r="ABD8" s="58"/>
      <c r="ABE8" s="58"/>
      <c r="ABF8" s="58"/>
      <c r="ABG8" s="58"/>
      <c r="ABH8" s="58"/>
      <c r="ABI8" s="58"/>
      <c r="ABJ8" s="58"/>
      <c r="ABK8" s="58"/>
      <c r="ABL8" s="58"/>
      <c r="ABM8" s="58"/>
      <c r="ABN8" s="58"/>
      <c r="ABO8" s="58"/>
      <c r="ABP8" s="58"/>
      <c r="ABQ8" s="58"/>
      <c r="ABR8" s="58"/>
      <c r="ABS8" s="58"/>
      <c r="ABT8" s="58"/>
      <c r="ABU8" s="58"/>
      <c r="ABV8" s="58"/>
      <c r="ABW8" s="58"/>
      <c r="ABX8" s="58"/>
      <c r="ABY8" s="58"/>
      <c r="ABZ8" s="58"/>
      <c r="ACA8" s="58"/>
      <c r="ACB8" s="58"/>
      <c r="ACC8" s="58"/>
      <c r="ACD8" s="58"/>
      <c r="ACE8" s="58"/>
      <c r="ACF8" s="58"/>
      <c r="ACG8" s="58"/>
      <c r="ACH8" s="58"/>
      <c r="ACI8" s="58"/>
      <c r="ACJ8" s="58"/>
      <c r="ACK8" s="58"/>
      <c r="ACL8" s="58"/>
      <c r="ACM8" s="58"/>
      <c r="ACN8" s="58"/>
      <c r="ACO8" s="58"/>
      <c r="ACP8" s="58"/>
      <c r="ACQ8" s="58"/>
      <c r="ACR8" s="58"/>
      <c r="ACS8" s="58"/>
      <c r="ACT8" s="58"/>
      <c r="ACU8" s="58"/>
      <c r="ACV8" s="58"/>
      <c r="ACW8" s="58"/>
      <c r="ACX8" s="58"/>
      <c r="ACY8" s="58"/>
      <c r="ACZ8" s="58"/>
      <c r="ADA8" s="58"/>
      <c r="ADB8" s="58"/>
      <c r="ADC8" s="58"/>
      <c r="ADD8" s="58"/>
      <c r="ADE8" s="58"/>
      <c r="ADF8" s="58"/>
      <c r="ADG8" s="58"/>
      <c r="ADH8" s="58"/>
      <c r="ADI8" s="58"/>
      <c r="ADJ8" s="58"/>
      <c r="ADK8" s="58"/>
      <c r="ADL8" s="58"/>
      <c r="ADM8" s="58"/>
      <c r="ADN8" s="58"/>
      <c r="ADO8" s="58"/>
      <c r="ADP8" s="58"/>
      <c r="ADQ8" s="58"/>
      <c r="ADR8" s="58"/>
      <c r="ADS8" s="58"/>
      <c r="ADT8" s="58"/>
      <c r="ADU8" s="58"/>
      <c r="ADV8" s="58"/>
      <c r="ADW8" s="58"/>
      <c r="ADX8" s="58"/>
      <c r="ADY8" s="58"/>
      <c r="ADZ8" s="58"/>
      <c r="AEA8" s="58"/>
      <c r="AEB8" s="58"/>
      <c r="AEC8" s="58"/>
      <c r="AED8" s="58"/>
      <c r="AEE8" s="58"/>
      <c r="AEF8" s="58"/>
      <c r="AEG8" s="58"/>
      <c r="AEH8" s="58"/>
      <c r="AEI8" s="58"/>
      <c r="AEJ8" s="58"/>
      <c r="AEK8" s="58"/>
      <c r="AEL8" s="58"/>
      <c r="AEM8" s="58"/>
      <c r="AEN8" s="58"/>
      <c r="AEO8" s="58"/>
      <c r="AEP8" s="58"/>
      <c r="AEQ8" s="58"/>
      <c r="AER8" s="58"/>
      <c r="AES8" s="58"/>
      <c r="AET8" s="58"/>
      <c r="AEU8" s="58"/>
      <c r="AEV8" s="58"/>
      <c r="AEW8" s="58"/>
      <c r="AEX8" s="58"/>
      <c r="AEY8" s="58"/>
      <c r="AEZ8" s="58"/>
      <c r="AFA8" s="58"/>
      <c r="AFB8" s="58"/>
      <c r="AFC8" s="58"/>
      <c r="AFD8" s="58"/>
      <c r="AFE8" s="58"/>
      <c r="AFF8" s="58"/>
      <c r="AFG8" s="58"/>
      <c r="AFH8" s="58"/>
      <c r="AFI8" s="58"/>
      <c r="AFJ8" s="58"/>
      <c r="AFK8" s="58"/>
      <c r="AFL8" s="58"/>
      <c r="AFM8" s="58"/>
      <c r="AFN8" s="58"/>
      <c r="AFO8" s="58"/>
      <c r="AFP8" s="58"/>
      <c r="AFQ8" s="58"/>
      <c r="AFR8" s="58"/>
      <c r="AFS8" s="58"/>
      <c r="AFT8" s="58"/>
      <c r="AFU8" s="58"/>
      <c r="AFV8" s="58"/>
      <c r="AFW8" s="58"/>
      <c r="AFX8" s="58"/>
      <c r="AFY8" s="58"/>
      <c r="AFZ8" s="58"/>
      <c r="AGA8" s="58"/>
      <c r="AGB8" s="58"/>
      <c r="AGC8" s="58"/>
      <c r="AGD8" s="58"/>
      <c r="AGE8" s="58"/>
      <c r="AGF8" s="58"/>
      <c r="AGG8" s="58"/>
      <c r="AGH8" s="58"/>
      <c r="AGI8" s="58"/>
      <c r="AGJ8" s="58"/>
      <c r="AGK8" s="58"/>
      <c r="AGL8" s="58"/>
      <c r="AGM8" s="58"/>
      <c r="AGN8" s="58"/>
      <c r="AGO8" s="58"/>
      <c r="AGP8" s="58"/>
      <c r="AGQ8" s="58"/>
      <c r="AGR8" s="58"/>
      <c r="AGS8" s="58"/>
      <c r="AGT8" s="58"/>
      <c r="AGU8" s="58"/>
      <c r="AGV8" s="58"/>
      <c r="AGW8" s="58"/>
      <c r="AGX8" s="58"/>
      <c r="AGY8" s="58"/>
      <c r="AGZ8" s="58"/>
      <c r="AHA8" s="58"/>
      <c r="AHB8" s="58"/>
      <c r="AHC8" s="58"/>
      <c r="AHD8" s="58"/>
      <c r="AHE8" s="58"/>
      <c r="AHF8" s="58"/>
      <c r="AHG8" s="58"/>
      <c r="AHH8" s="58"/>
      <c r="AHI8" s="58"/>
      <c r="AHJ8" s="58"/>
      <c r="AHK8" s="58"/>
      <c r="AHL8" s="58"/>
      <c r="AHM8" s="58"/>
      <c r="AHN8" s="58"/>
      <c r="AHO8" s="58"/>
      <c r="AHP8" s="58"/>
      <c r="AHQ8" s="58"/>
      <c r="AHR8" s="58"/>
      <c r="AHS8" s="58"/>
      <c r="AHT8" s="58"/>
      <c r="AHU8" s="58"/>
      <c r="AHV8" s="58"/>
      <c r="AHW8" s="58"/>
      <c r="AHX8" s="58"/>
      <c r="AHY8" s="58"/>
      <c r="AHZ8" s="58"/>
      <c r="AIA8" s="58"/>
      <c r="AIB8" s="58"/>
      <c r="AIC8" s="58"/>
      <c r="AID8" s="58"/>
      <c r="AIE8" s="58"/>
      <c r="AIF8" s="58"/>
      <c r="AIG8" s="58"/>
      <c r="AIH8" s="58"/>
      <c r="AII8" s="58"/>
      <c r="AIJ8" s="58"/>
      <c r="AIK8" s="58"/>
      <c r="AIL8" s="58"/>
      <c r="AIM8" s="58"/>
      <c r="AIN8" s="58"/>
      <c r="AIO8" s="58"/>
      <c r="AIP8" s="58"/>
      <c r="AIQ8" s="58"/>
      <c r="AIR8" s="58"/>
      <c r="AIS8" s="58"/>
      <c r="AIT8" s="58"/>
      <c r="AIU8" s="58"/>
      <c r="AIV8" s="58"/>
      <c r="AIW8" s="58"/>
      <c r="AIX8" s="58"/>
      <c r="AIY8" s="58"/>
      <c r="AIZ8" s="58"/>
      <c r="AJA8" s="58"/>
      <c r="AJB8" s="58"/>
      <c r="AJC8" s="58"/>
      <c r="AJD8" s="58"/>
      <c r="AJE8" s="58"/>
      <c r="AJF8" s="58"/>
      <c r="AJG8" s="58"/>
      <c r="AJH8" s="58"/>
      <c r="AJI8" s="58"/>
      <c r="AJJ8" s="58"/>
      <c r="AJK8" s="58"/>
      <c r="AJL8" s="58"/>
      <c r="AJM8" s="58"/>
      <c r="AJN8" s="58"/>
      <c r="AJO8" s="58"/>
      <c r="AJP8" s="58"/>
      <c r="AJQ8" s="58"/>
      <c r="AJR8" s="58"/>
      <c r="AJS8" s="58"/>
      <c r="AJT8" s="58"/>
      <c r="AJU8" s="58"/>
      <c r="AJV8" s="58"/>
      <c r="AJW8" s="58"/>
      <c r="AJX8" s="58"/>
      <c r="AJY8" s="58"/>
      <c r="AJZ8" s="58"/>
      <c r="AKA8" s="58"/>
      <c r="AKB8" s="58"/>
      <c r="AKC8" s="58"/>
      <c r="AKD8" s="58"/>
      <c r="AKE8" s="58"/>
      <c r="AKF8" s="58"/>
      <c r="AKG8" s="58"/>
      <c r="AKH8" s="58"/>
      <c r="AKI8" s="58"/>
      <c r="AKJ8" s="58"/>
      <c r="AKK8" s="58"/>
      <c r="AKL8" s="58"/>
      <c r="AKM8" s="58"/>
      <c r="AKN8" s="58"/>
      <c r="AKO8" s="58"/>
      <c r="AKP8" s="58"/>
      <c r="AKQ8" s="58"/>
      <c r="AKR8" s="58"/>
      <c r="AKS8" s="58"/>
      <c r="AKT8" s="58"/>
      <c r="AKU8" s="58"/>
      <c r="AKV8" s="58"/>
      <c r="AKW8" s="58"/>
      <c r="AKX8" s="58"/>
      <c r="AKY8" s="58"/>
      <c r="AKZ8" s="58"/>
      <c r="ALA8" s="58"/>
      <c r="ALB8" s="58"/>
      <c r="ALC8" s="58"/>
      <c r="ALD8" s="58"/>
      <c r="ALE8" s="58"/>
      <c r="ALF8" s="58"/>
      <c r="ALG8" s="58"/>
      <c r="ALH8" s="58"/>
      <c r="ALI8" s="58"/>
      <c r="ALJ8" s="58"/>
      <c r="ALK8" s="58"/>
      <c r="ALL8" s="58"/>
      <c r="ALM8" s="58"/>
      <c r="ALN8" s="58"/>
      <c r="ALO8" s="58"/>
      <c r="ALP8" s="58"/>
      <c r="ALQ8" s="58"/>
      <c r="ALR8" s="58"/>
      <c r="ALS8" s="58"/>
      <c r="ALT8" s="58"/>
      <c r="ALU8" s="58"/>
      <c r="ALV8" s="58"/>
      <c r="ALW8" s="58"/>
      <c r="ALX8" s="58"/>
      <c r="ALY8" s="58"/>
      <c r="ALZ8" s="58"/>
      <c r="AMA8" s="58"/>
      <c r="AMB8" s="58"/>
      <c r="AMC8" s="58"/>
      <c r="AMD8" s="58"/>
      <c r="AME8" s="58"/>
      <c r="AMF8" s="58"/>
      <c r="AMG8" s="58"/>
      <c r="AMH8" s="58"/>
      <c r="AMI8" s="58"/>
      <c r="AMJ8" s="58"/>
      <c r="AMK8" s="58"/>
      <c r="AML8" s="58"/>
      <c r="AMM8" s="58"/>
      <c r="AMN8" s="58"/>
      <c r="AMO8" s="58"/>
      <c r="AMP8" s="58"/>
      <c r="AMQ8" s="58"/>
      <c r="AMR8" s="58"/>
      <c r="AMS8" s="58"/>
      <c r="AMT8" s="58"/>
      <c r="AMU8" s="58"/>
      <c r="AMV8" s="58"/>
      <c r="AMW8" s="58"/>
      <c r="AMX8" s="58"/>
      <c r="AMY8" s="58"/>
      <c r="AMZ8" s="58"/>
      <c r="ANA8" s="58"/>
      <c r="ANB8" s="58"/>
      <c r="ANC8" s="58"/>
      <c r="AND8" s="58"/>
      <c r="ANE8" s="58"/>
      <c r="ANF8" s="58"/>
      <c r="ANG8" s="58"/>
      <c r="ANH8" s="58"/>
      <c r="ANI8" s="58"/>
      <c r="ANJ8" s="58"/>
      <c r="ANK8" s="58"/>
      <c r="ANL8" s="58"/>
      <c r="ANM8" s="58"/>
      <c r="ANN8" s="58"/>
      <c r="ANO8" s="58"/>
      <c r="ANP8" s="58"/>
      <c r="ANQ8" s="58"/>
      <c r="ANR8" s="58"/>
      <c r="ANS8" s="58"/>
      <c r="ANT8" s="58"/>
      <c r="ANU8" s="58"/>
      <c r="ANV8" s="58"/>
      <c r="ANW8" s="58"/>
      <c r="ANX8" s="58"/>
      <c r="ANY8" s="58"/>
      <c r="ANZ8" s="58"/>
      <c r="AOA8" s="58"/>
      <c r="AOB8" s="58"/>
      <c r="AOC8" s="58"/>
      <c r="AOD8" s="58"/>
      <c r="AOE8" s="58"/>
      <c r="AOF8" s="58"/>
      <c r="AOG8" s="58"/>
      <c r="AOH8" s="58"/>
      <c r="AOI8" s="58"/>
      <c r="AOJ8" s="58"/>
      <c r="AOK8" s="58"/>
      <c r="AOL8" s="58"/>
      <c r="AOM8" s="58"/>
      <c r="AON8" s="58"/>
      <c r="AOO8" s="58"/>
      <c r="AOP8" s="58"/>
      <c r="AOQ8" s="58"/>
      <c r="AOR8" s="58"/>
      <c r="AOS8" s="58"/>
      <c r="AOT8" s="58"/>
      <c r="AOU8" s="58"/>
      <c r="AOV8" s="58"/>
      <c r="AOW8" s="58"/>
      <c r="AOX8" s="58"/>
      <c r="AOY8" s="58"/>
      <c r="AOZ8" s="58"/>
      <c r="APA8" s="58"/>
      <c r="APB8" s="58"/>
      <c r="APC8" s="58"/>
      <c r="APD8" s="58"/>
      <c r="APE8" s="58"/>
      <c r="APF8" s="58"/>
      <c r="APG8" s="58"/>
      <c r="APH8" s="58"/>
      <c r="API8" s="58"/>
      <c r="APJ8" s="58"/>
      <c r="APK8" s="58"/>
      <c r="APL8" s="58"/>
      <c r="APM8" s="58"/>
      <c r="APN8" s="58"/>
      <c r="APO8" s="58"/>
      <c r="APP8" s="58"/>
      <c r="APQ8" s="58"/>
      <c r="APR8" s="58"/>
      <c r="APS8" s="58"/>
      <c r="APT8" s="58"/>
      <c r="APU8" s="58"/>
      <c r="APV8" s="58"/>
      <c r="APW8" s="58"/>
      <c r="APX8" s="58"/>
      <c r="APY8" s="58"/>
      <c r="APZ8" s="58"/>
      <c r="AQA8" s="58"/>
      <c r="AQB8" s="58"/>
      <c r="AQC8" s="58"/>
      <c r="AQD8" s="58"/>
      <c r="AQE8" s="58"/>
      <c r="AQF8" s="58"/>
      <c r="AQG8" s="58"/>
      <c r="AQH8" s="58"/>
      <c r="AQI8" s="58"/>
      <c r="AQJ8" s="58"/>
      <c r="AQK8" s="58"/>
      <c r="AQL8" s="58"/>
      <c r="AQM8" s="58"/>
      <c r="AQN8" s="58"/>
      <c r="AQO8" s="58"/>
      <c r="AQP8" s="58"/>
      <c r="AQQ8" s="58"/>
      <c r="AQR8" s="58"/>
      <c r="AQS8" s="58"/>
      <c r="AQT8" s="58"/>
      <c r="AQU8" s="58"/>
      <c r="AQV8" s="58"/>
      <c r="AQW8" s="58"/>
      <c r="AQX8" s="58"/>
      <c r="AQY8" s="58"/>
      <c r="AQZ8" s="58"/>
      <c r="ARA8" s="58"/>
      <c r="ARB8" s="58"/>
      <c r="ARC8" s="58"/>
      <c r="ARD8" s="58"/>
      <c r="ARE8" s="58"/>
      <c r="ARF8" s="58"/>
      <c r="ARG8" s="58"/>
      <c r="ARH8" s="58"/>
      <c r="ARI8" s="58"/>
      <c r="ARJ8" s="58"/>
      <c r="ARK8" s="58"/>
      <c r="ARL8" s="58"/>
      <c r="ARM8" s="58"/>
      <c r="ARN8" s="58"/>
      <c r="ARO8" s="58"/>
      <c r="ARP8" s="58"/>
      <c r="ARQ8" s="58"/>
      <c r="ARR8" s="58"/>
      <c r="ARS8" s="58"/>
      <c r="ART8" s="58"/>
      <c r="ARU8" s="58"/>
      <c r="ARV8" s="58"/>
      <c r="ARW8" s="58"/>
      <c r="ARX8" s="58"/>
      <c r="ARY8" s="58"/>
      <c r="ARZ8" s="58"/>
      <c r="ASA8" s="58"/>
      <c r="ASB8" s="58"/>
      <c r="ASC8" s="58"/>
      <c r="ASD8" s="58"/>
      <c r="ASE8" s="58"/>
      <c r="ASF8" s="58"/>
      <c r="ASG8" s="58"/>
      <c r="ASH8" s="58"/>
      <c r="ASI8" s="58"/>
      <c r="ASJ8" s="58"/>
      <c r="ASK8" s="58"/>
      <c r="ASL8" s="58"/>
      <c r="ASM8" s="58"/>
      <c r="ASN8" s="58"/>
      <c r="ASO8" s="58"/>
      <c r="ASP8" s="58"/>
      <c r="ASQ8" s="58"/>
      <c r="ASR8" s="58"/>
      <c r="ASS8" s="58"/>
      <c r="AST8" s="58"/>
      <c r="ASU8" s="58"/>
      <c r="ASV8" s="58"/>
      <c r="ASW8" s="58"/>
      <c r="ASX8" s="58"/>
      <c r="ASY8" s="58"/>
      <c r="ASZ8" s="58"/>
      <c r="ATA8" s="58"/>
      <c r="ATB8" s="58"/>
      <c r="ATC8" s="58"/>
      <c r="ATD8" s="58"/>
      <c r="ATE8" s="58"/>
      <c r="ATF8" s="58"/>
      <c r="ATG8" s="58"/>
      <c r="ATH8" s="58"/>
      <c r="ATI8" s="58"/>
      <c r="ATJ8" s="58"/>
      <c r="ATK8" s="58"/>
      <c r="ATL8" s="58"/>
      <c r="ATM8" s="58"/>
      <c r="ATN8" s="58"/>
      <c r="ATO8" s="58"/>
      <c r="ATP8" s="58"/>
      <c r="ATQ8" s="58"/>
      <c r="ATR8" s="58"/>
      <c r="ATS8" s="58"/>
      <c r="ATT8" s="58"/>
      <c r="ATU8" s="58"/>
      <c r="ATV8" s="58"/>
      <c r="ATW8" s="58"/>
      <c r="ATX8" s="58"/>
      <c r="ATY8" s="58"/>
      <c r="ATZ8" s="58"/>
      <c r="AUA8" s="58"/>
      <c r="AUB8" s="58"/>
      <c r="AUC8" s="58"/>
      <c r="AUD8" s="58"/>
      <c r="AUE8" s="58"/>
      <c r="AUF8" s="58"/>
      <c r="AUG8" s="58"/>
      <c r="AUH8" s="58"/>
      <c r="AUI8" s="58"/>
      <c r="AUJ8" s="58"/>
      <c r="AUK8" s="58"/>
      <c r="AUL8" s="58"/>
      <c r="AUM8" s="58"/>
      <c r="AUN8" s="58"/>
      <c r="AUO8" s="58"/>
      <c r="AUP8" s="58"/>
      <c r="AUQ8" s="58"/>
      <c r="AUR8" s="58"/>
      <c r="AUS8" s="58"/>
      <c r="AUT8" s="58"/>
      <c r="AUU8" s="58"/>
      <c r="AUV8" s="58"/>
      <c r="AUW8" s="58"/>
      <c r="AUX8" s="58"/>
      <c r="AUY8" s="58"/>
      <c r="AUZ8" s="58"/>
      <c r="AVA8" s="58"/>
      <c r="AVB8" s="58"/>
      <c r="AVC8" s="58"/>
      <c r="AVD8" s="58"/>
      <c r="AVE8" s="58"/>
      <c r="AVF8" s="58"/>
      <c r="AVG8" s="58"/>
      <c r="AVH8" s="58"/>
      <c r="AVI8" s="58"/>
      <c r="AVJ8" s="58"/>
      <c r="AVK8" s="58"/>
      <c r="AVL8" s="58"/>
      <c r="AVM8" s="58"/>
      <c r="AVN8" s="58"/>
      <c r="AVO8" s="58"/>
      <c r="AVP8" s="58"/>
      <c r="AVQ8" s="58"/>
      <c r="AVR8" s="58"/>
      <c r="AVS8" s="58"/>
      <c r="AVT8" s="58"/>
      <c r="AVU8" s="58"/>
      <c r="AVV8" s="58"/>
      <c r="AVW8" s="58"/>
      <c r="AVX8" s="58"/>
      <c r="AVY8" s="58"/>
      <c r="AVZ8" s="58"/>
      <c r="AWA8" s="58"/>
      <c r="AWB8" s="58"/>
      <c r="AWC8" s="58"/>
      <c r="AWD8" s="58"/>
      <c r="AWE8" s="58"/>
      <c r="AWF8" s="58"/>
      <c r="AWG8" s="58"/>
      <c r="AWH8" s="58"/>
      <c r="AWI8" s="58"/>
      <c r="AWJ8" s="58"/>
      <c r="AWK8" s="58"/>
      <c r="AWL8" s="58"/>
      <c r="AWM8" s="58"/>
      <c r="AWN8" s="58"/>
      <c r="AWO8" s="58"/>
      <c r="AWP8" s="58"/>
      <c r="AWQ8" s="58"/>
      <c r="AWR8" s="58"/>
      <c r="AWS8" s="58"/>
      <c r="AWT8" s="58"/>
      <c r="AWU8" s="58"/>
      <c r="AWV8" s="58"/>
      <c r="AWW8" s="58"/>
      <c r="AWX8" s="58"/>
      <c r="AWY8" s="58"/>
      <c r="AWZ8" s="58"/>
      <c r="AXA8" s="58"/>
      <c r="AXB8" s="58"/>
      <c r="AXC8" s="58"/>
      <c r="AXD8" s="58"/>
      <c r="AXE8" s="58"/>
      <c r="AXF8" s="58"/>
      <c r="AXG8" s="58"/>
      <c r="AXH8" s="58"/>
      <c r="AXI8" s="58"/>
      <c r="AXJ8" s="58"/>
      <c r="AXK8" s="58"/>
      <c r="AXL8" s="58"/>
      <c r="AXM8" s="58"/>
      <c r="AXN8" s="58"/>
      <c r="AXO8" s="58"/>
      <c r="AXP8" s="58"/>
      <c r="AXQ8" s="58"/>
      <c r="AXR8" s="58"/>
      <c r="AXS8" s="58"/>
      <c r="AXT8" s="58"/>
      <c r="AXU8" s="58"/>
      <c r="AXV8" s="58"/>
      <c r="AXW8" s="58"/>
      <c r="AXX8" s="58"/>
      <c r="AXY8" s="58"/>
      <c r="AXZ8" s="58"/>
      <c r="AYA8" s="58"/>
      <c r="AYB8" s="58"/>
      <c r="AYC8" s="58"/>
      <c r="AYD8" s="58"/>
      <c r="AYE8" s="58"/>
      <c r="AYF8" s="58"/>
      <c r="AYG8" s="58"/>
      <c r="AYH8" s="58"/>
      <c r="AYI8" s="58"/>
      <c r="AYJ8" s="58"/>
      <c r="AYK8" s="58"/>
      <c r="AYL8" s="58"/>
      <c r="AYM8" s="58"/>
      <c r="AYN8" s="58"/>
      <c r="AYO8" s="58"/>
      <c r="AYP8" s="58"/>
      <c r="AYQ8" s="58"/>
      <c r="AYR8" s="58"/>
      <c r="AYS8" s="58"/>
      <c r="AYT8" s="58"/>
      <c r="AYU8" s="58"/>
      <c r="AYV8" s="58"/>
      <c r="AYW8" s="58"/>
      <c r="AYX8" s="58"/>
      <c r="AYY8" s="58"/>
      <c r="AYZ8" s="58"/>
      <c r="AZA8" s="58"/>
      <c r="AZB8" s="58"/>
      <c r="AZC8" s="58"/>
      <c r="AZD8" s="58"/>
      <c r="AZE8" s="58"/>
      <c r="AZF8" s="58"/>
      <c r="AZG8" s="58"/>
      <c r="AZH8" s="58"/>
      <c r="AZI8" s="58"/>
      <c r="AZJ8" s="58"/>
      <c r="AZK8" s="58"/>
      <c r="AZL8" s="58"/>
      <c r="AZM8" s="58"/>
      <c r="AZN8" s="58"/>
      <c r="AZO8" s="58"/>
      <c r="AZP8" s="58"/>
      <c r="AZQ8" s="58"/>
      <c r="AZR8" s="58"/>
      <c r="AZS8" s="58"/>
      <c r="AZT8" s="58"/>
      <c r="AZU8" s="58"/>
      <c r="AZV8" s="58"/>
      <c r="AZW8" s="58"/>
      <c r="AZX8" s="58"/>
      <c r="AZY8" s="58"/>
      <c r="AZZ8" s="58"/>
      <c r="BAA8" s="58"/>
      <c r="BAB8" s="58"/>
      <c r="BAC8" s="58"/>
      <c r="BAD8" s="58"/>
      <c r="BAE8" s="58"/>
      <c r="BAF8" s="58"/>
      <c r="BAG8" s="58"/>
      <c r="BAH8" s="58"/>
      <c r="BAI8" s="58"/>
      <c r="BAJ8" s="58"/>
      <c r="BAK8" s="58"/>
      <c r="BAL8" s="58"/>
      <c r="BAM8" s="58"/>
      <c r="BAN8" s="58"/>
      <c r="BAO8" s="58"/>
      <c r="BAP8" s="58"/>
      <c r="BAQ8" s="58"/>
      <c r="BAR8" s="58"/>
      <c r="BAS8" s="58"/>
      <c r="BAT8" s="58"/>
      <c r="BAU8" s="58"/>
      <c r="BAV8" s="58"/>
      <c r="BAW8" s="58"/>
      <c r="BAX8" s="58"/>
      <c r="BAY8" s="58"/>
      <c r="BAZ8" s="58"/>
      <c r="BBA8" s="58"/>
      <c r="BBB8" s="58"/>
      <c r="BBC8" s="58"/>
      <c r="BBD8" s="58"/>
      <c r="BBE8" s="58"/>
      <c r="BBF8" s="58"/>
      <c r="BBG8" s="58"/>
      <c r="BBH8" s="58"/>
      <c r="BBI8" s="58"/>
      <c r="BBJ8" s="58"/>
      <c r="BBK8" s="58"/>
      <c r="BBL8" s="58"/>
      <c r="BBM8" s="58"/>
      <c r="BBN8" s="58"/>
      <c r="BBO8" s="58"/>
      <c r="BBP8" s="58"/>
      <c r="BBQ8" s="58"/>
      <c r="BBR8" s="58"/>
      <c r="BBS8" s="58"/>
      <c r="BBT8" s="58"/>
      <c r="BBU8" s="58"/>
      <c r="BBV8" s="58"/>
      <c r="BBW8" s="58"/>
      <c r="BBX8" s="58"/>
      <c r="BBY8" s="58"/>
      <c r="BBZ8" s="58"/>
      <c r="BCA8" s="58"/>
      <c r="BCB8" s="58"/>
      <c r="BCC8" s="58"/>
      <c r="BCD8" s="58"/>
      <c r="BCE8" s="58"/>
      <c r="BCF8" s="58"/>
      <c r="BCG8" s="58"/>
      <c r="BCH8" s="58"/>
      <c r="BCI8" s="58"/>
      <c r="BCJ8" s="58"/>
      <c r="BCK8" s="58"/>
      <c r="BCL8" s="58"/>
      <c r="BCM8" s="58"/>
      <c r="BCN8" s="58"/>
      <c r="BCO8" s="58"/>
      <c r="BCP8" s="58"/>
      <c r="BCQ8" s="58"/>
      <c r="BCR8" s="58"/>
      <c r="BCS8" s="58"/>
      <c r="BCT8" s="58"/>
      <c r="BCU8" s="58"/>
      <c r="BCV8" s="58"/>
      <c r="BCW8" s="58"/>
      <c r="BCX8" s="58"/>
      <c r="BCY8" s="58"/>
      <c r="BCZ8" s="58"/>
      <c r="BDA8" s="58"/>
      <c r="BDB8" s="58"/>
      <c r="BDC8" s="58"/>
      <c r="BDD8" s="58"/>
      <c r="BDE8" s="58"/>
      <c r="BDF8" s="58"/>
      <c r="BDG8" s="58"/>
      <c r="BDH8" s="58"/>
      <c r="BDI8" s="58"/>
      <c r="BDJ8" s="58"/>
      <c r="BDK8" s="58"/>
      <c r="BDL8" s="58"/>
      <c r="BDM8" s="58"/>
      <c r="BDN8" s="58"/>
      <c r="BDO8" s="58"/>
      <c r="BDP8" s="58"/>
      <c r="BDQ8" s="58"/>
      <c r="BDR8" s="58"/>
      <c r="BDS8" s="58"/>
      <c r="BDT8" s="58"/>
      <c r="BDU8" s="58"/>
      <c r="BDV8" s="58"/>
      <c r="BDW8" s="58"/>
      <c r="BDX8" s="58"/>
      <c r="BDY8" s="58"/>
      <c r="BDZ8" s="58"/>
      <c r="BEA8" s="58"/>
      <c r="BEB8" s="58"/>
      <c r="BEC8" s="58"/>
      <c r="BED8" s="58"/>
      <c r="BEE8" s="58"/>
      <c r="BEF8" s="58"/>
      <c r="BEG8" s="58"/>
      <c r="BEH8" s="58"/>
      <c r="BEI8" s="58"/>
      <c r="BEJ8" s="58"/>
      <c r="BEK8" s="58"/>
      <c r="BEL8" s="58"/>
      <c r="BEM8" s="58"/>
      <c r="BEN8" s="58"/>
      <c r="BEO8" s="58"/>
      <c r="BEP8" s="58"/>
      <c r="BEQ8" s="58"/>
      <c r="BER8" s="58"/>
      <c r="BES8" s="58"/>
      <c r="BET8" s="58"/>
      <c r="BEU8" s="58"/>
      <c r="BEV8" s="58"/>
      <c r="BEW8" s="58"/>
      <c r="BEX8" s="58"/>
      <c r="BEY8" s="58"/>
      <c r="BEZ8" s="58"/>
      <c r="BFA8" s="58"/>
      <c r="BFB8" s="58"/>
      <c r="BFC8" s="58"/>
      <c r="BFD8" s="58"/>
      <c r="BFE8" s="58"/>
      <c r="BFF8" s="58"/>
      <c r="BFG8" s="58"/>
      <c r="BFH8" s="58"/>
      <c r="BFI8" s="58"/>
      <c r="BFJ8" s="58"/>
      <c r="BFK8" s="58"/>
      <c r="BFL8" s="58"/>
      <c r="BFM8" s="58"/>
      <c r="BFN8" s="58"/>
      <c r="BFO8" s="58"/>
      <c r="BFP8" s="58"/>
      <c r="BFQ8" s="58"/>
      <c r="BFR8" s="58"/>
      <c r="BFS8" s="58"/>
      <c r="BFT8" s="58"/>
      <c r="BFU8" s="58"/>
      <c r="BFV8" s="58"/>
      <c r="BFW8" s="58"/>
      <c r="BFX8" s="58"/>
      <c r="BFY8" s="58"/>
      <c r="BFZ8" s="58"/>
      <c r="BGA8" s="58"/>
      <c r="BGB8" s="58"/>
      <c r="BGC8" s="58"/>
      <c r="BGD8" s="58"/>
      <c r="BGE8" s="58"/>
      <c r="BGF8" s="58"/>
      <c r="BGG8" s="58"/>
      <c r="BGH8" s="58"/>
      <c r="BGI8" s="58"/>
      <c r="BGJ8" s="58"/>
      <c r="BGK8" s="58"/>
      <c r="BGL8" s="58"/>
      <c r="BGM8" s="58"/>
      <c r="BGN8" s="58"/>
      <c r="BGO8" s="58"/>
      <c r="BGP8" s="58"/>
      <c r="BGQ8" s="58"/>
      <c r="BGR8" s="58"/>
      <c r="BGS8" s="58"/>
      <c r="BGT8" s="58"/>
      <c r="BGU8" s="58"/>
      <c r="BGV8" s="58"/>
      <c r="BGW8" s="58"/>
      <c r="BGX8" s="58"/>
      <c r="BGY8" s="58"/>
      <c r="BGZ8" s="58"/>
      <c r="BHA8" s="58"/>
      <c r="BHB8" s="58"/>
      <c r="BHC8" s="58"/>
      <c r="BHD8" s="58"/>
      <c r="BHE8" s="58"/>
      <c r="BHF8" s="58"/>
      <c r="BHG8" s="58"/>
      <c r="BHH8" s="58"/>
      <c r="BHI8" s="58"/>
      <c r="BHJ8" s="58"/>
      <c r="BHK8" s="58"/>
      <c r="BHL8" s="58"/>
      <c r="BHM8" s="58"/>
      <c r="BHN8" s="58"/>
      <c r="BHO8" s="58"/>
      <c r="BHP8" s="58"/>
      <c r="BHQ8" s="58"/>
      <c r="BHR8" s="58"/>
      <c r="BHS8" s="58"/>
      <c r="BHT8" s="58"/>
      <c r="BHU8" s="58"/>
      <c r="BHV8" s="58"/>
      <c r="BHW8" s="58"/>
      <c r="BHX8" s="58"/>
      <c r="BHY8" s="58"/>
      <c r="BHZ8" s="58"/>
      <c r="BIA8" s="58"/>
      <c r="BIB8" s="58"/>
      <c r="BIC8" s="58"/>
      <c r="BID8" s="58"/>
      <c r="BIE8" s="58"/>
      <c r="BIF8" s="58"/>
      <c r="BIG8" s="58"/>
      <c r="BIH8" s="58"/>
      <c r="BII8" s="58"/>
      <c r="BIJ8" s="58"/>
      <c r="BIK8" s="58"/>
      <c r="BIL8" s="58"/>
      <c r="BIM8" s="58"/>
      <c r="BIN8" s="58"/>
      <c r="BIO8" s="58"/>
      <c r="BIP8" s="58"/>
      <c r="BIQ8" s="58"/>
      <c r="BIR8" s="58"/>
      <c r="BIS8" s="58"/>
      <c r="BIT8" s="58"/>
      <c r="BIU8" s="58"/>
      <c r="BIV8" s="58"/>
      <c r="BIW8" s="58"/>
      <c r="BIX8" s="58"/>
      <c r="BIY8" s="58"/>
      <c r="BIZ8" s="58"/>
      <c r="BJA8" s="58"/>
      <c r="BJB8" s="58"/>
      <c r="BJC8" s="58"/>
      <c r="BJD8" s="58"/>
      <c r="BJE8" s="58"/>
      <c r="BJF8" s="58"/>
      <c r="BJG8" s="58"/>
      <c r="BJH8" s="58"/>
      <c r="BJI8" s="58"/>
      <c r="BJJ8" s="58"/>
      <c r="BJK8" s="58"/>
      <c r="BJL8" s="58"/>
      <c r="BJM8" s="58"/>
      <c r="BJN8" s="58"/>
      <c r="BJO8" s="58"/>
      <c r="BJP8" s="58"/>
      <c r="BJQ8" s="58"/>
      <c r="BJR8" s="58"/>
      <c r="BJS8" s="58"/>
      <c r="BJT8" s="58"/>
      <c r="BJU8" s="58"/>
      <c r="BJV8" s="58"/>
      <c r="BJW8" s="58"/>
      <c r="BJX8" s="58"/>
      <c r="BJY8" s="58"/>
      <c r="BJZ8" s="58"/>
      <c r="BKA8" s="58"/>
      <c r="BKB8" s="58"/>
      <c r="BKC8" s="58"/>
      <c r="BKD8" s="58"/>
      <c r="BKE8" s="58"/>
      <c r="BKF8" s="58"/>
      <c r="BKG8" s="58"/>
      <c r="BKH8" s="58"/>
      <c r="BKI8" s="58"/>
      <c r="BKJ8" s="58"/>
      <c r="BKK8" s="58"/>
      <c r="BKL8" s="58"/>
      <c r="BKM8" s="58"/>
      <c r="BKN8" s="58"/>
      <c r="BKO8" s="58"/>
      <c r="BKP8" s="58"/>
      <c r="BKQ8" s="58"/>
      <c r="BKR8" s="58"/>
      <c r="BKS8" s="58"/>
      <c r="BKT8" s="58"/>
      <c r="BKU8" s="58"/>
      <c r="BKV8" s="58"/>
      <c r="BKW8" s="58"/>
      <c r="BKX8" s="58"/>
      <c r="BKY8" s="58"/>
      <c r="BKZ8" s="58"/>
      <c r="BLA8" s="58"/>
      <c r="BLB8" s="58"/>
      <c r="BLC8" s="58"/>
      <c r="BLD8" s="58"/>
      <c r="BLE8" s="58"/>
      <c r="BLF8" s="58"/>
      <c r="BLG8" s="58"/>
      <c r="BLH8" s="58"/>
      <c r="BLI8" s="58"/>
      <c r="BLJ8" s="58"/>
      <c r="BLK8" s="58"/>
      <c r="BLL8" s="58"/>
      <c r="BLM8" s="58"/>
      <c r="BLN8" s="58"/>
      <c r="BLO8" s="58"/>
      <c r="BLP8" s="58"/>
      <c r="BLQ8" s="58"/>
      <c r="BLR8" s="58"/>
      <c r="BLS8" s="58"/>
      <c r="BLT8" s="58"/>
      <c r="BLU8" s="58"/>
      <c r="BLV8" s="58"/>
      <c r="BLW8" s="58"/>
      <c r="BLX8" s="58"/>
      <c r="BLY8" s="58"/>
      <c r="BLZ8" s="58"/>
      <c r="BMA8" s="58"/>
      <c r="BMB8" s="58"/>
      <c r="BMC8" s="58"/>
      <c r="BMD8" s="58"/>
      <c r="BME8" s="58"/>
      <c r="BMF8" s="58"/>
      <c r="BMG8" s="58"/>
      <c r="BMH8" s="58"/>
      <c r="BMI8" s="58"/>
      <c r="BMJ8" s="58"/>
      <c r="BMK8" s="58"/>
      <c r="BML8" s="58"/>
      <c r="BMM8" s="58"/>
      <c r="BMN8" s="58"/>
      <c r="BMO8" s="58"/>
      <c r="BMP8" s="58"/>
      <c r="BMQ8" s="58"/>
      <c r="BMR8" s="58"/>
      <c r="BMS8" s="58"/>
      <c r="BMT8" s="58"/>
      <c r="BMU8" s="58"/>
      <c r="BMV8" s="58"/>
      <c r="BMW8" s="58"/>
      <c r="BMX8" s="58"/>
      <c r="BMY8" s="58"/>
      <c r="BMZ8" s="58"/>
      <c r="BNA8" s="58"/>
      <c r="BNB8" s="58"/>
      <c r="BNC8" s="58"/>
      <c r="BND8" s="58"/>
      <c r="BNE8" s="58"/>
      <c r="BNF8" s="58"/>
      <c r="BNG8" s="58"/>
      <c r="BNH8" s="58"/>
      <c r="BNI8" s="58"/>
      <c r="BNJ8" s="58"/>
      <c r="BNK8" s="58"/>
      <c r="BNL8" s="58"/>
      <c r="BNM8" s="58"/>
      <c r="BNN8" s="58"/>
      <c r="BNO8" s="58"/>
      <c r="BNP8" s="58"/>
      <c r="BNQ8" s="58"/>
      <c r="BNR8" s="58"/>
      <c r="BNS8" s="58"/>
      <c r="BNT8" s="58"/>
      <c r="BNU8" s="58"/>
      <c r="BNV8" s="58"/>
      <c r="BNW8" s="58"/>
      <c r="BNX8" s="58"/>
      <c r="BNY8" s="58"/>
      <c r="BNZ8" s="58"/>
      <c r="BOA8" s="58"/>
      <c r="BOB8" s="58"/>
      <c r="BOC8" s="58"/>
      <c r="BOD8" s="58"/>
      <c r="BOE8" s="58"/>
      <c r="BOF8" s="58"/>
      <c r="BOG8" s="58"/>
      <c r="BOH8" s="58"/>
      <c r="BOI8" s="58"/>
      <c r="BOJ8" s="58"/>
      <c r="BOK8" s="58"/>
      <c r="BOL8" s="58"/>
      <c r="BOM8" s="58"/>
      <c r="BON8" s="58"/>
      <c r="BOO8" s="58"/>
      <c r="BOP8" s="58"/>
      <c r="BOQ8" s="58"/>
      <c r="BOR8" s="58"/>
      <c r="BOS8" s="58"/>
      <c r="BOT8" s="58"/>
      <c r="BOU8" s="58"/>
      <c r="BOV8" s="58"/>
      <c r="BOW8" s="58"/>
      <c r="BOX8" s="58"/>
      <c r="BOY8" s="58"/>
      <c r="BOZ8" s="58"/>
      <c r="BPA8" s="58"/>
      <c r="BPB8" s="58"/>
      <c r="BPC8" s="58"/>
      <c r="BPD8" s="58"/>
      <c r="BPE8" s="58"/>
      <c r="BPF8" s="58"/>
      <c r="BPG8" s="58"/>
      <c r="BPH8" s="58"/>
      <c r="BPI8" s="58"/>
      <c r="BPJ8" s="58"/>
      <c r="BPK8" s="58"/>
      <c r="BPL8" s="58"/>
      <c r="BPM8" s="58"/>
      <c r="BPN8" s="58"/>
      <c r="BPO8" s="58"/>
      <c r="BPP8" s="58"/>
      <c r="BPQ8" s="58"/>
      <c r="BPR8" s="58"/>
      <c r="BPS8" s="58"/>
      <c r="BPT8" s="58"/>
      <c r="BPU8" s="58"/>
      <c r="BPV8" s="58"/>
      <c r="BPW8" s="58"/>
      <c r="BPX8" s="58"/>
      <c r="BPY8" s="58"/>
      <c r="BPZ8" s="58"/>
      <c r="BQA8" s="58"/>
      <c r="BQB8" s="58"/>
      <c r="BQC8" s="58"/>
      <c r="BQD8" s="58"/>
      <c r="BQE8" s="58"/>
      <c r="BQF8" s="58"/>
      <c r="BQG8" s="58"/>
      <c r="BQH8" s="58"/>
      <c r="BQI8" s="58"/>
      <c r="BQJ8" s="58"/>
      <c r="BQK8" s="58"/>
      <c r="BQL8" s="58"/>
      <c r="BQM8" s="58"/>
      <c r="BQN8" s="58"/>
      <c r="BQO8" s="58"/>
      <c r="BQP8" s="58"/>
      <c r="BQQ8" s="58"/>
      <c r="BQR8" s="58"/>
      <c r="BQS8" s="58"/>
      <c r="BQT8" s="58"/>
      <c r="BQU8" s="58"/>
      <c r="BQV8" s="58"/>
      <c r="BQW8" s="58"/>
      <c r="BQX8" s="58"/>
      <c r="BQY8" s="58"/>
      <c r="BQZ8" s="58"/>
      <c r="BRA8" s="58"/>
      <c r="BRB8" s="58"/>
      <c r="BRC8" s="58"/>
      <c r="BRD8" s="58"/>
      <c r="BRE8" s="58"/>
      <c r="BRF8" s="58"/>
      <c r="BRG8" s="58"/>
      <c r="BRH8" s="58"/>
      <c r="BRI8" s="58"/>
      <c r="BRJ8" s="58"/>
      <c r="BRK8" s="58"/>
      <c r="BRL8" s="58"/>
      <c r="BRM8" s="58"/>
      <c r="BRN8" s="58"/>
      <c r="BRO8" s="58"/>
      <c r="BRP8" s="58"/>
      <c r="BRQ8" s="58"/>
      <c r="BRR8" s="58"/>
      <c r="BRS8" s="58"/>
      <c r="BRT8" s="58"/>
      <c r="BRU8" s="58"/>
      <c r="BRV8" s="58"/>
      <c r="BRW8" s="58"/>
      <c r="BRX8" s="58"/>
      <c r="BRY8" s="58"/>
      <c r="BRZ8" s="58"/>
      <c r="BSA8" s="58"/>
      <c r="BSB8" s="58"/>
      <c r="BSC8" s="58"/>
      <c r="BSD8" s="58"/>
      <c r="BSE8" s="58"/>
      <c r="BSF8" s="58"/>
      <c r="BSG8" s="58"/>
      <c r="BSH8" s="58"/>
      <c r="BSI8" s="58"/>
      <c r="BSJ8" s="58"/>
      <c r="BSK8" s="58"/>
      <c r="BSL8" s="58"/>
      <c r="BSM8" s="58"/>
      <c r="BSN8" s="58"/>
      <c r="BSO8" s="58"/>
      <c r="BSP8" s="58"/>
      <c r="BSQ8" s="58"/>
      <c r="BSR8" s="58"/>
      <c r="BSS8" s="58"/>
      <c r="BST8" s="58"/>
      <c r="BSU8" s="58"/>
      <c r="BSV8" s="58"/>
      <c r="BSW8" s="58"/>
      <c r="BSX8" s="58"/>
      <c r="BSY8" s="58"/>
      <c r="BSZ8" s="58"/>
      <c r="BTA8" s="58"/>
      <c r="BTB8" s="58"/>
      <c r="BTC8" s="58"/>
      <c r="BTD8" s="58"/>
      <c r="BTE8" s="58"/>
      <c r="BTF8" s="58"/>
      <c r="BTG8" s="58"/>
      <c r="BTH8" s="58"/>
      <c r="BTI8" s="58"/>
      <c r="BTJ8" s="58"/>
      <c r="BTK8" s="58"/>
      <c r="BTL8" s="58"/>
      <c r="BTM8" s="58"/>
      <c r="BTN8" s="58"/>
      <c r="BTO8" s="58"/>
      <c r="BTP8" s="58"/>
      <c r="BTQ8" s="58"/>
      <c r="BTR8" s="58"/>
      <c r="BTS8" s="58"/>
      <c r="BTT8" s="58"/>
      <c r="BTU8" s="58"/>
      <c r="BTV8" s="58"/>
      <c r="BTW8" s="58"/>
      <c r="BTX8" s="58"/>
      <c r="BTY8" s="58"/>
      <c r="BTZ8" s="58"/>
      <c r="BUA8" s="58"/>
      <c r="BUB8" s="58"/>
      <c r="BUC8" s="58"/>
      <c r="BUD8" s="58"/>
      <c r="BUE8" s="58"/>
      <c r="BUF8" s="58"/>
      <c r="BUG8" s="58"/>
      <c r="BUH8" s="58"/>
      <c r="BUI8" s="58"/>
      <c r="BUJ8" s="58"/>
      <c r="BUK8" s="58"/>
      <c r="BUL8" s="58"/>
      <c r="BUM8" s="58"/>
      <c r="BUN8" s="58"/>
      <c r="BUO8" s="58"/>
      <c r="BUP8" s="58"/>
      <c r="BUQ8" s="58"/>
      <c r="BUR8" s="58"/>
      <c r="BUS8" s="58"/>
      <c r="BUT8" s="58"/>
      <c r="BUU8" s="58"/>
      <c r="BUV8" s="58"/>
      <c r="BUW8" s="58"/>
      <c r="BUX8" s="58"/>
      <c r="BUY8" s="58"/>
      <c r="BUZ8" s="58"/>
      <c r="BVA8" s="58"/>
      <c r="BVB8" s="58"/>
      <c r="BVC8" s="58"/>
      <c r="BVD8" s="58"/>
      <c r="BVE8" s="58"/>
      <c r="BVF8" s="58"/>
      <c r="BVG8" s="58"/>
      <c r="BVH8" s="58"/>
      <c r="BVI8" s="58"/>
      <c r="BVJ8" s="58"/>
      <c r="BVK8" s="58"/>
      <c r="BVL8" s="58"/>
      <c r="BVM8" s="58"/>
      <c r="BVN8" s="58"/>
      <c r="BVO8" s="58"/>
      <c r="BVP8" s="58"/>
      <c r="BVQ8" s="58"/>
      <c r="BVR8" s="58"/>
      <c r="BVS8" s="58"/>
      <c r="BVT8" s="58"/>
      <c r="BVU8" s="58"/>
      <c r="BVV8" s="58"/>
      <c r="BVW8" s="58"/>
      <c r="BVX8" s="58"/>
      <c r="BVY8" s="58"/>
      <c r="BVZ8" s="58"/>
      <c r="BWA8" s="58"/>
      <c r="BWB8" s="58"/>
      <c r="BWC8" s="58"/>
      <c r="BWD8" s="58"/>
      <c r="BWE8" s="58"/>
      <c r="BWF8" s="58"/>
      <c r="BWG8" s="58"/>
      <c r="BWH8" s="58"/>
      <c r="BWI8" s="58"/>
      <c r="BWJ8" s="58"/>
      <c r="BWK8" s="58"/>
      <c r="BWL8" s="58"/>
      <c r="BWM8" s="58"/>
      <c r="BWN8" s="58"/>
      <c r="BWO8" s="58"/>
      <c r="BWP8" s="58"/>
      <c r="BWQ8" s="58"/>
      <c r="BWR8" s="58"/>
      <c r="BWS8" s="58"/>
      <c r="BWT8" s="58"/>
      <c r="BWU8" s="58"/>
      <c r="BWV8" s="58"/>
      <c r="BWW8" s="58"/>
      <c r="BWX8" s="58"/>
      <c r="BWY8" s="58"/>
      <c r="BWZ8" s="58"/>
      <c r="BXA8" s="58"/>
      <c r="BXB8" s="58"/>
      <c r="BXC8" s="58"/>
      <c r="BXD8" s="58"/>
      <c r="BXE8" s="58"/>
      <c r="BXF8" s="58"/>
      <c r="BXG8" s="58"/>
      <c r="BXH8" s="58"/>
      <c r="BXI8" s="58"/>
      <c r="BXJ8" s="58"/>
      <c r="BXK8" s="58"/>
      <c r="BXL8" s="58"/>
      <c r="BXM8" s="58"/>
      <c r="BXN8" s="58"/>
      <c r="BXO8" s="58"/>
      <c r="BXP8" s="58"/>
      <c r="BXQ8" s="58"/>
      <c r="BXR8" s="58"/>
      <c r="BXS8" s="58"/>
      <c r="BXT8" s="58"/>
      <c r="BXU8" s="58"/>
      <c r="BXV8" s="58"/>
      <c r="BXW8" s="58"/>
      <c r="BXX8" s="58"/>
      <c r="BXY8" s="58"/>
      <c r="BXZ8" s="58"/>
      <c r="BYA8" s="58"/>
      <c r="BYB8" s="58"/>
      <c r="BYC8" s="58"/>
      <c r="BYD8" s="58"/>
      <c r="BYE8" s="58"/>
      <c r="BYF8" s="58"/>
      <c r="BYG8" s="58"/>
      <c r="BYH8" s="58"/>
      <c r="BYI8" s="58"/>
      <c r="BYJ8" s="58"/>
      <c r="BYK8" s="58"/>
      <c r="BYL8" s="58"/>
      <c r="BYM8" s="58"/>
      <c r="BYN8" s="58"/>
      <c r="BYO8" s="58"/>
      <c r="BYP8" s="58"/>
      <c r="BYQ8" s="58"/>
      <c r="BYR8" s="58"/>
      <c r="BYS8" s="58"/>
      <c r="BYT8" s="58"/>
      <c r="BYU8" s="58"/>
      <c r="BYV8" s="58"/>
      <c r="BYW8" s="58"/>
      <c r="BYX8" s="58"/>
      <c r="BYY8" s="58"/>
      <c r="BYZ8" s="58"/>
      <c r="BZA8" s="58"/>
      <c r="BZB8" s="58"/>
      <c r="BZC8" s="58"/>
      <c r="BZD8" s="58"/>
      <c r="BZE8" s="58"/>
      <c r="BZF8" s="58"/>
      <c r="BZG8" s="58"/>
      <c r="BZH8" s="58"/>
      <c r="BZI8" s="58"/>
      <c r="BZJ8" s="58"/>
      <c r="BZK8" s="58"/>
      <c r="BZL8" s="58"/>
      <c r="BZM8" s="58"/>
      <c r="BZN8" s="58"/>
      <c r="BZO8" s="58"/>
      <c r="BZP8" s="58"/>
      <c r="BZQ8" s="58"/>
      <c r="BZR8" s="58"/>
      <c r="BZS8" s="58"/>
      <c r="BZT8" s="58"/>
      <c r="BZU8" s="58"/>
      <c r="BZV8" s="58"/>
      <c r="BZW8" s="58"/>
      <c r="BZX8" s="58"/>
      <c r="BZY8" s="58"/>
      <c r="BZZ8" s="58"/>
      <c r="CAA8" s="58"/>
      <c r="CAB8" s="58"/>
      <c r="CAC8" s="58"/>
      <c r="CAD8" s="58"/>
      <c r="CAE8" s="58"/>
      <c r="CAF8" s="58"/>
      <c r="CAG8" s="58"/>
      <c r="CAH8" s="58"/>
      <c r="CAI8" s="58"/>
      <c r="CAJ8" s="58"/>
      <c r="CAK8" s="58"/>
      <c r="CAL8" s="58"/>
      <c r="CAM8" s="58"/>
      <c r="CAN8" s="58"/>
      <c r="CAO8" s="58"/>
      <c r="CAP8" s="58"/>
      <c r="CAQ8" s="58"/>
      <c r="CAR8" s="58"/>
      <c r="CAS8" s="58"/>
      <c r="CAT8" s="58"/>
      <c r="CAU8" s="58"/>
      <c r="CAV8" s="58"/>
      <c r="CAW8" s="58"/>
      <c r="CAX8" s="58"/>
      <c r="CAY8" s="58"/>
      <c r="CAZ8" s="58"/>
      <c r="CBA8" s="58"/>
      <c r="CBB8" s="58"/>
      <c r="CBC8" s="58"/>
      <c r="CBD8" s="58"/>
      <c r="CBE8" s="58"/>
      <c r="CBF8" s="58"/>
      <c r="CBG8" s="58"/>
      <c r="CBH8" s="58"/>
      <c r="CBI8" s="58"/>
      <c r="CBJ8" s="58"/>
      <c r="CBK8" s="58"/>
      <c r="CBL8" s="58"/>
      <c r="CBM8" s="58"/>
      <c r="CBN8" s="58"/>
      <c r="CBO8" s="58"/>
      <c r="CBP8" s="58"/>
      <c r="CBQ8" s="58"/>
      <c r="CBR8" s="58"/>
      <c r="CBS8" s="58"/>
      <c r="CBT8" s="58"/>
      <c r="CBU8" s="58"/>
      <c r="CBV8" s="58"/>
      <c r="CBW8" s="58"/>
      <c r="CBX8" s="58"/>
      <c r="CBY8" s="58"/>
      <c r="CBZ8" s="58"/>
      <c r="CCA8" s="58"/>
      <c r="CCB8" s="58"/>
      <c r="CCC8" s="58"/>
      <c r="CCD8" s="58"/>
      <c r="CCE8" s="58"/>
      <c r="CCF8" s="58"/>
      <c r="CCG8" s="58"/>
      <c r="CCH8" s="58"/>
      <c r="CCI8" s="58"/>
      <c r="CCJ8" s="58"/>
      <c r="CCK8" s="58"/>
      <c r="CCL8" s="58"/>
      <c r="CCM8" s="58"/>
      <c r="CCN8" s="58"/>
      <c r="CCO8" s="58"/>
      <c r="CCP8" s="58"/>
      <c r="CCQ8" s="58"/>
      <c r="CCR8" s="58"/>
      <c r="CCS8" s="58"/>
      <c r="CCT8" s="58"/>
      <c r="CCU8" s="58"/>
      <c r="CCV8" s="58"/>
      <c r="CCW8" s="58"/>
      <c r="CCX8" s="58"/>
      <c r="CCY8" s="58"/>
      <c r="CCZ8" s="58"/>
      <c r="CDA8" s="58"/>
      <c r="CDB8" s="58"/>
      <c r="CDC8" s="58"/>
      <c r="CDD8" s="58"/>
      <c r="CDE8" s="58"/>
      <c r="CDF8" s="58"/>
      <c r="CDG8" s="58"/>
      <c r="CDH8" s="58"/>
      <c r="CDI8" s="58"/>
      <c r="CDJ8" s="58"/>
      <c r="CDK8" s="58"/>
      <c r="CDL8" s="58"/>
      <c r="CDM8" s="58"/>
      <c r="CDN8" s="58"/>
      <c r="CDO8" s="58"/>
      <c r="CDP8" s="58"/>
      <c r="CDQ8" s="58"/>
      <c r="CDR8" s="58"/>
      <c r="CDS8" s="58"/>
      <c r="CDT8" s="58"/>
      <c r="CDU8" s="58"/>
      <c r="CDV8" s="58"/>
      <c r="CDW8" s="58"/>
      <c r="CDX8" s="58"/>
      <c r="CDY8" s="58"/>
      <c r="CDZ8" s="58"/>
      <c r="CEA8" s="58"/>
      <c r="CEB8" s="58"/>
      <c r="CEC8" s="58"/>
      <c r="CED8" s="58"/>
      <c r="CEE8" s="58"/>
      <c r="CEF8" s="58"/>
      <c r="CEG8" s="58"/>
      <c r="CEH8" s="58"/>
      <c r="CEI8" s="58"/>
      <c r="CEJ8" s="58"/>
      <c r="CEK8" s="58"/>
      <c r="CEL8" s="58"/>
      <c r="CEM8" s="58"/>
      <c r="CEN8" s="58"/>
      <c r="CEO8" s="58"/>
      <c r="CEP8" s="58"/>
      <c r="CEQ8" s="58"/>
      <c r="CER8" s="58"/>
      <c r="CES8" s="58"/>
      <c r="CET8" s="58"/>
      <c r="CEU8" s="58"/>
      <c r="CEV8" s="58"/>
      <c r="CEW8" s="58"/>
      <c r="CEX8" s="58"/>
      <c r="CEY8" s="58"/>
      <c r="CEZ8" s="58"/>
      <c r="CFA8" s="58"/>
      <c r="CFB8" s="58"/>
      <c r="CFC8" s="58"/>
      <c r="CFD8" s="58"/>
      <c r="CFE8" s="58"/>
      <c r="CFF8" s="58"/>
      <c r="CFG8" s="58"/>
      <c r="CFH8" s="58"/>
      <c r="CFI8" s="58"/>
      <c r="CFJ8" s="58"/>
      <c r="CFK8" s="58"/>
      <c r="CFL8" s="58"/>
      <c r="CFM8" s="58"/>
      <c r="CFN8" s="58"/>
      <c r="CFO8" s="58"/>
      <c r="CFP8" s="58"/>
      <c r="CFQ8" s="58"/>
      <c r="CFR8" s="58"/>
      <c r="CFS8" s="58"/>
      <c r="CFT8" s="58"/>
      <c r="CFU8" s="58"/>
      <c r="CFV8" s="58"/>
      <c r="CFW8" s="58"/>
      <c r="CFX8" s="58"/>
      <c r="CFY8" s="58"/>
      <c r="CFZ8" s="58"/>
      <c r="CGA8" s="58"/>
      <c r="CGB8" s="58"/>
      <c r="CGC8" s="58"/>
      <c r="CGD8" s="58"/>
      <c r="CGE8" s="58"/>
      <c r="CGF8" s="58"/>
      <c r="CGG8" s="58"/>
      <c r="CGH8" s="58"/>
      <c r="CGI8" s="58"/>
      <c r="CGJ8" s="58"/>
      <c r="CGK8" s="58"/>
      <c r="CGL8" s="58"/>
      <c r="CGM8" s="58"/>
      <c r="CGN8" s="58"/>
      <c r="CGO8" s="58"/>
      <c r="CGP8" s="58"/>
      <c r="CGQ8" s="58"/>
      <c r="CGR8" s="58"/>
      <c r="CGS8" s="58"/>
      <c r="CGT8" s="58"/>
      <c r="CGU8" s="58"/>
      <c r="CGV8" s="58"/>
      <c r="CGW8" s="58"/>
      <c r="CGX8" s="58"/>
      <c r="CGY8" s="58"/>
      <c r="CGZ8" s="58"/>
      <c r="CHA8" s="58"/>
      <c r="CHB8" s="58"/>
      <c r="CHC8" s="58"/>
      <c r="CHD8" s="58"/>
      <c r="CHE8" s="58"/>
      <c r="CHF8" s="58"/>
      <c r="CHG8" s="58"/>
      <c r="CHH8" s="58"/>
      <c r="CHI8" s="58"/>
      <c r="CHJ8" s="58"/>
      <c r="CHK8" s="58"/>
      <c r="CHL8" s="58"/>
      <c r="CHM8" s="58"/>
      <c r="CHN8" s="58"/>
      <c r="CHO8" s="58"/>
      <c r="CHP8" s="58"/>
      <c r="CHQ8" s="58"/>
      <c r="CHR8" s="58"/>
      <c r="CHS8" s="58"/>
      <c r="CHT8" s="58"/>
      <c r="CHU8" s="58"/>
      <c r="CHV8" s="58"/>
      <c r="CHW8" s="58"/>
      <c r="CHX8" s="58"/>
      <c r="CHY8" s="58"/>
      <c r="CHZ8" s="58"/>
      <c r="CIA8" s="58"/>
      <c r="CIB8" s="58"/>
      <c r="CIC8" s="58"/>
      <c r="CID8" s="58"/>
      <c r="CIE8" s="58"/>
      <c r="CIF8" s="58"/>
      <c r="CIG8" s="58"/>
      <c r="CIH8" s="58"/>
      <c r="CII8" s="58"/>
      <c r="CIJ8" s="58"/>
      <c r="CIK8" s="58"/>
      <c r="CIL8" s="58"/>
      <c r="CIM8" s="58"/>
      <c r="CIN8" s="58"/>
      <c r="CIO8" s="58"/>
      <c r="CIP8" s="58"/>
      <c r="CIQ8" s="58"/>
      <c r="CIR8" s="58"/>
      <c r="CIS8" s="58"/>
      <c r="CIT8" s="58"/>
      <c r="CIU8" s="58"/>
      <c r="CIV8" s="58"/>
      <c r="CIW8" s="58"/>
      <c r="CIX8" s="58"/>
      <c r="CIY8" s="58"/>
      <c r="CIZ8" s="58"/>
      <c r="CJA8" s="58"/>
      <c r="CJB8" s="58"/>
      <c r="CJC8" s="58"/>
      <c r="CJD8" s="58"/>
      <c r="CJE8" s="58"/>
      <c r="CJF8" s="58"/>
      <c r="CJG8" s="58"/>
      <c r="CJH8" s="58"/>
      <c r="CJI8" s="58"/>
      <c r="CJJ8" s="58"/>
      <c r="CJK8" s="58"/>
      <c r="CJL8" s="58"/>
      <c r="CJM8" s="58"/>
      <c r="CJN8" s="58"/>
      <c r="CJO8" s="58"/>
      <c r="CJP8" s="58"/>
      <c r="CJQ8" s="58"/>
      <c r="CJR8" s="58"/>
      <c r="CJS8" s="58"/>
      <c r="CJT8" s="58"/>
      <c r="CJU8" s="58"/>
      <c r="CJV8" s="58"/>
      <c r="CJW8" s="58"/>
      <c r="CJX8" s="58"/>
      <c r="CJY8" s="58"/>
      <c r="CJZ8" s="58"/>
      <c r="CKA8" s="58"/>
      <c r="CKB8" s="58"/>
      <c r="CKC8" s="58"/>
      <c r="CKD8" s="58"/>
      <c r="CKE8" s="58"/>
      <c r="CKF8" s="58"/>
      <c r="CKG8" s="58"/>
      <c r="CKH8" s="58"/>
      <c r="CKI8" s="58"/>
      <c r="CKJ8" s="58"/>
      <c r="CKK8" s="58"/>
      <c r="CKL8" s="58"/>
      <c r="CKM8" s="58"/>
      <c r="CKN8" s="58"/>
      <c r="CKO8" s="58"/>
      <c r="CKP8" s="58"/>
      <c r="CKQ8" s="58"/>
      <c r="CKR8" s="58"/>
      <c r="CKS8" s="58"/>
      <c r="CKT8" s="58"/>
      <c r="CKU8" s="58"/>
      <c r="CKV8" s="58"/>
      <c r="CKW8" s="58"/>
      <c r="CKX8" s="58"/>
      <c r="CKY8" s="58"/>
      <c r="CKZ8" s="58"/>
      <c r="CLA8" s="58"/>
      <c r="CLB8" s="58"/>
      <c r="CLC8" s="58"/>
      <c r="CLD8" s="58"/>
      <c r="CLE8" s="58"/>
      <c r="CLF8" s="58"/>
      <c r="CLG8" s="58"/>
      <c r="CLH8" s="58"/>
      <c r="CLI8" s="58"/>
      <c r="CLJ8" s="58"/>
      <c r="CLK8" s="58"/>
      <c r="CLL8" s="58"/>
      <c r="CLM8" s="58"/>
      <c r="CLN8" s="58"/>
      <c r="CLO8" s="58"/>
      <c r="CLP8" s="58"/>
      <c r="CLQ8" s="58"/>
      <c r="CLR8" s="58"/>
      <c r="CLS8" s="58"/>
      <c r="CLT8" s="58"/>
      <c r="CLU8" s="58"/>
      <c r="CLV8" s="58"/>
      <c r="CLW8" s="58"/>
      <c r="CLX8" s="58"/>
      <c r="CLY8" s="58"/>
      <c r="CLZ8" s="58"/>
      <c r="CMA8" s="58"/>
      <c r="CMB8" s="58"/>
      <c r="CMC8" s="58"/>
      <c r="CMD8" s="58"/>
      <c r="CME8" s="58"/>
      <c r="CMF8" s="58"/>
      <c r="CMG8" s="58"/>
      <c r="CMH8" s="58"/>
      <c r="CMI8" s="58"/>
      <c r="CMJ8" s="58"/>
      <c r="CMK8" s="58"/>
      <c r="CML8" s="58"/>
      <c r="CMM8" s="58"/>
      <c r="CMN8" s="58"/>
      <c r="CMO8" s="58"/>
      <c r="CMP8" s="58"/>
      <c r="CMQ8" s="58"/>
      <c r="CMR8" s="58"/>
      <c r="CMS8" s="58"/>
      <c r="CMT8" s="58"/>
      <c r="CMU8" s="58"/>
      <c r="CMV8" s="58"/>
      <c r="CMW8" s="58"/>
      <c r="CMX8" s="58"/>
      <c r="CMY8" s="58"/>
      <c r="CMZ8" s="58"/>
      <c r="CNA8" s="58"/>
      <c r="CNB8" s="58"/>
      <c r="CNC8" s="58"/>
      <c r="CND8" s="58"/>
      <c r="CNE8" s="58"/>
      <c r="CNF8" s="58"/>
      <c r="CNG8" s="58"/>
      <c r="CNH8" s="58"/>
      <c r="CNI8" s="58"/>
      <c r="CNJ8" s="58"/>
      <c r="CNK8" s="58"/>
      <c r="CNL8" s="58"/>
      <c r="CNM8" s="58"/>
      <c r="CNN8" s="58"/>
      <c r="CNO8" s="58"/>
      <c r="CNP8" s="58"/>
      <c r="CNQ8" s="58"/>
      <c r="CNR8" s="58"/>
      <c r="CNS8" s="58"/>
      <c r="CNT8" s="58"/>
      <c r="CNU8" s="58"/>
      <c r="CNV8" s="58"/>
      <c r="CNW8" s="58"/>
      <c r="CNX8" s="58"/>
      <c r="CNY8" s="58"/>
      <c r="CNZ8" s="58"/>
      <c r="COA8" s="58"/>
      <c r="COB8" s="58"/>
      <c r="COC8" s="58"/>
      <c r="COD8" s="58"/>
      <c r="COE8" s="58"/>
      <c r="COF8" s="58"/>
      <c r="COG8" s="58"/>
      <c r="COH8" s="58"/>
      <c r="COI8" s="58"/>
      <c r="COJ8" s="58"/>
      <c r="COK8" s="58"/>
      <c r="COL8" s="58"/>
      <c r="COM8" s="58"/>
      <c r="CON8" s="58"/>
      <c r="COO8" s="58"/>
      <c r="COP8" s="58"/>
      <c r="COQ8" s="58"/>
      <c r="COR8" s="58"/>
      <c r="COS8" s="58"/>
      <c r="COT8" s="58"/>
      <c r="COU8" s="58"/>
      <c r="COV8" s="58"/>
      <c r="COW8" s="58"/>
      <c r="COX8" s="58"/>
      <c r="COY8" s="58"/>
      <c r="COZ8" s="58"/>
      <c r="CPA8" s="58"/>
      <c r="CPB8" s="58"/>
      <c r="CPC8" s="58"/>
      <c r="CPD8" s="58"/>
      <c r="CPE8" s="58"/>
      <c r="CPF8" s="58"/>
      <c r="CPG8" s="58"/>
      <c r="CPH8" s="58"/>
      <c r="CPI8" s="58"/>
      <c r="CPJ8" s="58"/>
      <c r="CPK8" s="58"/>
      <c r="CPL8" s="58"/>
      <c r="CPM8" s="58"/>
      <c r="CPN8" s="58"/>
      <c r="CPO8" s="58"/>
      <c r="CPP8" s="58"/>
      <c r="CPQ8" s="58"/>
      <c r="CPR8" s="58"/>
      <c r="CPS8" s="58"/>
      <c r="CPT8" s="58"/>
      <c r="CPU8" s="58"/>
      <c r="CPV8" s="58"/>
      <c r="CPW8" s="58"/>
      <c r="CPX8" s="58"/>
      <c r="CPY8" s="58"/>
      <c r="CPZ8" s="58"/>
      <c r="CQA8" s="58"/>
      <c r="CQB8" s="58"/>
      <c r="CQC8" s="58"/>
      <c r="CQD8" s="58"/>
      <c r="CQE8" s="58"/>
      <c r="CQF8" s="58"/>
      <c r="CQG8" s="58"/>
      <c r="CQH8" s="58"/>
      <c r="CQI8" s="58"/>
      <c r="CQJ8" s="58"/>
      <c r="CQK8" s="58"/>
      <c r="CQL8" s="58"/>
      <c r="CQM8" s="58"/>
      <c r="CQN8" s="58"/>
      <c r="CQO8" s="58"/>
      <c r="CQP8" s="58"/>
      <c r="CQQ8" s="58"/>
      <c r="CQR8" s="58"/>
      <c r="CQS8" s="58"/>
      <c r="CQT8" s="58"/>
      <c r="CQU8" s="58"/>
      <c r="CQV8" s="58"/>
      <c r="CQW8" s="58"/>
      <c r="CQX8" s="58"/>
      <c r="CQY8" s="58"/>
      <c r="CQZ8" s="58"/>
      <c r="CRA8" s="58"/>
      <c r="CRB8" s="58"/>
      <c r="CRC8" s="58"/>
      <c r="CRD8" s="58"/>
      <c r="CRE8" s="58"/>
      <c r="CRF8" s="58"/>
      <c r="CRG8" s="58"/>
      <c r="CRH8" s="58"/>
      <c r="CRI8" s="58"/>
      <c r="CRJ8" s="58"/>
      <c r="CRK8" s="58"/>
      <c r="CRL8" s="58"/>
      <c r="CRM8" s="58"/>
      <c r="CRN8" s="58"/>
      <c r="CRO8" s="58"/>
      <c r="CRP8" s="58"/>
      <c r="CRQ8" s="58"/>
      <c r="CRR8" s="58"/>
      <c r="CRS8" s="58"/>
      <c r="CRT8" s="58"/>
      <c r="CRU8" s="58"/>
      <c r="CRV8" s="58"/>
      <c r="CRW8" s="58"/>
      <c r="CRX8" s="58"/>
      <c r="CRY8" s="58"/>
      <c r="CRZ8" s="58"/>
      <c r="CSA8" s="58"/>
      <c r="CSB8" s="58"/>
      <c r="CSC8" s="58"/>
      <c r="CSD8" s="58"/>
      <c r="CSE8" s="58"/>
      <c r="CSF8" s="58"/>
      <c r="CSG8" s="58"/>
      <c r="CSH8" s="58"/>
      <c r="CSI8" s="58"/>
      <c r="CSJ8" s="58"/>
      <c r="CSK8" s="58"/>
      <c r="CSL8" s="58"/>
      <c r="CSM8" s="58"/>
      <c r="CSN8" s="58"/>
      <c r="CSO8" s="58"/>
      <c r="CSP8" s="58"/>
      <c r="CSQ8" s="58"/>
      <c r="CSR8" s="58"/>
      <c r="CSS8" s="58"/>
      <c r="CST8" s="58"/>
      <c r="CSU8" s="58"/>
      <c r="CSV8" s="58"/>
      <c r="CSW8" s="58"/>
      <c r="CSX8" s="58"/>
      <c r="CSY8" s="58"/>
      <c r="CSZ8" s="58"/>
      <c r="CTA8" s="58"/>
      <c r="CTB8" s="58"/>
      <c r="CTC8" s="58"/>
      <c r="CTD8" s="58"/>
      <c r="CTE8" s="58"/>
      <c r="CTF8" s="58"/>
      <c r="CTG8" s="58"/>
      <c r="CTH8" s="58"/>
      <c r="CTI8" s="58"/>
      <c r="CTJ8" s="58"/>
      <c r="CTK8" s="58"/>
      <c r="CTL8" s="58"/>
      <c r="CTM8" s="58"/>
      <c r="CTN8" s="58"/>
      <c r="CTO8" s="58"/>
      <c r="CTP8" s="58"/>
      <c r="CTQ8" s="58"/>
      <c r="CTR8" s="58"/>
      <c r="CTS8" s="58"/>
      <c r="CTT8" s="58"/>
      <c r="CTU8" s="58"/>
      <c r="CTV8" s="58"/>
      <c r="CTW8" s="58"/>
      <c r="CTX8" s="58"/>
      <c r="CTY8" s="58"/>
      <c r="CTZ8" s="58"/>
      <c r="CUA8" s="58"/>
      <c r="CUB8" s="58"/>
      <c r="CUC8" s="58"/>
      <c r="CUD8" s="58"/>
      <c r="CUE8" s="58"/>
      <c r="CUF8" s="58"/>
      <c r="CUG8" s="58"/>
      <c r="CUH8" s="58"/>
      <c r="CUI8" s="58"/>
      <c r="CUJ8" s="58"/>
      <c r="CUK8" s="58"/>
      <c r="CUL8" s="58"/>
      <c r="CUM8" s="58"/>
      <c r="CUN8" s="58"/>
      <c r="CUO8" s="58"/>
      <c r="CUP8" s="58"/>
      <c r="CUQ8" s="58"/>
      <c r="CUR8" s="58"/>
      <c r="CUS8" s="58"/>
      <c r="CUT8" s="58"/>
      <c r="CUU8" s="58"/>
      <c r="CUV8" s="58"/>
      <c r="CUW8" s="58"/>
      <c r="CUX8" s="58"/>
      <c r="CUY8" s="58"/>
      <c r="CUZ8" s="58"/>
      <c r="CVA8" s="58"/>
      <c r="CVB8" s="58"/>
      <c r="CVC8" s="58"/>
      <c r="CVD8" s="58"/>
      <c r="CVE8" s="58"/>
      <c r="CVF8" s="58"/>
      <c r="CVG8" s="58"/>
      <c r="CVH8" s="58"/>
      <c r="CVI8" s="58"/>
      <c r="CVJ8" s="58"/>
      <c r="CVK8" s="58"/>
      <c r="CVL8" s="58"/>
      <c r="CVM8" s="58"/>
      <c r="CVN8" s="58"/>
      <c r="CVO8" s="58"/>
      <c r="CVP8" s="58"/>
      <c r="CVQ8" s="58"/>
      <c r="CVR8" s="58"/>
      <c r="CVS8" s="58"/>
      <c r="CVT8" s="58"/>
      <c r="CVU8" s="58"/>
      <c r="CVV8" s="58"/>
      <c r="CVW8" s="58"/>
      <c r="CVX8" s="58"/>
      <c r="CVY8" s="58"/>
      <c r="CVZ8" s="58"/>
      <c r="CWA8" s="58"/>
      <c r="CWB8" s="58"/>
      <c r="CWC8" s="58"/>
      <c r="CWD8" s="58"/>
      <c r="CWE8" s="58"/>
      <c r="CWF8" s="58"/>
      <c r="CWG8" s="58"/>
      <c r="CWH8" s="58"/>
      <c r="CWI8" s="58"/>
      <c r="CWJ8" s="58"/>
      <c r="CWK8" s="58"/>
      <c r="CWL8" s="58"/>
      <c r="CWM8" s="58"/>
      <c r="CWN8" s="58"/>
      <c r="CWO8" s="58"/>
      <c r="CWP8" s="58"/>
      <c r="CWQ8" s="58"/>
      <c r="CWR8" s="58"/>
      <c r="CWS8" s="58"/>
      <c r="CWT8" s="58"/>
      <c r="CWU8" s="58"/>
      <c r="CWV8" s="58"/>
      <c r="CWW8" s="58"/>
      <c r="CWX8" s="58"/>
      <c r="CWY8" s="58"/>
      <c r="CWZ8" s="58"/>
      <c r="CXA8" s="58"/>
      <c r="CXB8" s="58"/>
      <c r="CXC8" s="58"/>
      <c r="CXD8" s="58"/>
      <c r="CXE8" s="58"/>
      <c r="CXF8" s="58"/>
      <c r="CXG8" s="58"/>
      <c r="CXH8" s="58"/>
      <c r="CXI8" s="58"/>
      <c r="CXJ8" s="58"/>
      <c r="CXK8" s="58"/>
      <c r="CXL8" s="58"/>
      <c r="CXM8" s="58"/>
      <c r="CXN8" s="58"/>
      <c r="CXO8" s="58"/>
      <c r="CXP8" s="58"/>
      <c r="CXQ8" s="58"/>
      <c r="CXR8" s="58"/>
      <c r="CXS8" s="58"/>
      <c r="CXT8" s="58"/>
      <c r="CXU8" s="58"/>
      <c r="CXV8" s="58"/>
      <c r="CXW8" s="58"/>
      <c r="CXX8" s="58"/>
      <c r="CXY8" s="58"/>
      <c r="CXZ8" s="58"/>
      <c r="CYA8" s="58"/>
      <c r="CYB8" s="58"/>
      <c r="CYC8" s="58"/>
      <c r="CYD8" s="58"/>
      <c r="CYE8" s="58"/>
      <c r="CYF8" s="58"/>
      <c r="CYG8" s="58"/>
      <c r="CYH8" s="58"/>
      <c r="CYI8" s="58"/>
      <c r="CYJ8" s="58"/>
      <c r="CYK8" s="58"/>
      <c r="CYL8" s="58"/>
      <c r="CYM8" s="58"/>
      <c r="CYN8" s="58"/>
      <c r="CYO8" s="58"/>
      <c r="CYP8" s="58"/>
      <c r="CYQ8" s="58"/>
      <c r="CYR8" s="58"/>
      <c r="CYS8" s="58"/>
      <c r="CYT8" s="58"/>
      <c r="CYU8" s="58"/>
      <c r="CYV8" s="58"/>
      <c r="CYW8" s="58"/>
      <c r="CYX8" s="58"/>
      <c r="CYY8" s="58"/>
      <c r="CYZ8" s="58"/>
      <c r="CZA8" s="58"/>
      <c r="CZB8" s="58"/>
      <c r="CZC8" s="58"/>
      <c r="CZD8" s="58"/>
      <c r="CZE8" s="58"/>
      <c r="CZF8" s="58"/>
      <c r="CZG8" s="58"/>
      <c r="CZH8" s="58"/>
      <c r="CZI8" s="58"/>
      <c r="CZJ8" s="58"/>
      <c r="CZK8" s="58"/>
      <c r="CZL8" s="58"/>
      <c r="CZM8" s="58"/>
      <c r="CZN8" s="58"/>
      <c r="CZO8" s="58"/>
      <c r="CZP8" s="58"/>
      <c r="CZQ8" s="58"/>
      <c r="CZR8" s="58"/>
      <c r="CZS8" s="58"/>
      <c r="CZT8" s="58"/>
      <c r="CZU8" s="58"/>
      <c r="CZV8" s="58"/>
      <c r="CZW8" s="58"/>
      <c r="CZX8" s="58"/>
      <c r="CZY8" s="58"/>
      <c r="CZZ8" s="58"/>
      <c r="DAA8" s="58"/>
      <c r="DAB8" s="58"/>
      <c r="DAC8" s="58"/>
      <c r="DAD8" s="58"/>
      <c r="DAE8" s="58"/>
      <c r="DAF8" s="58"/>
      <c r="DAG8" s="58"/>
      <c r="DAH8" s="58"/>
      <c r="DAI8" s="58"/>
      <c r="DAJ8" s="58"/>
      <c r="DAK8" s="58"/>
      <c r="DAL8" s="58"/>
      <c r="DAM8" s="58"/>
      <c r="DAN8" s="58"/>
      <c r="DAO8" s="58"/>
      <c r="DAP8" s="58"/>
      <c r="DAQ8" s="58"/>
      <c r="DAR8" s="58"/>
      <c r="DAS8" s="58"/>
      <c r="DAT8" s="58"/>
      <c r="DAU8" s="58"/>
      <c r="DAV8" s="58"/>
      <c r="DAW8" s="58"/>
      <c r="DAX8" s="58"/>
      <c r="DAY8" s="58"/>
      <c r="DAZ8" s="58"/>
      <c r="DBA8" s="58"/>
      <c r="DBB8" s="58"/>
      <c r="DBC8" s="58"/>
      <c r="DBD8" s="58"/>
      <c r="DBE8" s="58"/>
      <c r="DBF8" s="58"/>
      <c r="DBG8" s="58"/>
      <c r="DBH8" s="58"/>
      <c r="DBI8" s="58"/>
      <c r="DBJ8" s="58"/>
      <c r="DBK8" s="58"/>
      <c r="DBL8" s="58"/>
      <c r="DBM8" s="58"/>
      <c r="DBN8" s="58"/>
      <c r="DBO8" s="58"/>
      <c r="DBP8" s="58"/>
      <c r="DBQ8" s="58"/>
      <c r="DBR8" s="58"/>
      <c r="DBS8" s="58"/>
      <c r="DBT8" s="58"/>
      <c r="DBU8" s="58"/>
      <c r="DBV8" s="58"/>
      <c r="DBW8" s="58"/>
      <c r="DBX8" s="58"/>
      <c r="DBY8" s="58"/>
      <c r="DBZ8" s="58"/>
      <c r="DCA8" s="58"/>
      <c r="DCB8" s="58"/>
      <c r="DCC8" s="58"/>
      <c r="DCD8" s="58"/>
      <c r="DCE8" s="58"/>
      <c r="DCF8" s="58"/>
      <c r="DCG8" s="58"/>
      <c r="DCH8" s="58"/>
      <c r="DCI8" s="58"/>
      <c r="DCJ8" s="58"/>
      <c r="DCK8" s="58"/>
      <c r="DCL8" s="58"/>
      <c r="DCM8" s="58"/>
      <c r="DCN8" s="58"/>
      <c r="DCO8" s="58"/>
      <c r="DCP8" s="58"/>
      <c r="DCQ8" s="58"/>
      <c r="DCR8" s="58"/>
      <c r="DCS8" s="58"/>
      <c r="DCT8" s="58"/>
      <c r="DCU8" s="58"/>
      <c r="DCV8" s="58"/>
      <c r="DCW8" s="58"/>
      <c r="DCX8" s="58"/>
      <c r="DCY8" s="58"/>
      <c r="DCZ8" s="58"/>
      <c r="DDA8" s="58"/>
      <c r="DDB8" s="58"/>
      <c r="DDC8" s="58"/>
      <c r="DDD8" s="58"/>
      <c r="DDE8" s="58"/>
      <c r="DDF8" s="58"/>
      <c r="DDG8" s="58"/>
      <c r="DDH8" s="58"/>
      <c r="DDI8" s="58"/>
      <c r="DDJ8" s="58"/>
      <c r="DDK8" s="58"/>
      <c r="DDL8" s="58"/>
      <c r="DDM8" s="58"/>
      <c r="DDN8" s="58"/>
      <c r="DDO8" s="58"/>
      <c r="DDP8" s="58"/>
      <c r="DDQ8" s="58"/>
      <c r="DDR8" s="58"/>
      <c r="DDS8" s="58"/>
      <c r="DDT8" s="58"/>
      <c r="DDU8" s="58"/>
      <c r="DDV8" s="58"/>
      <c r="DDW8" s="58"/>
      <c r="DDX8" s="58"/>
      <c r="DDY8" s="58"/>
      <c r="DDZ8" s="58"/>
      <c r="DEA8" s="58"/>
      <c r="DEB8" s="58"/>
      <c r="DEC8" s="58"/>
      <c r="DED8" s="58"/>
      <c r="DEE8" s="58"/>
      <c r="DEF8" s="58"/>
      <c r="DEG8" s="58"/>
      <c r="DEH8" s="58"/>
      <c r="DEI8" s="58"/>
      <c r="DEJ8" s="58"/>
      <c r="DEK8" s="58"/>
      <c r="DEL8" s="58"/>
      <c r="DEM8" s="58"/>
      <c r="DEN8" s="58"/>
      <c r="DEO8" s="58"/>
      <c r="DEP8" s="58"/>
      <c r="DEQ8" s="58"/>
      <c r="DER8" s="58"/>
      <c r="DES8" s="58"/>
      <c r="DET8" s="58"/>
      <c r="DEU8" s="58"/>
      <c r="DEV8" s="58"/>
      <c r="DEW8" s="58"/>
      <c r="DEX8" s="58"/>
      <c r="DEY8" s="58"/>
      <c r="DEZ8" s="58"/>
      <c r="DFA8" s="58"/>
      <c r="DFB8" s="58"/>
      <c r="DFC8" s="58"/>
      <c r="DFD8" s="58"/>
      <c r="DFE8" s="58"/>
      <c r="DFF8" s="58"/>
      <c r="DFG8" s="58"/>
      <c r="DFH8" s="58"/>
      <c r="DFI8" s="58"/>
      <c r="DFJ8" s="58"/>
      <c r="DFK8" s="58"/>
      <c r="DFL8" s="58"/>
      <c r="DFM8" s="58"/>
      <c r="DFN8" s="58"/>
      <c r="DFO8" s="58"/>
      <c r="DFP8" s="58"/>
      <c r="DFQ8" s="58"/>
      <c r="DFR8" s="58"/>
      <c r="DFS8" s="58"/>
      <c r="DFT8" s="58"/>
      <c r="DFU8" s="58"/>
      <c r="DFV8" s="58"/>
      <c r="DFW8" s="58"/>
      <c r="DFX8" s="58"/>
      <c r="DFY8" s="58"/>
      <c r="DFZ8" s="58"/>
      <c r="DGA8" s="58"/>
      <c r="DGB8" s="58"/>
      <c r="DGC8" s="58"/>
      <c r="DGD8" s="58"/>
      <c r="DGE8" s="58"/>
      <c r="DGF8" s="58"/>
      <c r="DGG8" s="58"/>
      <c r="DGH8" s="58"/>
      <c r="DGI8" s="58"/>
      <c r="DGJ8" s="58"/>
      <c r="DGK8" s="58"/>
      <c r="DGL8" s="58"/>
      <c r="DGM8" s="58"/>
      <c r="DGN8" s="58"/>
      <c r="DGO8" s="58"/>
      <c r="DGP8" s="58"/>
      <c r="DGQ8" s="58"/>
      <c r="DGR8" s="58"/>
      <c r="DGS8" s="58"/>
      <c r="DGT8" s="58"/>
      <c r="DGU8" s="58"/>
      <c r="DGV8" s="58"/>
      <c r="DGW8" s="58"/>
      <c r="DGX8" s="58"/>
      <c r="DGY8" s="58"/>
      <c r="DGZ8" s="58"/>
      <c r="DHA8" s="58"/>
      <c r="DHB8" s="58"/>
      <c r="DHC8" s="58"/>
      <c r="DHD8" s="58"/>
      <c r="DHE8" s="58"/>
      <c r="DHF8" s="58"/>
      <c r="DHG8" s="58"/>
      <c r="DHH8" s="58"/>
      <c r="DHI8" s="58"/>
      <c r="DHJ8" s="58"/>
      <c r="DHK8" s="58"/>
      <c r="DHL8" s="58"/>
      <c r="DHM8" s="58"/>
      <c r="DHN8" s="58"/>
      <c r="DHO8" s="58"/>
      <c r="DHP8" s="58"/>
      <c r="DHQ8" s="58"/>
      <c r="DHR8" s="58"/>
      <c r="DHS8" s="58"/>
      <c r="DHT8" s="58"/>
      <c r="DHU8" s="58"/>
      <c r="DHV8" s="58"/>
      <c r="DHW8" s="58"/>
      <c r="DHX8" s="58"/>
      <c r="DHY8" s="58"/>
      <c r="DHZ8" s="58"/>
      <c r="DIA8" s="58"/>
      <c r="DIB8" s="58"/>
      <c r="DIC8" s="58"/>
      <c r="DID8" s="58"/>
      <c r="DIE8" s="58"/>
      <c r="DIF8" s="58"/>
      <c r="DIG8" s="58"/>
      <c r="DIH8" s="58"/>
      <c r="DII8" s="58"/>
      <c r="DIJ8" s="58"/>
      <c r="DIK8" s="58"/>
      <c r="DIL8" s="58"/>
      <c r="DIM8" s="58"/>
      <c r="DIN8" s="58"/>
      <c r="DIO8" s="58"/>
      <c r="DIP8" s="58"/>
      <c r="DIQ8" s="58"/>
      <c r="DIR8" s="58"/>
      <c r="DIS8" s="58"/>
      <c r="DIT8" s="58"/>
      <c r="DIU8" s="58"/>
      <c r="DIV8" s="58"/>
      <c r="DIW8" s="58"/>
      <c r="DIX8" s="58"/>
      <c r="DIY8" s="58"/>
      <c r="DIZ8" s="58"/>
      <c r="DJA8" s="58"/>
      <c r="DJB8" s="58"/>
      <c r="DJC8" s="58"/>
      <c r="DJD8" s="58"/>
      <c r="DJE8" s="58"/>
      <c r="DJF8" s="58"/>
      <c r="DJG8" s="58"/>
      <c r="DJH8" s="58"/>
      <c r="DJI8" s="58"/>
      <c r="DJJ8" s="58"/>
      <c r="DJK8" s="58"/>
      <c r="DJL8" s="58"/>
      <c r="DJM8" s="58"/>
      <c r="DJN8" s="58"/>
      <c r="DJO8" s="58"/>
      <c r="DJP8" s="58"/>
      <c r="DJQ8" s="58"/>
      <c r="DJR8" s="58"/>
      <c r="DJS8" s="58"/>
      <c r="DJT8" s="58"/>
      <c r="DJU8" s="58"/>
      <c r="DJV8" s="58"/>
      <c r="DJW8" s="58"/>
      <c r="DJX8" s="58"/>
      <c r="DJY8" s="58"/>
      <c r="DJZ8" s="58"/>
      <c r="DKA8" s="58"/>
      <c r="DKB8" s="58"/>
      <c r="DKC8" s="58"/>
      <c r="DKD8" s="58"/>
      <c r="DKE8" s="58"/>
      <c r="DKF8" s="58"/>
      <c r="DKG8" s="58"/>
      <c r="DKH8" s="58"/>
      <c r="DKI8" s="58"/>
      <c r="DKJ8" s="58"/>
      <c r="DKK8" s="58"/>
      <c r="DKL8" s="58"/>
      <c r="DKM8" s="58"/>
      <c r="DKN8" s="58"/>
      <c r="DKO8" s="58"/>
      <c r="DKP8" s="58"/>
      <c r="DKQ8" s="58"/>
      <c r="DKR8" s="58"/>
      <c r="DKS8" s="58"/>
      <c r="DKT8" s="58"/>
      <c r="DKU8" s="58"/>
      <c r="DKV8" s="58"/>
      <c r="DKW8" s="58"/>
      <c r="DKX8" s="58"/>
      <c r="DKY8" s="58"/>
      <c r="DKZ8" s="58"/>
      <c r="DLA8" s="58"/>
      <c r="DLB8" s="58"/>
      <c r="DLC8" s="58"/>
      <c r="DLD8" s="58"/>
      <c r="DLE8" s="58"/>
      <c r="DLF8" s="58"/>
      <c r="DLG8" s="58"/>
      <c r="DLH8" s="58"/>
      <c r="DLI8" s="58"/>
      <c r="DLJ8" s="58"/>
      <c r="DLK8" s="58"/>
      <c r="DLL8" s="58"/>
      <c r="DLM8" s="58"/>
      <c r="DLN8" s="58"/>
      <c r="DLO8" s="58"/>
      <c r="DLP8" s="58"/>
      <c r="DLQ8" s="58"/>
      <c r="DLR8" s="58"/>
      <c r="DLS8" s="58"/>
      <c r="DLT8" s="58"/>
      <c r="DLU8" s="58"/>
      <c r="DLV8" s="58"/>
      <c r="DLW8" s="58"/>
      <c r="DLX8" s="58"/>
      <c r="DLY8" s="58"/>
      <c r="DLZ8" s="58"/>
      <c r="DMA8" s="58"/>
      <c r="DMB8" s="58"/>
      <c r="DMC8" s="58"/>
      <c r="DMD8" s="58"/>
      <c r="DME8" s="58"/>
      <c r="DMF8" s="58"/>
      <c r="DMG8" s="58"/>
      <c r="DMH8" s="58"/>
      <c r="DMI8" s="58"/>
      <c r="DMJ8" s="58"/>
      <c r="DMK8" s="58"/>
      <c r="DML8" s="58"/>
      <c r="DMM8" s="58"/>
      <c r="DMN8" s="58"/>
      <c r="DMO8" s="58"/>
      <c r="DMP8" s="58"/>
      <c r="DMQ8" s="58"/>
      <c r="DMR8" s="58"/>
      <c r="DMS8" s="58"/>
      <c r="DMT8" s="58"/>
      <c r="DMU8" s="58"/>
      <c r="DMV8" s="58"/>
      <c r="DMW8" s="58"/>
      <c r="DMX8" s="58"/>
      <c r="DMY8" s="58"/>
      <c r="DMZ8" s="58"/>
      <c r="DNA8" s="58"/>
      <c r="DNB8" s="58"/>
      <c r="DNC8" s="58"/>
      <c r="DND8" s="58"/>
      <c r="DNE8" s="58"/>
      <c r="DNF8" s="58"/>
      <c r="DNG8" s="58"/>
      <c r="DNH8" s="58"/>
      <c r="DNI8" s="58"/>
      <c r="DNJ8" s="58"/>
      <c r="DNK8" s="58"/>
      <c r="DNL8" s="58"/>
      <c r="DNM8" s="58"/>
      <c r="DNN8" s="58"/>
      <c r="DNO8" s="58"/>
      <c r="DNP8" s="58"/>
      <c r="DNQ8" s="58"/>
      <c r="DNR8" s="58"/>
      <c r="DNS8" s="58"/>
      <c r="DNT8" s="58"/>
      <c r="DNU8" s="58"/>
      <c r="DNV8" s="58"/>
      <c r="DNW8" s="58"/>
      <c r="DNX8" s="58"/>
      <c r="DNY8" s="58"/>
      <c r="DNZ8" s="58"/>
      <c r="DOA8" s="58"/>
      <c r="DOB8" s="58"/>
      <c r="DOC8" s="58"/>
      <c r="DOD8" s="58"/>
      <c r="DOE8" s="58"/>
      <c r="DOF8" s="58"/>
      <c r="DOG8" s="58"/>
      <c r="DOH8" s="58"/>
      <c r="DOI8" s="58"/>
      <c r="DOJ8" s="58"/>
      <c r="DOK8" s="58"/>
      <c r="DOL8" s="58"/>
      <c r="DOM8" s="58"/>
      <c r="DON8" s="58"/>
      <c r="DOO8" s="58"/>
      <c r="DOP8" s="58"/>
      <c r="DOQ8" s="58"/>
      <c r="DOR8" s="58"/>
      <c r="DOS8" s="58"/>
      <c r="DOT8" s="58"/>
      <c r="DOU8" s="58"/>
      <c r="DOV8" s="58"/>
      <c r="DOW8" s="58"/>
      <c r="DOX8" s="58"/>
      <c r="DOY8" s="58"/>
      <c r="DOZ8" s="58"/>
      <c r="DPA8" s="58"/>
      <c r="DPB8" s="58"/>
      <c r="DPC8" s="58"/>
      <c r="DPD8" s="58"/>
      <c r="DPE8" s="58"/>
      <c r="DPF8" s="58"/>
      <c r="DPG8" s="58"/>
      <c r="DPH8" s="58"/>
      <c r="DPI8" s="58"/>
      <c r="DPJ8" s="58"/>
      <c r="DPK8" s="58"/>
      <c r="DPL8" s="58"/>
      <c r="DPM8" s="58"/>
      <c r="DPN8" s="58"/>
      <c r="DPO8" s="58"/>
      <c r="DPP8" s="58"/>
      <c r="DPQ8" s="58"/>
      <c r="DPR8" s="58"/>
      <c r="DPS8" s="58"/>
      <c r="DPT8" s="58"/>
      <c r="DPU8" s="58"/>
      <c r="DPV8" s="58"/>
      <c r="DPW8" s="58"/>
      <c r="DPX8" s="58"/>
      <c r="DPY8" s="58"/>
      <c r="DPZ8" s="58"/>
      <c r="DQA8" s="58"/>
      <c r="DQB8" s="58"/>
      <c r="DQC8" s="58"/>
      <c r="DQD8" s="58"/>
      <c r="DQE8" s="58"/>
      <c r="DQF8" s="58"/>
      <c r="DQG8" s="58"/>
      <c r="DQH8" s="58"/>
      <c r="DQI8" s="58"/>
      <c r="DQJ8" s="58"/>
      <c r="DQK8" s="58"/>
      <c r="DQL8" s="58"/>
      <c r="DQM8" s="58"/>
      <c r="DQN8" s="58"/>
      <c r="DQO8" s="58"/>
      <c r="DQP8" s="58"/>
      <c r="DQQ8" s="58"/>
      <c r="DQR8" s="58"/>
      <c r="DQS8" s="58"/>
      <c r="DQT8" s="58"/>
      <c r="DQU8" s="58"/>
      <c r="DQV8" s="58"/>
      <c r="DQW8" s="58"/>
      <c r="DQX8" s="58"/>
      <c r="DQY8" s="58"/>
      <c r="DQZ8" s="58"/>
      <c r="DRA8" s="58"/>
      <c r="DRB8" s="58"/>
      <c r="DRC8" s="58"/>
      <c r="DRD8" s="58"/>
      <c r="DRE8" s="58"/>
      <c r="DRF8" s="58"/>
      <c r="DRG8" s="58"/>
      <c r="DRH8" s="58"/>
      <c r="DRI8" s="58"/>
      <c r="DRJ8" s="58"/>
      <c r="DRK8" s="58"/>
      <c r="DRL8" s="58"/>
      <c r="DRM8" s="58"/>
      <c r="DRN8" s="58"/>
      <c r="DRO8" s="58"/>
      <c r="DRP8" s="58"/>
      <c r="DRQ8" s="58"/>
      <c r="DRR8" s="58"/>
      <c r="DRS8" s="58"/>
      <c r="DRT8" s="58"/>
      <c r="DRU8" s="58"/>
      <c r="DRV8" s="58"/>
      <c r="DRW8" s="58"/>
      <c r="DRX8" s="58"/>
      <c r="DRY8" s="58"/>
      <c r="DRZ8" s="58"/>
      <c r="DSA8" s="58"/>
      <c r="DSB8" s="58"/>
      <c r="DSC8" s="58"/>
      <c r="DSD8" s="58"/>
      <c r="DSE8" s="58"/>
      <c r="DSF8" s="58"/>
      <c r="DSG8" s="58"/>
      <c r="DSH8" s="58"/>
      <c r="DSI8" s="58"/>
      <c r="DSJ8" s="58"/>
      <c r="DSK8" s="58"/>
      <c r="DSL8" s="58"/>
      <c r="DSM8" s="58"/>
      <c r="DSN8" s="58"/>
      <c r="DSO8" s="58"/>
      <c r="DSP8" s="58"/>
      <c r="DSQ8" s="58"/>
      <c r="DSR8" s="58"/>
      <c r="DSS8" s="58"/>
      <c r="DST8" s="58"/>
      <c r="DSU8" s="58"/>
      <c r="DSV8" s="58"/>
      <c r="DSW8" s="58"/>
      <c r="DSX8" s="58"/>
      <c r="DSY8" s="58"/>
      <c r="DSZ8" s="58"/>
      <c r="DTA8" s="58"/>
      <c r="DTB8" s="58"/>
      <c r="DTC8" s="58"/>
      <c r="DTD8" s="58"/>
      <c r="DTE8" s="58"/>
      <c r="DTF8" s="58"/>
      <c r="DTG8" s="58"/>
      <c r="DTH8" s="58"/>
      <c r="DTI8" s="58"/>
      <c r="DTJ8" s="58"/>
      <c r="DTK8" s="58"/>
      <c r="DTL8" s="58"/>
      <c r="DTM8" s="58"/>
      <c r="DTN8" s="58"/>
      <c r="DTO8" s="58"/>
      <c r="DTP8" s="58"/>
      <c r="DTQ8" s="58"/>
      <c r="DTR8" s="58"/>
      <c r="DTS8" s="58"/>
      <c r="DTT8" s="58"/>
      <c r="DTU8" s="58"/>
      <c r="DTV8" s="58"/>
      <c r="DTW8" s="58"/>
      <c r="DTX8" s="58"/>
      <c r="DTY8" s="58"/>
      <c r="DTZ8" s="58"/>
      <c r="DUA8" s="58"/>
      <c r="DUB8" s="58"/>
      <c r="DUC8" s="58"/>
      <c r="DUD8" s="58"/>
      <c r="DUE8" s="58"/>
      <c r="DUF8" s="58"/>
      <c r="DUG8" s="58"/>
      <c r="DUH8" s="58"/>
      <c r="DUI8" s="58"/>
      <c r="DUJ8" s="58"/>
      <c r="DUK8" s="58"/>
      <c r="DUL8" s="58"/>
      <c r="DUM8" s="58"/>
      <c r="DUN8" s="58"/>
      <c r="DUO8" s="58"/>
      <c r="DUP8" s="58"/>
      <c r="DUQ8" s="58"/>
      <c r="DUR8" s="58"/>
      <c r="DUS8" s="58"/>
      <c r="DUT8" s="58"/>
      <c r="DUU8" s="58"/>
      <c r="DUV8" s="58"/>
      <c r="DUW8" s="58"/>
      <c r="DUX8" s="58"/>
      <c r="DUY8" s="58"/>
      <c r="DUZ8" s="58"/>
      <c r="DVA8" s="58"/>
      <c r="DVB8" s="58"/>
      <c r="DVC8" s="58"/>
      <c r="DVD8" s="58"/>
      <c r="DVE8" s="58"/>
      <c r="DVF8" s="58"/>
      <c r="DVG8" s="58"/>
      <c r="DVH8" s="58"/>
      <c r="DVI8" s="58"/>
      <c r="DVJ8" s="58"/>
      <c r="DVK8" s="58"/>
      <c r="DVL8" s="58"/>
      <c r="DVM8" s="58"/>
      <c r="DVN8" s="58"/>
      <c r="DVO8" s="58"/>
      <c r="DVP8" s="58"/>
      <c r="DVQ8" s="58"/>
      <c r="DVR8" s="58"/>
      <c r="DVS8" s="58"/>
      <c r="DVT8" s="58"/>
      <c r="DVU8" s="58"/>
      <c r="DVV8" s="58"/>
      <c r="DVW8" s="58"/>
      <c r="DVX8" s="58"/>
      <c r="DVY8" s="58"/>
      <c r="DVZ8" s="58"/>
      <c r="DWA8" s="58"/>
      <c r="DWB8" s="58"/>
      <c r="DWC8" s="58"/>
      <c r="DWD8" s="58"/>
      <c r="DWE8" s="58"/>
      <c r="DWF8" s="58"/>
      <c r="DWG8" s="58"/>
      <c r="DWH8" s="58"/>
      <c r="DWI8" s="58"/>
      <c r="DWJ8" s="58"/>
      <c r="DWK8" s="58"/>
      <c r="DWL8" s="58"/>
      <c r="DWM8" s="58"/>
      <c r="DWN8" s="58"/>
      <c r="DWO8" s="58"/>
      <c r="DWP8" s="58"/>
      <c r="DWQ8" s="58"/>
      <c r="DWR8" s="58"/>
      <c r="DWS8" s="58"/>
      <c r="DWT8" s="58"/>
      <c r="DWU8" s="58"/>
      <c r="DWV8" s="58"/>
      <c r="DWW8" s="58"/>
      <c r="DWX8" s="58"/>
      <c r="DWY8" s="58"/>
      <c r="DWZ8" s="58"/>
      <c r="DXA8" s="58"/>
      <c r="DXB8" s="58"/>
      <c r="DXC8" s="58"/>
      <c r="DXD8" s="58"/>
      <c r="DXE8" s="58"/>
      <c r="DXF8" s="58"/>
      <c r="DXG8" s="58"/>
      <c r="DXH8" s="58"/>
      <c r="DXI8" s="58"/>
      <c r="DXJ8" s="58"/>
      <c r="DXK8" s="58"/>
      <c r="DXL8" s="58"/>
      <c r="DXM8" s="58"/>
      <c r="DXN8" s="58"/>
      <c r="DXO8" s="58"/>
      <c r="DXP8" s="58"/>
      <c r="DXQ8" s="58"/>
      <c r="DXR8" s="58"/>
      <c r="DXS8" s="58"/>
      <c r="DXT8" s="58"/>
      <c r="DXU8" s="58"/>
      <c r="DXV8" s="58"/>
      <c r="DXW8" s="58"/>
      <c r="DXX8" s="58"/>
      <c r="DXY8" s="58"/>
      <c r="DXZ8" s="58"/>
      <c r="DYA8" s="58"/>
      <c r="DYB8" s="58"/>
      <c r="DYC8" s="58"/>
      <c r="DYD8" s="58"/>
      <c r="DYE8" s="58"/>
      <c r="DYF8" s="58"/>
      <c r="DYG8" s="58"/>
      <c r="DYH8" s="58"/>
      <c r="DYI8" s="58"/>
      <c r="DYJ8" s="58"/>
      <c r="DYK8" s="58"/>
      <c r="DYL8" s="58"/>
      <c r="DYM8" s="58"/>
      <c r="DYN8" s="58"/>
      <c r="DYO8" s="58"/>
      <c r="DYP8" s="58"/>
      <c r="DYQ8" s="58"/>
      <c r="DYR8" s="58"/>
      <c r="DYS8" s="58"/>
      <c r="DYT8" s="58"/>
      <c r="DYU8" s="58"/>
      <c r="DYV8" s="58"/>
      <c r="DYW8" s="58"/>
      <c r="DYX8" s="58"/>
      <c r="DYY8" s="58"/>
      <c r="DYZ8" s="58"/>
      <c r="DZA8" s="58"/>
      <c r="DZB8" s="58"/>
      <c r="DZC8" s="58"/>
      <c r="DZD8" s="58"/>
      <c r="DZE8" s="58"/>
      <c r="DZF8" s="58"/>
      <c r="DZG8" s="58"/>
      <c r="DZH8" s="58"/>
      <c r="DZI8" s="58"/>
      <c r="DZJ8" s="58"/>
      <c r="DZK8" s="58"/>
      <c r="DZL8" s="58"/>
      <c r="DZM8" s="58"/>
      <c r="DZN8" s="58"/>
      <c r="DZO8" s="58"/>
      <c r="DZP8" s="58"/>
      <c r="DZQ8" s="58"/>
      <c r="DZR8" s="58"/>
      <c r="DZS8" s="58"/>
      <c r="DZT8" s="58"/>
      <c r="DZU8" s="58"/>
      <c r="DZV8" s="58"/>
      <c r="DZW8" s="58"/>
      <c r="DZX8" s="58"/>
      <c r="DZY8" s="58"/>
      <c r="DZZ8" s="58"/>
      <c r="EAA8" s="58"/>
      <c r="EAB8" s="58"/>
      <c r="EAC8" s="58"/>
      <c r="EAD8" s="58"/>
      <c r="EAE8" s="58"/>
      <c r="EAF8" s="58"/>
      <c r="EAG8" s="58"/>
      <c r="EAH8" s="58"/>
      <c r="EAI8" s="58"/>
      <c r="EAJ8" s="58"/>
      <c r="EAK8" s="58"/>
      <c r="EAL8" s="58"/>
      <c r="EAM8" s="58"/>
      <c r="EAN8" s="58"/>
      <c r="EAO8" s="58"/>
      <c r="EAP8" s="58"/>
      <c r="EAQ8" s="58"/>
      <c r="EAR8" s="58"/>
      <c r="EAS8" s="58"/>
      <c r="EAT8" s="58"/>
      <c r="EAU8" s="58"/>
      <c r="EAV8" s="58"/>
      <c r="EAW8" s="58"/>
      <c r="EAX8" s="58"/>
      <c r="EAY8" s="58"/>
      <c r="EAZ8" s="58"/>
      <c r="EBA8" s="58"/>
      <c r="EBB8" s="58"/>
      <c r="EBC8" s="58"/>
      <c r="EBD8" s="58"/>
      <c r="EBE8" s="58"/>
      <c r="EBF8" s="58"/>
      <c r="EBG8" s="58"/>
      <c r="EBH8" s="58"/>
      <c r="EBI8" s="58"/>
      <c r="EBJ8" s="58"/>
      <c r="EBK8" s="58"/>
      <c r="EBL8" s="58"/>
      <c r="EBM8" s="58"/>
      <c r="EBN8" s="58"/>
      <c r="EBO8" s="58"/>
      <c r="EBP8" s="58"/>
      <c r="EBQ8" s="58"/>
      <c r="EBR8" s="58"/>
      <c r="EBS8" s="58"/>
      <c r="EBT8" s="58"/>
      <c r="EBU8" s="58"/>
      <c r="EBV8" s="58"/>
      <c r="EBW8" s="58"/>
      <c r="EBX8" s="58"/>
      <c r="EBY8" s="58"/>
      <c r="EBZ8" s="58"/>
      <c r="ECA8" s="58"/>
      <c r="ECB8" s="58"/>
      <c r="ECC8" s="58"/>
      <c r="ECD8" s="58"/>
      <c r="ECE8" s="58"/>
      <c r="ECF8" s="58"/>
      <c r="ECG8" s="58"/>
      <c r="ECH8" s="58"/>
      <c r="ECI8" s="58"/>
      <c r="ECJ8" s="58"/>
      <c r="ECK8" s="58"/>
      <c r="ECL8" s="58"/>
      <c r="ECM8" s="58"/>
      <c r="ECN8" s="58"/>
      <c r="ECO8" s="58"/>
      <c r="ECP8" s="58"/>
      <c r="ECQ8" s="58"/>
      <c r="ECR8" s="58"/>
      <c r="ECS8" s="58"/>
      <c r="ECT8" s="58"/>
      <c r="ECU8" s="58"/>
      <c r="ECV8" s="58"/>
      <c r="ECW8" s="58"/>
      <c r="ECX8" s="58"/>
      <c r="ECY8" s="58"/>
      <c r="ECZ8" s="58"/>
      <c r="EDA8" s="58"/>
      <c r="EDB8" s="58"/>
      <c r="EDC8" s="58"/>
      <c r="EDD8" s="58"/>
      <c r="EDE8" s="58"/>
      <c r="EDF8" s="58"/>
      <c r="EDG8" s="58"/>
      <c r="EDH8" s="58"/>
      <c r="EDI8" s="58"/>
      <c r="EDJ8" s="58"/>
      <c r="EDK8" s="58"/>
      <c r="EDL8" s="58"/>
      <c r="EDM8" s="58"/>
      <c r="EDN8" s="58"/>
      <c r="EDO8" s="58"/>
      <c r="EDP8" s="58"/>
      <c r="EDQ8" s="58"/>
      <c r="EDR8" s="58"/>
      <c r="EDS8" s="58"/>
      <c r="EDT8" s="58"/>
      <c r="EDU8" s="58"/>
      <c r="EDV8" s="58"/>
      <c r="EDW8" s="58"/>
      <c r="EDX8" s="58"/>
      <c r="EDY8" s="58"/>
      <c r="EDZ8" s="58"/>
      <c r="EEA8" s="58"/>
      <c r="EEB8" s="58"/>
      <c r="EEC8" s="58"/>
      <c r="EED8" s="58"/>
      <c r="EEE8" s="58"/>
      <c r="EEF8" s="58"/>
      <c r="EEG8" s="58"/>
      <c r="EEH8" s="58"/>
      <c r="EEI8" s="58"/>
      <c r="EEJ8" s="58"/>
      <c r="EEK8" s="58"/>
      <c r="EEL8" s="58"/>
      <c r="EEM8" s="58"/>
      <c r="EEN8" s="58"/>
      <c r="EEO8" s="58"/>
      <c r="EEP8" s="58"/>
      <c r="EEQ8" s="58"/>
      <c r="EER8" s="58"/>
      <c r="EES8" s="58"/>
      <c r="EET8" s="58"/>
      <c r="EEU8" s="58"/>
      <c r="EEV8" s="58"/>
      <c r="EEW8" s="58"/>
      <c r="EEX8" s="58"/>
      <c r="EEY8" s="58"/>
      <c r="EEZ8" s="58"/>
      <c r="EFA8" s="58"/>
      <c r="EFB8" s="58"/>
      <c r="EFC8" s="58"/>
      <c r="EFD8" s="58"/>
      <c r="EFE8" s="58"/>
      <c r="EFF8" s="58"/>
      <c r="EFG8" s="58"/>
      <c r="EFH8" s="58"/>
      <c r="EFI8" s="58"/>
      <c r="EFJ8" s="58"/>
      <c r="EFK8" s="58"/>
      <c r="EFL8" s="58"/>
      <c r="EFM8" s="58"/>
      <c r="EFN8" s="58"/>
      <c r="EFO8" s="58"/>
      <c r="EFP8" s="58"/>
      <c r="EFQ8" s="58"/>
      <c r="EFR8" s="58"/>
      <c r="EFS8" s="58"/>
      <c r="EFT8" s="58"/>
      <c r="EFU8" s="58"/>
      <c r="EFV8" s="58"/>
      <c r="EFW8" s="58"/>
      <c r="EFX8" s="58"/>
      <c r="EFY8" s="58"/>
      <c r="EFZ8" s="58"/>
      <c r="EGA8" s="58"/>
      <c r="EGB8" s="58"/>
      <c r="EGC8" s="58"/>
      <c r="EGD8" s="58"/>
      <c r="EGE8" s="58"/>
      <c r="EGF8" s="58"/>
      <c r="EGG8" s="58"/>
      <c r="EGH8" s="58"/>
      <c r="EGI8" s="58"/>
      <c r="EGJ8" s="58"/>
      <c r="EGK8" s="58"/>
      <c r="EGL8" s="58"/>
      <c r="EGM8" s="58"/>
      <c r="EGN8" s="58"/>
      <c r="EGO8" s="58"/>
      <c r="EGP8" s="58"/>
      <c r="EGQ8" s="58"/>
      <c r="EGR8" s="58"/>
      <c r="EGS8" s="58"/>
      <c r="EGT8" s="58"/>
      <c r="EGU8" s="58"/>
      <c r="EGV8" s="58"/>
      <c r="EGW8" s="58"/>
      <c r="EGX8" s="58"/>
      <c r="EGY8" s="58"/>
      <c r="EGZ8" s="58"/>
      <c r="EHA8" s="58"/>
      <c r="EHB8" s="58"/>
      <c r="EHC8" s="58"/>
      <c r="EHD8" s="58"/>
      <c r="EHE8" s="58"/>
      <c r="EHF8" s="58"/>
      <c r="EHG8" s="58"/>
      <c r="EHH8" s="58"/>
      <c r="EHI8" s="58"/>
      <c r="EHJ8" s="58"/>
      <c r="EHK8" s="58"/>
      <c r="EHL8" s="58"/>
      <c r="EHM8" s="58"/>
      <c r="EHN8" s="58"/>
      <c r="EHO8" s="58"/>
      <c r="EHP8" s="58"/>
      <c r="EHQ8" s="58"/>
      <c r="EHR8" s="58"/>
      <c r="EHS8" s="58"/>
      <c r="EHT8" s="58"/>
      <c r="EHU8" s="58"/>
      <c r="EHV8" s="58"/>
      <c r="EHW8" s="58"/>
      <c r="EHX8" s="58"/>
      <c r="EHY8" s="58"/>
      <c r="EHZ8" s="58"/>
      <c r="EIA8" s="58"/>
      <c r="EIB8" s="58"/>
      <c r="EIC8" s="58"/>
      <c r="EID8" s="58"/>
      <c r="EIE8" s="58"/>
      <c r="EIF8" s="58"/>
      <c r="EIG8" s="58"/>
      <c r="EIH8" s="58"/>
      <c r="EII8" s="58"/>
      <c r="EIJ8" s="58"/>
      <c r="EIK8" s="58"/>
      <c r="EIL8" s="58"/>
      <c r="EIM8" s="58"/>
      <c r="EIN8" s="58"/>
      <c r="EIO8" s="58"/>
      <c r="EIP8" s="58"/>
      <c r="EIQ8" s="58"/>
      <c r="EIR8" s="58"/>
      <c r="EIS8" s="58"/>
      <c r="EIT8" s="58"/>
      <c r="EIU8" s="58"/>
      <c r="EIV8" s="58"/>
      <c r="EIW8" s="58"/>
      <c r="EIX8" s="58"/>
      <c r="EIY8" s="58"/>
      <c r="EIZ8" s="58"/>
      <c r="EJA8" s="58"/>
      <c r="EJB8" s="58"/>
      <c r="EJC8" s="58"/>
      <c r="EJD8" s="58"/>
      <c r="EJE8" s="58"/>
      <c r="EJF8" s="58"/>
      <c r="EJG8" s="58"/>
      <c r="EJH8" s="58"/>
      <c r="EJI8" s="58"/>
      <c r="EJJ8" s="58"/>
      <c r="EJK8" s="58"/>
      <c r="EJL8" s="58"/>
      <c r="EJM8" s="58"/>
      <c r="EJN8" s="58"/>
      <c r="EJO8" s="58"/>
      <c r="EJP8" s="58"/>
      <c r="EJQ8" s="58"/>
      <c r="EJR8" s="58"/>
      <c r="EJS8" s="58"/>
      <c r="EJT8" s="58"/>
      <c r="EJU8" s="58"/>
      <c r="EJV8" s="58"/>
      <c r="EJW8" s="58"/>
      <c r="EJX8" s="58"/>
      <c r="EJY8" s="58"/>
      <c r="EJZ8" s="58"/>
      <c r="EKA8" s="58"/>
      <c r="EKB8" s="58"/>
      <c r="EKC8" s="58"/>
      <c r="EKD8" s="58"/>
      <c r="EKE8" s="58"/>
      <c r="EKF8" s="58"/>
      <c r="EKG8" s="58"/>
      <c r="EKH8" s="58"/>
      <c r="EKI8" s="58"/>
      <c r="EKJ8" s="58"/>
      <c r="EKK8" s="58"/>
      <c r="EKL8" s="58"/>
      <c r="EKM8" s="58"/>
      <c r="EKN8" s="58"/>
      <c r="EKO8" s="58"/>
      <c r="EKP8" s="58"/>
      <c r="EKQ8" s="58"/>
      <c r="EKR8" s="58"/>
      <c r="EKS8" s="58"/>
      <c r="EKT8" s="58"/>
      <c r="EKU8" s="58"/>
      <c r="EKV8" s="58"/>
      <c r="EKW8" s="58"/>
      <c r="EKX8" s="58"/>
      <c r="EKY8" s="58"/>
      <c r="EKZ8" s="58"/>
      <c r="ELA8" s="58"/>
      <c r="ELB8" s="58"/>
      <c r="ELC8" s="58"/>
      <c r="ELD8" s="58"/>
      <c r="ELE8" s="58"/>
      <c r="ELF8" s="58"/>
      <c r="ELG8" s="58"/>
      <c r="ELH8" s="58"/>
      <c r="ELI8" s="58"/>
      <c r="ELJ8" s="58"/>
      <c r="ELK8" s="58"/>
      <c r="ELL8" s="58"/>
      <c r="ELM8" s="58"/>
      <c r="ELN8" s="58"/>
      <c r="ELO8" s="58"/>
      <c r="ELP8" s="58"/>
      <c r="ELQ8" s="58"/>
      <c r="ELR8" s="58"/>
      <c r="ELS8" s="58"/>
      <c r="ELT8" s="58"/>
      <c r="ELU8" s="58"/>
      <c r="ELV8" s="58"/>
      <c r="ELW8" s="58"/>
      <c r="ELX8" s="58"/>
      <c r="ELY8" s="58"/>
      <c r="ELZ8" s="58"/>
      <c r="EMA8" s="58"/>
      <c r="EMB8" s="58"/>
      <c r="EMC8" s="58"/>
      <c r="EMD8" s="58"/>
      <c r="EME8" s="58"/>
      <c r="EMF8" s="58"/>
      <c r="EMG8" s="58"/>
      <c r="EMH8" s="58"/>
      <c r="EMI8" s="58"/>
      <c r="EMJ8" s="58"/>
      <c r="EMK8" s="58"/>
      <c r="EML8" s="58"/>
      <c r="EMM8" s="58"/>
      <c r="EMN8" s="58"/>
      <c r="EMO8" s="58"/>
      <c r="EMP8" s="58"/>
      <c r="EMQ8" s="58"/>
      <c r="EMR8" s="58"/>
      <c r="EMS8" s="58"/>
      <c r="EMT8" s="58"/>
      <c r="EMU8" s="58"/>
      <c r="EMV8" s="58"/>
      <c r="EMW8" s="58"/>
      <c r="EMX8" s="58"/>
      <c r="EMY8" s="58"/>
      <c r="EMZ8" s="58"/>
      <c r="ENA8" s="58"/>
      <c r="ENB8" s="58"/>
      <c r="ENC8" s="58"/>
      <c r="END8" s="58"/>
      <c r="ENE8" s="58"/>
      <c r="ENF8" s="58"/>
      <c r="ENG8" s="58"/>
      <c r="ENH8" s="58"/>
      <c r="ENI8" s="58"/>
      <c r="ENJ8" s="58"/>
      <c r="ENK8" s="58"/>
      <c r="ENL8" s="58"/>
      <c r="ENM8" s="58"/>
      <c r="ENN8" s="58"/>
      <c r="ENO8" s="58"/>
      <c r="ENP8" s="58"/>
      <c r="ENQ8" s="58"/>
      <c r="ENR8" s="58"/>
      <c r="ENS8" s="58"/>
      <c r="ENT8" s="58"/>
      <c r="ENU8" s="58"/>
      <c r="ENV8" s="58"/>
      <c r="ENW8" s="58"/>
      <c r="ENX8" s="58"/>
      <c r="ENY8" s="58"/>
      <c r="ENZ8" s="58"/>
      <c r="EOA8" s="58"/>
      <c r="EOB8" s="58"/>
      <c r="EOC8" s="58"/>
      <c r="EOD8" s="58"/>
      <c r="EOE8" s="58"/>
      <c r="EOF8" s="58"/>
      <c r="EOG8" s="58"/>
      <c r="EOH8" s="58"/>
      <c r="EOI8" s="58"/>
      <c r="EOJ8" s="58"/>
      <c r="EOK8" s="58"/>
      <c r="EOL8" s="58"/>
      <c r="EOM8" s="58"/>
      <c r="EON8" s="58"/>
      <c r="EOO8" s="58"/>
      <c r="EOP8" s="58"/>
      <c r="EOQ8" s="58"/>
      <c r="EOR8" s="58"/>
      <c r="EOS8" s="58"/>
      <c r="EOT8" s="58"/>
      <c r="EOU8" s="58"/>
      <c r="EOV8" s="58"/>
      <c r="EOW8" s="58"/>
      <c r="EOX8" s="58"/>
      <c r="EOY8" s="58"/>
      <c r="EOZ8" s="58"/>
      <c r="EPA8" s="58"/>
      <c r="EPB8" s="58"/>
      <c r="EPC8" s="58"/>
      <c r="EPD8" s="58"/>
      <c r="EPE8" s="58"/>
      <c r="EPF8" s="58"/>
      <c r="EPG8" s="58"/>
      <c r="EPH8" s="58"/>
      <c r="EPI8" s="58"/>
      <c r="EPJ8" s="58"/>
      <c r="EPK8" s="58"/>
      <c r="EPL8" s="58"/>
      <c r="EPM8" s="58"/>
      <c r="EPN8" s="58"/>
      <c r="EPO8" s="58"/>
      <c r="EPP8" s="58"/>
      <c r="EPQ8" s="58"/>
      <c r="EPR8" s="58"/>
      <c r="EPS8" s="58"/>
      <c r="EPT8" s="58"/>
      <c r="EPU8" s="58"/>
      <c r="EPV8" s="58"/>
      <c r="EPW8" s="58"/>
      <c r="EPX8" s="58"/>
      <c r="EPY8" s="58"/>
      <c r="EPZ8" s="58"/>
      <c r="EQA8" s="58"/>
      <c r="EQB8" s="58"/>
      <c r="EQC8" s="58"/>
      <c r="EQD8" s="58"/>
      <c r="EQE8" s="58"/>
      <c r="EQF8" s="58"/>
      <c r="EQG8" s="58"/>
      <c r="EQH8" s="58"/>
      <c r="EQI8" s="58"/>
      <c r="EQJ8" s="58"/>
      <c r="EQK8" s="58"/>
      <c r="EQL8" s="58"/>
      <c r="EQM8" s="58"/>
      <c r="EQN8" s="58"/>
      <c r="EQO8" s="58"/>
      <c r="EQP8" s="58"/>
      <c r="EQQ8" s="58"/>
      <c r="EQR8" s="58"/>
      <c r="EQS8" s="58"/>
      <c r="EQT8" s="58"/>
      <c r="EQU8" s="58"/>
      <c r="EQV8" s="58"/>
      <c r="EQW8" s="58"/>
      <c r="EQX8" s="58"/>
      <c r="EQY8" s="58"/>
      <c r="EQZ8" s="58"/>
      <c r="ERA8" s="58"/>
      <c r="ERB8" s="58"/>
      <c r="ERC8" s="58"/>
      <c r="ERD8" s="58"/>
      <c r="ERE8" s="58"/>
      <c r="ERF8" s="58"/>
      <c r="ERG8" s="58"/>
      <c r="ERH8" s="58"/>
      <c r="ERI8" s="58"/>
      <c r="ERJ8" s="58"/>
      <c r="ERK8" s="58"/>
      <c r="ERL8" s="58"/>
      <c r="ERM8" s="58"/>
      <c r="ERN8" s="58"/>
      <c r="ERO8" s="58"/>
      <c r="ERP8" s="58"/>
      <c r="ERQ8" s="58"/>
      <c r="ERR8" s="58"/>
      <c r="ERS8" s="58"/>
      <c r="ERT8" s="58"/>
      <c r="ERU8" s="58"/>
      <c r="ERV8" s="58"/>
      <c r="ERW8" s="58"/>
      <c r="ERX8" s="58"/>
      <c r="ERY8" s="58"/>
      <c r="ERZ8" s="58"/>
      <c r="ESA8" s="58"/>
      <c r="ESB8" s="58"/>
      <c r="ESC8" s="58"/>
      <c r="ESD8" s="58"/>
      <c r="ESE8" s="58"/>
      <c r="ESF8" s="58"/>
      <c r="ESG8" s="58"/>
      <c r="ESH8" s="58"/>
      <c r="ESI8" s="58"/>
      <c r="ESJ8" s="58"/>
      <c r="ESK8" s="58"/>
      <c r="ESL8" s="58"/>
      <c r="ESM8" s="58"/>
      <c r="ESN8" s="58"/>
      <c r="ESO8" s="58"/>
      <c r="ESP8" s="58"/>
      <c r="ESQ8" s="58"/>
      <c r="ESR8" s="58"/>
      <c r="ESS8" s="58"/>
      <c r="EST8" s="58"/>
      <c r="ESU8" s="58"/>
      <c r="ESV8" s="58"/>
      <c r="ESW8" s="58"/>
      <c r="ESX8" s="58"/>
      <c r="ESY8" s="58"/>
      <c r="ESZ8" s="58"/>
      <c r="ETA8" s="58"/>
      <c r="ETB8" s="58"/>
      <c r="ETC8" s="58"/>
      <c r="ETD8" s="58"/>
      <c r="ETE8" s="58"/>
      <c r="ETF8" s="58"/>
      <c r="ETG8" s="58"/>
      <c r="ETH8" s="58"/>
      <c r="ETI8" s="58"/>
      <c r="ETJ8" s="58"/>
      <c r="ETK8" s="58"/>
      <c r="ETL8" s="58"/>
      <c r="ETM8" s="58"/>
      <c r="ETN8" s="58"/>
      <c r="ETO8" s="58"/>
      <c r="ETP8" s="58"/>
      <c r="ETQ8" s="58"/>
      <c r="ETR8" s="58"/>
      <c r="ETS8" s="58"/>
      <c r="ETT8" s="58"/>
      <c r="ETU8" s="58"/>
      <c r="ETV8" s="58"/>
      <c r="ETW8" s="58"/>
      <c r="ETX8" s="58"/>
      <c r="ETY8" s="58"/>
      <c r="ETZ8" s="58"/>
      <c r="EUA8" s="58"/>
      <c r="EUB8" s="58"/>
      <c r="EUC8" s="58"/>
      <c r="EUD8" s="58"/>
      <c r="EUE8" s="58"/>
      <c r="EUF8" s="58"/>
      <c r="EUG8" s="58"/>
      <c r="EUH8" s="58"/>
      <c r="EUI8" s="58"/>
      <c r="EUJ8" s="58"/>
      <c r="EUK8" s="58"/>
      <c r="EUL8" s="58"/>
      <c r="EUM8" s="58"/>
      <c r="EUN8" s="58"/>
      <c r="EUO8" s="58"/>
      <c r="EUP8" s="58"/>
      <c r="EUQ8" s="58"/>
      <c r="EUR8" s="58"/>
      <c r="EUS8" s="58"/>
      <c r="EUT8" s="58"/>
      <c r="EUU8" s="58"/>
      <c r="EUV8" s="58"/>
      <c r="EUW8" s="58"/>
      <c r="EUX8" s="58"/>
      <c r="EUY8" s="58"/>
      <c r="EUZ8" s="58"/>
      <c r="EVA8" s="58"/>
      <c r="EVB8" s="58"/>
      <c r="EVC8" s="58"/>
      <c r="EVD8" s="58"/>
      <c r="EVE8" s="58"/>
      <c r="EVF8" s="58"/>
      <c r="EVG8" s="58"/>
      <c r="EVH8" s="58"/>
      <c r="EVI8" s="58"/>
      <c r="EVJ8" s="58"/>
      <c r="EVK8" s="58"/>
      <c r="EVL8" s="58"/>
      <c r="EVM8" s="58"/>
      <c r="EVN8" s="58"/>
      <c r="EVO8" s="58"/>
      <c r="EVP8" s="58"/>
      <c r="EVQ8" s="58"/>
      <c r="EVR8" s="58"/>
      <c r="EVS8" s="58"/>
      <c r="EVT8" s="58"/>
      <c r="EVU8" s="58"/>
      <c r="EVV8" s="58"/>
      <c r="EVW8" s="58"/>
      <c r="EVX8" s="58"/>
      <c r="EVY8" s="58"/>
      <c r="EVZ8" s="58"/>
      <c r="EWA8" s="58"/>
      <c r="EWB8" s="58"/>
      <c r="EWC8" s="58"/>
      <c r="EWD8" s="58"/>
      <c r="EWE8" s="58"/>
      <c r="EWF8" s="58"/>
      <c r="EWG8" s="58"/>
      <c r="EWH8" s="58"/>
      <c r="EWI8" s="58"/>
      <c r="EWJ8" s="58"/>
      <c r="EWK8" s="58"/>
      <c r="EWL8" s="58"/>
      <c r="EWM8" s="58"/>
      <c r="EWN8" s="58"/>
      <c r="EWO8" s="58"/>
      <c r="EWP8" s="58"/>
      <c r="EWQ8" s="58"/>
      <c r="EWR8" s="58"/>
      <c r="EWS8" s="58"/>
      <c r="EWT8" s="58"/>
      <c r="EWU8" s="58"/>
      <c r="EWV8" s="58"/>
      <c r="EWW8" s="58"/>
      <c r="EWX8" s="58"/>
      <c r="EWY8" s="58"/>
      <c r="EWZ8" s="58"/>
      <c r="EXA8" s="58"/>
      <c r="EXB8" s="58"/>
      <c r="EXC8" s="58"/>
      <c r="EXD8" s="58"/>
      <c r="EXE8" s="58"/>
      <c r="EXF8" s="58"/>
      <c r="EXG8" s="58"/>
      <c r="EXH8" s="58"/>
      <c r="EXI8" s="58"/>
      <c r="EXJ8" s="58"/>
      <c r="EXK8" s="58"/>
      <c r="EXL8" s="58"/>
      <c r="EXM8" s="58"/>
      <c r="EXN8" s="58"/>
      <c r="EXO8" s="58"/>
      <c r="EXP8" s="58"/>
      <c r="EXQ8" s="58"/>
      <c r="EXR8" s="58"/>
      <c r="EXS8" s="58"/>
      <c r="EXT8" s="58"/>
      <c r="EXU8" s="58"/>
      <c r="EXV8" s="58"/>
      <c r="EXW8" s="58"/>
      <c r="EXX8" s="58"/>
      <c r="EXY8" s="58"/>
      <c r="EXZ8" s="58"/>
      <c r="EYA8" s="58"/>
      <c r="EYB8" s="58"/>
      <c r="EYC8" s="58"/>
      <c r="EYD8" s="58"/>
      <c r="EYE8" s="58"/>
      <c r="EYF8" s="58"/>
      <c r="EYG8" s="58"/>
      <c r="EYH8" s="58"/>
      <c r="EYI8" s="58"/>
      <c r="EYJ8" s="58"/>
      <c r="EYK8" s="58"/>
      <c r="EYL8" s="58"/>
      <c r="EYM8" s="58"/>
      <c r="EYN8" s="58"/>
      <c r="EYO8" s="58"/>
      <c r="EYP8" s="58"/>
      <c r="EYQ8" s="58"/>
      <c r="EYR8" s="58"/>
      <c r="EYS8" s="58"/>
      <c r="EYT8" s="58"/>
      <c r="EYU8" s="58"/>
      <c r="EYV8" s="58"/>
      <c r="EYW8" s="58"/>
      <c r="EYX8" s="58"/>
      <c r="EYY8" s="58"/>
      <c r="EYZ8" s="58"/>
      <c r="EZA8" s="58"/>
      <c r="EZB8" s="58"/>
      <c r="EZC8" s="58"/>
      <c r="EZD8" s="58"/>
      <c r="EZE8" s="58"/>
      <c r="EZF8" s="58"/>
      <c r="EZG8" s="58"/>
      <c r="EZH8" s="58"/>
      <c r="EZI8" s="58"/>
      <c r="EZJ8" s="58"/>
      <c r="EZK8" s="58"/>
      <c r="EZL8" s="58"/>
      <c r="EZM8" s="58"/>
      <c r="EZN8" s="58"/>
      <c r="EZO8" s="58"/>
      <c r="EZP8" s="58"/>
      <c r="EZQ8" s="58"/>
      <c r="EZR8" s="58"/>
      <c r="EZS8" s="58"/>
      <c r="EZT8" s="58"/>
      <c r="EZU8" s="58"/>
      <c r="EZV8" s="58"/>
      <c r="EZW8" s="58"/>
      <c r="EZX8" s="58"/>
      <c r="EZY8" s="58"/>
      <c r="EZZ8" s="58"/>
      <c r="FAA8" s="58"/>
      <c r="FAB8" s="58"/>
      <c r="FAC8" s="58"/>
      <c r="FAD8" s="58"/>
      <c r="FAE8" s="58"/>
      <c r="FAF8" s="58"/>
      <c r="FAG8" s="58"/>
      <c r="FAH8" s="58"/>
      <c r="FAI8" s="58"/>
      <c r="FAJ8" s="58"/>
      <c r="FAK8" s="58"/>
      <c r="FAL8" s="58"/>
      <c r="FAM8" s="58"/>
      <c r="FAN8" s="58"/>
      <c r="FAO8" s="58"/>
      <c r="FAP8" s="58"/>
      <c r="FAQ8" s="58"/>
      <c r="FAR8" s="58"/>
      <c r="FAS8" s="58"/>
      <c r="FAT8" s="58"/>
      <c r="FAU8" s="58"/>
      <c r="FAV8" s="58"/>
      <c r="FAW8" s="58"/>
      <c r="FAX8" s="58"/>
      <c r="FAY8" s="58"/>
      <c r="FAZ8" s="58"/>
      <c r="FBA8" s="58"/>
      <c r="FBB8" s="58"/>
      <c r="FBC8" s="58"/>
      <c r="FBD8" s="58"/>
      <c r="FBE8" s="58"/>
      <c r="FBF8" s="58"/>
      <c r="FBG8" s="58"/>
      <c r="FBH8" s="58"/>
      <c r="FBI8" s="58"/>
      <c r="FBJ8" s="58"/>
      <c r="FBK8" s="58"/>
      <c r="FBL8" s="58"/>
      <c r="FBM8" s="58"/>
      <c r="FBN8" s="58"/>
      <c r="FBO8" s="58"/>
      <c r="FBP8" s="58"/>
      <c r="FBQ8" s="58"/>
      <c r="FBR8" s="58"/>
      <c r="FBS8" s="58"/>
      <c r="FBT8" s="58"/>
      <c r="FBU8" s="58"/>
      <c r="FBV8" s="58"/>
      <c r="FBW8" s="58"/>
      <c r="FBX8" s="58"/>
      <c r="FBY8" s="58"/>
      <c r="FBZ8" s="58"/>
      <c r="FCA8" s="58"/>
      <c r="FCB8" s="58"/>
      <c r="FCC8" s="58"/>
      <c r="FCD8" s="58"/>
      <c r="FCE8" s="58"/>
      <c r="FCF8" s="58"/>
      <c r="FCG8" s="58"/>
      <c r="FCH8" s="58"/>
      <c r="FCI8" s="58"/>
      <c r="FCJ8" s="58"/>
      <c r="FCK8" s="58"/>
      <c r="FCL8" s="58"/>
      <c r="FCM8" s="58"/>
      <c r="FCN8" s="58"/>
      <c r="FCO8" s="58"/>
      <c r="FCP8" s="58"/>
      <c r="FCQ8" s="58"/>
      <c r="FCR8" s="58"/>
      <c r="FCS8" s="58"/>
      <c r="FCT8" s="58"/>
      <c r="FCU8" s="58"/>
      <c r="FCV8" s="58"/>
      <c r="FCW8" s="58"/>
      <c r="FCX8" s="58"/>
      <c r="FCY8" s="58"/>
      <c r="FCZ8" s="58"/>
      <c r="FDA8" s="58"/>
      <c r="FDB8" s="58"/>
      <c r="FDC8" s="58"/>
      <c r="FDD8" s="58"/>
      <c r="FDE8" s="58"/>
      <c r="FDF8" s="58"/>
      <c r="FDG8" s="58"/>
      <c r="FDH8" s="58"/>
      <c r="FDI8" s="58"/>
      <c r="FDJ8" s="58"/>
      <c r="FDK8" s="58"/>
      <c r="FDL8" s="58"/>
      <c r="FDM8" s="58"/>
      <c r="FDN8" s="58"/>
      <c r="FDO8" s="58"/>
      <c r="FDP8" s="58"/>
      <c r="FDQ8" s="58"/>
      <c r="FDR8" s="58"/>
      <c r="FDS8" s="58"/>
      <c r="FDT8" s="58"/>
      <c r="FDU8" s="58"/>
      <c r="FDV8" s="58"/>
      <c r="FDW8" s="58"/>
      <c r="FDX8" s="58"/>
      <c r="FDY8" s="58"/>
      <c r="FDZ8" s="58"/>
      <c r="FEA8" s="58"/>
      <c r="FEB8" s="58"/>
      <c r="FEC8" s="58"/>
      <c r="FED8" s="58"/>
      <c r="FEE8" s="58"/>
      <c r="FEF8" s="58"/>
      <c r="FEG8" s="58"/>
      <c r="FEH8" s="58"/>
      <c r="FEI8" s="58"/>
      <c r="FEJ8" s="58"/>
      <c r="FEK8" s="58"/>
      <c r="FEL8" s="58"/>
      <c r="FEM8" s="58"/>
      <c r="FEN8" s="58"/>
      <c r="FEO8" s="58"/>
      <c r="FEP8" s="58"/>
      <c r="FEQ8" s="58"/>
      <c r="FER8" s="58"/>
      <c r="FES8" s="58"/>
      <c r="FET8" s="58"/>
      <c r="FEU8" s="58"/>
      <c r="FEV8" s="58"/>
      <c r="FEW8" s="58"/>
      <c r="FEX8" s="58"/>
      <c r="FEY8" s="58"/>
      <c r="FEZ8" s="58"/>
      <c r="FFA8" s="58"/>
      <c r="FFB8" s="58"/>
      <c r="FFC8" s="58"/>
      <c r="FFD8" s="58"/>
      <c r="FFE8" s="58"/>
      <c r="FFF8" s="58"/>
      <c r="FFG8" s="58"/>
      <c r="FFH8" s="58"/>
      <c r="FFI8" s="58"/>
      <c r="FFJ8" s="58"/>
      <c r="FFK8" s="58"/>
      <c r="FFL8" s="58"/>
      <c r="FFM8" s="58"/>
      <c r="FFN8" s="58"/>
      <c r="FFO8" s="58"/>
      <c r="FFP8" s="58"/>
      <c r="FFQ8" s="58"/>
      <c r="FFR8" s="58"/>
      <c r="FFS8" s="58"/>
      <c r="FFT8" s="58"/>
      <c r="FFU8" s="58"/>
      <c r="FFV8" s="58"/>
      <c r="FFW8" s="58"/>
      <c r="FFX8" s="58"/>
      <c r="FFY8" s="58"/>
      <c r="FFZ8" s="58"/>
      <c r="FGA8" s="58"/>
      <c r="FGB8" s="58"/>
      <c r="FGC8" s="58"/>
      <c r="FGD8" s="58"/>
      <c r="FGE8" s="58"/>
      <c r="FGF8" s="58"/>
      <c r="FGG8" s="58"/>
      <c r="FGH8" s="58"/>
      <c r="FGI8" s="58"/>
      <c r="FGJ8" s="58"/>
      <c r="FGK8" s="58"/>
      <c r="FGL8" s="58"/>
      <c r="FGM8" s="58"/>
      <c r="FGN8" s="58"/>
      <c r="FGO8" s="58"/>
      <c r="FGP8" s="58"/>
      <c r="FGQ8" s="58"/>
      <c r="FGR8" s="58"/>
      <c r="FGS8" s="58"/>
      <c r="FGT8" s="58"/>
      <c r="FGU8" s="58"/>
      <c r="FGV8" s="58"/>
      <c r="FGW8" s="58"/>
      <c r="FGX8" s="58"/>
      <c r="FGY8" s="58"/>
      <c r="FGZ8" s="58"/>
      <c r="FHA8" s="58"/>
      <c r="FHB8" s="58"/>
      <c r="FHC8" s="58"/>
      <c r="FHD8" s="58"/>
      <c r="FHE8" s="58"/>
      <c r="FHF8" s="58"/>
      <c r="FHG8" s="58"/>
      <c r="FHH8" s="58"/>
      <c r="FHI8" s="58"/>
      <c r="FHJ8" s="58"/>
      <c r="FHK8" s="58"/>
      <c r="FHL8" s="58"/>
      <c r="FHM8" s="58"/>
      <c r="FHN8" s="58"/>
      <c r="FHO8" s="58"/>
      <c r="FHP8" s="58"/>
      <c r="FHQ8" s="58"/>
      <c r="FHR8" s="58"/>
      <c r="FHS8" s="58"/>
      <c r="FHT8" s="58"/>
      <c r="FHU8" s="58"/>
      <c r="FHV8" s="58"/>
      <c r="FHW8" s="58"/>
      <c r="FHX8" s="58"/>
      <c r="FHY8" s="58"/>
      <c r="FHZ8" s="58"/>
      <c r="FIA8" s="58"/>
      <c r="FIB8" s="58"/>
      <c r="FIC8" s="58"/>
      <c r="FID8" s="58"/>
      <c r="FIE8" s="58"/>
      <c r="FIF8" s="58"/>
      <c r="FIG8" s="58"/>
      <c r="FIH8" s="58"/>
      <c r="FII8" s="58"/>
      <c r="FIJ8" s="58"/>
      <c r="FIK8" s="58"/>
      <c r="FIL8" s="58"/>
      <c r="FIM8" s="58"/>
      <c r="FIN8" s="58"/>
      <c r="FIO8" s="58"/>
      <c r="FIP8" s="58"/>
      <c r="FIQ8" s="58"/>
      <c r="FIR8" s="58"/>
      <c r="FIS8" s="58"/>
      <c r="FIT8" s="58"/>
      <c r="FIU8" s="58"/>
      <c r="FIV8" s="58"/>
      <c r="FIW8" s="58"/>
      <c r="FIX8" s="58"/>
      <c r="FIY8" s="58"/>
      <c r="FIZ8" s="58"/>
      <c r="FJA8" s="58"/>
      <c r="FJB8" s="58"/>
      <c r="FJC8" s="58"/>
      <c r="FJD8" s="58"/>
      <c r="FJE8" s="58"/>
      <c r="FJF8" s="58"/>
      <c r="FJG8" s="58"/>
      <c r="FJH8" s="58"/>
      <c r="FJI8" s="58"/>
      <c r="FJJ8" s="58"/>
      <c r="FJK8" s="58"/>
      <c r="FJL8" s="58"/>
      <c r="FJM8" s="58"/>
      <c r="FJN8" s="58"/>
      <c r="FJO8" s="58"/>
      <c r="FJP8" s="58"/>
      <c r="FJQ8" s="58"/>
      <c r="FJR8" s="58"/>
      <c r="FJS8" s="58"/>
      <c r="FJT8" s="58"/>
      <c r="FJU8" s="58"/>
      <c r="FJV8" s="58"/>
      <c r="FJW8" s="58"/>
      <c r="FJX8" s="58"/>
      <c r="FJY8" s="58"/>
      <c r="FJZ8" s="58"/>
      <c r="FKA8" s="58"/>
      <c r="FKB8" s="58"/>
      <c r="FKC8" s="58"/>
      <c r="FKD8" s="58"/>
      <c r="FKE8" s="58"/>
      <c r="FKF8" s="58"/>
      <c r="FKG8" s="58"/>
      <c r="FKH8" s="58"/>
      <c r="FKI8" s="58"/>
      <c r="FKJ8" s="58"/>
      <c r="FKK8" s="58"/>
      <c r="FKL8" s="58"/>
      <c r="FKM8" s="58"/>
      <c r="FKN8" s="58"/>
      <c r="FKO8" s="58"/>
      <c r="FKP8" s="58"/>
      <c r="FKQ8" s="58"/>
      <c r="FKR8" s="58"/>
      <c r="FKS8" s="58"/>
      <c r="FKT8" s="58"/>
      <c r="FKU8" s="58"/>
      <c r="FKV8" s="58"/>
      <c r="FKW8" s="58"/>
      <c r="FKX8" s="58"/>
      <c r="FKY8" s="58"/>
      <c r="FKZ8" s="58"/>
      <c r="FLA8" s="58"/>
      <c r="FLB8" s="58"/>
      <c r="FLC8" s="58"/>
      <c r="FLD8" s="58"/>
      <c r="FLE8" s="58"/>
      <c r="FLF8" s="58"/>
      <c r="FLG8" s="58"/>
      <c r="FLH8" s="58"/>
      <c r="FLI8" s="58"/>
      <c r="FLJ8" s="58"/>
      <c r="FLK8" s="58"/>
      <c r="FLL8" s="58"/>
      <c r="FLM8" s="58"/>
      <c r="FLN8" s="58"/>
      <c r="FLO8" s="58"/>
      <c r="FLP8" s="58"/>
      <c r="FLQ8" s="58"/>
      <c r="FLR8" s="58"/>
      <c r="FLS8" s="58"/>
      <c r="FLT8" s="58"/>
      <c r="FLU8" s="58"/>
      <c r="FLV8" s="58"/>
      <c r="FLW8" s="58"/>
      <c r="FLX8" s="58"/>
      <c r="FLY8" s="58"/>
      <c r="FLZ8" s="58"/>
      <c r="FMA8" s="58"/>
      <c r="FMB8" s="58"/>
      <c r="FMC8" s="58"/>
      <c r="FMD8" s="58"/>
      <c r="FME8" s="58"/>
      <c r="FMF8" s="58"/>
      <c r="FMG8" s="58"/>
      <c r="FMH8" s="58"/>
      <c r="FMI8" s="58"/>
      <c r="FMJ8" s="58"/>
      <c r="FMK8" s="58"/>
      <c r="FML8" s="58"/>
      <c r="FMM8" s="58"/>
      <c r="FMN8" s="58"/>
      <c r="FMO8" s="58"/>
      <c r="FMP8" s="58"/>
      <c r="FMQ8" s="58"/>
      <c r="FMR8" s="58"/>
      <c r="FMS8" s="58"/>
      <c r="FMT8" s="58"/>
      <c r="FMU8" s="58"/>
      <c r="FMV8" s="58"/>
      <c r="FMW8" s="58"/>
      <c r="FMX8" s="58"/>
      <c r="FMY8" s="58"/>
      <c r="FMZ8" s="58"/>
      <c r="FNA8" s="58"/>
      <c r="FNB8" s="58"/>
      <c r="FNC8" s="58"/>
      <c r="FND8" s="58"/>
      <c r="FNE8" s="58"/>
      <c r="FNF8" s="58"/>
      <c r="FNG8" s="58"/>
      <c r="FNH8" s="58"/>
      <c r="FNI8" s="58"/>
      <c r="FNJ8" s="58"/>
      <c r="FNK8" s="58"/>
      <c r="FNL8" s="58"/>
      <c r="FNM8" s="58"/>
      <c r="FNN8" s="58"/>
      <c r="FNO8" s="58"/>
      <c r="FNP8" s="58"/>
      <c r="FNQ8" s="58"/>
      <c r="FNR8" s="58"/>
      <c r="FNS8" s="58"/>
      <c r="FNT8" s="58"/>
      <c r="FNU8" s="58"/>
      <c r="FNV8" s="58"/>
      <c r="FNW8" s="58"/>
      <c r="FNX8" s="58"/>
      <c r="FNY8" s="58"/>
      <c r="FNZ8" s="58"/>
      <c r="FOA8" s="58"/>
      <c r="FOB8" s="58"/>
      <c r="FOC8" s="58"/>
      <c r="FOD8" s="58"/>
      <c r="FOE8" s="58"/>
      <c r="FOF8" s="58"/>
      <c r="FOG8" s="58"/>
      <c r="FOH8" s="58"/>
      <c r="FOI8" s="58"/>
      <c r="FOJ8" s="58"/>
      <c r="FOK8" s="58"/>
      <c r="FOL8" s="58"/>
      <c r="FOM8" s="58"/>
      <c r="FON8" s="58"/>
      <c r="FOO8" s="58"/>
      <c r="FOP8" s="58"/>
      <c r="FOQ8" s="58"/>
      <c r="FOR8" s="58"/>
      <c r="FOS8" s="58"/>
      <c r="FOT8" s="58"/>
      <c r="FOU8" s="58"/>
      <c r="FOV8" s="58"/>
      <c r="FOW8" s="58"/>
      <c r="FOX8" s="58"/>
      <c r="FOY8" s="58"/>
      <c r="FOZ8" s="58"/>
      <c r="FPA8" s="58"/>
      <c r="FPB8" s="58"/>
      <c r="FPC8" s="58"/>
      <c r="FPD8" s="58"/>
      <c r="FPE8" s="58"/>
      <c r="FPF8" s="58"/>
      <c r="FPG8" s="58"/>
      <c r="FPH8" s="58"/>
      <c r="FPI8" s="58"/>
      <c r="FPJ8" s="58"/>
      <c r="FPK8" s="58"/>
      <c r="FPL8" s="58"/>
      <c r="FPM8" s="58"/>
      <c r="FPN8" s="58"/>
      <c r="FPO8" s="58"/>
      <c r="FPP8" s="58"/>
      <c r="FPQ8" s="58"/>
      <c r="FPR8" s="58"/>
      <c r="FPS8" s="58"/>
      <c r="FPT8" s="58"/>
      <c r="FPU8" s="58"/>
      <c r="FPV8" s="58"/>
      <c r="FPW8" s="58"/>
      <c r="FPX8" s="58"/>
      <c r="FPY8" s="58"/>
      <c r="FPZ8" s="58"/>
      <c r="FQA8" s="58"/>
      <c r="FQB8" s="58"/>
      <c r="FQC8" s="58"/>
      <c r="FQD8" s="58"/>
      <c r="FQE8" s="58"/>
      <c r="FQF8" s="58"/>
      <c r="FQG8" s="58"/>
      <c r="FQH8" s="58"/>
      <c r="FQI8" s="58"/>
      <c r="FQJ8" s="58"/>
      <c r="FQK8" s="58"/>
      <c r="FQL8" s="58"/>
      <c r="FQM8" s="58"/>
      <c r="FQN8" s="58"/>
      <c r="FQO8" s="58"/>
      <c r="FQP8" s="58"/>
      <c r="FQQ8" s="58"/>
      <c r="FQR8" s="58"/>
      <c r="FQS8" s="58"/>
      <c r="FQT8" s="58"/>
      <c r="FQU8" s="58"/>
      <c r="FQV8" s="58"/>
      <c r="FQW8" s="58"/>
      <c r="FQX8" s="58"/>
      <c r="FQY8" s="58"/>
      <c r="FQZ8" s="58"/>
      <c r="FRA8" s="58"/>
      <c r="FRB8" s="58"/>
      <c r="FRC8" s="58"/>
      <c r="FRD8" s="58"/>
      <c r="FRE8" s="58"/>
      <c r="FRF8" s="58"/>
      <c r="FRG8" s="58"/>
      <c r="FRH8" s="58"/>
      <c r="FRI8" s="58"/>
      <c r="FRJ8" s="58"/>
      <c r="FRK8" s="58"/>
      <c r="FRL8" s="58"/>
      <c r="FRM8" s="58"/>
      <c r="FRN8" s="58"/>
      <c r="FRO8" s="58"/>
      <c r="FRP8" s="58"/>
      <c r="FRQ8" s="58"/>
      <c r="FRR8" s="58"/>
      <c r="FRS8" s="58"/>
      <c r="FRT8" s="58"/>
      <c r="FRU8" s="58"/>
      <c r="FRV8" s="58"/>
      <c r="FRW8" s="58"/>
      <c r="FRX8" s="58"/>
      <c r="FRY8" s="58"/>
      <c r="FRZ8" s="58"/>
      <c r="FSA8" s="58"/>
      <c r="FSB8" s="58"/>
      <c r="FSC8" s="58"/>
      <c r="FSD8" s="58"/>
      <c r="FSE8" s="58"/>
      <c r="FSF8" s="58"/>
      <c r="FSG8" s="58"/>
      <c r="FSH8" s="58"/>
      <c r="FSI8" s="58"/>
      <c r="FSJ8" s="58"/>
      <c r="FSK8" s="58"/>
      <c r="FSL8" s="58"/>
      <c r="FSM8" s="58"/>
      <c r="FSN8" s="58"/>
      <c r="FSO8" s="58"/>
      <c r="FSP8" s="58"/>
      <c r="FSQ8" s="58"/>
      <c r="FSR8" s="58"/>
      <c r="FSS8" s="58"/>
      <c r="FST8" s="58"/>
      <c r="FSU8" s="58"/>
      <c r="FSV8" s="58"/>
      <c r="FSW8" s="58"/>
      <c r="FSX8" s="58"/>
      <c r="FSY8" s="58"/>
      <c r="FSZ8" s="58"/>
      <c r="FTA8" s="58"/>
      <c r="FTB8" s="58"/>
      <c r="FTC8" s="58"/>
      <c r="FTD8" s="58"/>
      <c r="FTE8" s="58"/>
      <c r="FTF8" s="58"/>
      <c r="FTG8" s="58"/>
      <c r="FTH8" s="58"/>
      <c r="FTI8" s="58"/>
      <c r="FTJ8" s="58"/>
      <c r="FTK8" s="58"/>
      <c r="FTL8" s="58"/>
      <c r="FTM8" s="58"/>
      <c r="FTN8" s="58"/>
      <c r="FTO8" s="58"/>
      <c r="FTP8" s="58"/>
      <c r="FTQ8" s="58"/>
      <c r="FTR8" s="58"/>
      <c r="FTS8" s="58"/>
      <c r="FTT8" s="58"/>
      <c r="FTU8" s="58"/>
      <c r="FTV8" s="58"/>
      <c r="FTW8" s="58"/>
      <c r="FTX8" s="58"/>
      <c r="FTY8" s="58"/>
      <c r="FTZ8" s="58"/>
      <c r="FUA8" s="58"/>
      <c r="FUB8" s="58"/>
      <c r="FUC8" s="58"/>
      <c r="FUD8" s="58"/>
      <c r="FUE8" s="58"/>
      <c r="FUF8" s="58"/>
      <c r="FUG8" s="58"/>
      <c r="FUH8" s="58"/>
      <c r="FUI8" s="58"/>
      <c r="FUJ8" s="58"/>
      <c r="FUK8" s="58"/>
      <c r="FUL8" s="58"/>
      <c r="FUM8" s="58"/>
      <c r="FUN8" s="58"/>
      <c r="FUO8" s="58"/>
      <c r="FUP8" s="58"/>
      <c r="FUQ8" s="58"/>
      <c r="FUR8" s="58"/>
      <c r="FUS8" s="58"/>
      <c r="FUT8" s="58"/>
      <c r="FUU8" s="58"/>
      <c r="FUV8" s="58"/>
      <c r="FUW8" s="58"/>
      <c r="FUX8" s="58"/>
      <c r="FUY8" s="58"/>
      <c r="FUZ8" s="58"/>
      <c r="FVA8" s="58"/>
      <c r="FVB8" s="58"/>
      <c r="FVC8" s="58"/>
      <c r="FVD8" s="58"/>
      <c r="FVE8" s="58"/>
      <c r="FVF8" s="58"/>
      <c r="FVG8" s="58"/>
      <c r="FVH8" s="58"/>
      <c r="FVI8" s="58"/>
      <c r="FVJ8" s="58"/>
      <c r="FVK8" s="58"/>
      <c r="FVL8" s="58"/>
      <c r="FVM8" s="58"/>
      <c r="FVN8" s="58"/>
      <c r="FVO8" s="58"/>
      <c r="FVP8" s="58"/>
      <c r="FVQ8" s="58"/>
      <c r="FVR8" s="58"/>
      <c r="FVS8" s="58"/>
      <c r="FVT8" s="58"/>
      <c r="FVU8" s="58"/>
      <c r="FVV8" s="58"/>
      <c r="FVW8" s="58"/>
      <c r="FVX8" s="58"/>
      <c r="FVY8" s="58"/>
      <c r="FVZ8" s="58"/>
      <c r="FWA8" s="58"/>
      <c r="FWB8" s="58"/>
      <c r="FWC8" s="58"/>
      <c r="FWD8" s="58"/>
      <c r="FWE8" s="58"/>
      <c r="FWF8" s="58"/>
      <c r="FWG8" s="58"/>
      <c r="FWH8" s="58"/>
      <c r="FWI8" s="58"/>
      <c r="FWJ8" s="58"/>
      <c r="FWK8" s="58"/>
      <c r="FWL8" s="58"/>
      <c r="FWM8" s="58"/>
      <c r="FWN8" s="58"/>
      <c r="FWO8" s="58"/>
      <c r="FWP8" s="58"/>
      <c r="FWQ8" s="58"/>
      <c r="FWR8" s="58"/>
      <c r="FWS8" s="58"/>
      <c r="FWT8" s="58"/>
      <c r="FWU8" s="58"/>
      <c r="FWV8" s="58"/>
      <c r="FWW8" s="58"/>
      <c r="FWX8" s="58"/>
      <c r="FWY8" s="58"/>
      <c r="FWZ8" s="58"/>
      <c r="FXA8" s="58"/>
      <c r="FXB8" s="58"/>
      <c r="FXC8" s="58"/>
      <c r="FXD8" s="58"/>
      <c r="FXE8" s="58"/>
      <c r="FXF8" s="58"/>
      <c r="FXG8" s="58"/>
      <c r="FXH8" s="58"/>
      <c r="FXI8" s="58"/>
      <c r="FXJ8" s="58"/>
      <c r="FXK8" s="58"/>
      <c r="FXL8" s="58"/>
      <c r="FXM8" s="58"/>
      <c r="FXN8" s="58"/>
      <c r="FXO8" s="58"/>
      <c r="FXP8" s="58"/>
      <c r="FXQ8" s="58"/>
      <c r="FXR8" s="58"/>
      <c r="FXS8" s="58"/>
      <c r="FXT8" s="58"/>
      <c r="FXU8" s="58"/>
      <c r="FXV8" s="58"/>
      <c r="FXW8" s="58"/>
      <c r="FXX8" s="58"/>
      <c r="FXY8" s="58"/>
      <c r="FXZ8" s="58"/>
      <c r="FYA8" s="58"/>
      <c r="FYB8" s="58"/>
      <c r="FYC8" s="58"/>
      <c r="FYD8" s="58"/>
      <c r="FYE8" s="58"/>
      <c r="FYF8" s="58"/>
      <c r="FYG8" s="58"/>
      <c r="FYH8" s="58"/>
      <c r="FYI8" s="58"/>
      <c r="FYJ8" s="58"/>
      <c r="FYK8" s="58"/>
      <c r="FYL8" s="58"/>
      <c r="FYM8" s="58"/>
      <c r="FYN8" s="58"/>
      <c r="FYO8" s="58"/>
      <c r="FYP8" s="58"/>
      <c r="FYQ8" s="58"/>
      <c r="FYR8" s="58"/>
      <c r="FYS8" s="58"/>
      <c r="FYT8" s="58"/>
      <c r="FYU8" s="58"/>
      <c r="FYV8" s="58"/>
      <c r="FYW8" s="58"/>
      <c r="FYX8" s="58"/>
      <c r="FYY8" s="58"/>
      <c r="FYZ8" s="58"/>
      <c r="FZA8" s="58"/>
      <c r="FZB8" s="58"/>
      <c r="FZC8" s="58"/>
      <c r="FZD8" s="58"/>
      <c r="FZE8" s="58"/>
      <c r="FZF8" s="58"/>
      <c r="FZG8" s="58"/>
      <c r="FZH8" s="58"/>
      <c r="FZI8" s="58"/>
      <c r="FZJ8" s="58"/>
      <c r="FZK8" s="58"/>
      <c r="FZL8" s="58"/>
      <c r="FZM8" s="58"/>
      <c r="FZN8" s="58"/>
      <c r="FZO8" s="58"/>
      <c r="FZP8" s="58"/>
      <c r="FZQ8" s="58"/>
      <c r="FZR8" s="58"/>
      <c r="FZS8" s="58"/>
      <c r="FZT8" s="58"/>
      <c r="FZU8" s="58"/>
      <c r="FZV8" s="58"/>
      <c r="FZW8" s="58"/>
      <c r="FZX8" s="58"/>
      <c r="FZY8" s="58"/>
      <c r="FZZ8" s="58"/>
      <c r="GAA8" s="58"/>
      <c r="GAB8" s="58"/>
      <c r="GAC8" s="58"/>
      <c r="GAD8" s="58"/>
      <c r="GAE8" s="58"/>
      <c r="GAF8" s="58"/>
      <c r="GAG8" s="58"/>
      <c r="GAH8" s="58"/>
      <c r="GAI8" s="58"/>
      <c r="GAJ8" s="58"/>
      <c r="GAK8" s="58"/>
      <c r="GAL8" s="58"/>
      <c r="GAM8" s="58"/>
      <c r="GAN8" s="58"/>
      <c r="GAO8" s="58"/>
      <c r="GAP8" s="58"/>
      <c r="GAQ8" s="58"/>
      <c r="GAR8" s="58"/>
      <c r="GAS8" s="58"/>
      <c r="GAT8" s="58"/>
      <c r="GAU8" s="58"/>
      <c r="GAV8" s="58"/>
      <c r="GAW8" s="58"/>
      <c r="GAX8" s="58"/>
      <c r="GAY8" s="58"/>
      <c r="GAZ8" s="58"/>
      <c r="GBA8" s="58"/>
      <c r="GBB8" s="58"/>
      <c r="GBC8" s="58"/>
      <c r="GBD8" s="58"/>
      <c r="GBE8" s="58"/>
      <c r="GBF8" s="58"/>
      <c r="GBG8" s="58"/>
      <c r="GBH8" s="58"/>
      <c r="GBI8" s="58"/>
      <c r="GBJ8" s="58"/>
      <c r="GBK8" s="58"/>
      <c r="GBL8" s="58"/>
      <c r="GBM8" s="58"/>
      <c r="GBN8" s="58"/>
      <c r="GBO8" s="58"/>
      <c r="GBP8" s="58"/>
      <c r="GBQ8" s="58"/>
      <c r="GBR8" s="58"/>
      <c r="GBS8" s="58"/>
      <c r="GBT8" s="58"/>
      <c r="GBU8" s="58"/>
      <c r="GBV8" s="58"/>
      <c r="GBW8" s="58"/>
      <c r="GBX8" s="58"/>
      <c r="GBY8" s="58"/>
      <c r="GBZ8" s="58"/>
      <c r="GCA8" s="58"/>
      <c r="GCB8" s="58"/>
      <c r="GCC8" s="58"/>
      <c r="GCD8" s="58"/>
      <c r="GCE8" s="58"/>
      <c r="GCF8" s="58"/>
      <c r="GCG8" s="58"/>
      <c r="GCH8" s="58"/>
      <c r="GCI8" s="58"/>
      <c r="GCJ8" s="58"/>
      <c r="GCK8" s="58"/>
      <c r="GCL8" s="58"/>
      <c r="GCM8" s="58"/>
      <c r="GCN8" s="58"/>
      <c r="GCO8" s="58"/>
      <c r="GCP8" s="58"/>
      <c r="GCQ8" s="58"/>
      <c r="GCR8" s="58"/>
      <c r="GCS8" s="58"/>
      <c r="GCT8" s="58"/>
      <c r="GCU8" s="58"/>
      <c r="GCV8" s="58"/>
      <c r="GCW8" s="58"/>
      <c r="GCX8" s="58"/>
      <c r="GCY8" s="58"/>
      <c r="GCZ8" s="58"/>
      <c r="GDA8" s="58"/>
      <c r="GDB8" s="58"/>
      <c r="GDC8" s="58"/>
      <c r="GDD8" s="58"/>
      <c r="GDE8" s="58"/>
      <c r="GDF8" s="58"/>
      <c r="GDG8" s="58"/>
      <c r="GDH8" s="58"/>
      <c r="GDI8" s="58"/>
      <c r="GDJ8" s="58"/>
      <c r="GDK8" s="58"/>
      <c r="GDL8" s="58"/>
      <c r="GDM8" s="58"/>
      <c r="GDN8" s="58"/>
      <c r="GDO8" s="58"/>
      <c r="GDP8" s="58"/>
      <c r="GDQ8" s="58"/>
      <c r="GDR8" s="58"/>
      <c r="GDS8" s="58"/>
      <c r="GDT8" s="58"/>
      <c r="GDU8" s="58"/>
      <c r="GDV8" s="58"/>
      <c r="GDW8" s="58"/>
      <c r="GDX8" s="58"/>
      <c r="GDY8" s="58"/>
      <c r="GDZ8" s="58"/>
      <c r="GEA8" s="58"/>
      <c r="GEB8" s="58"/>
      <c r="GEC8" s="58"/>
      <c r="GED8" s="58"/>
      <c r="GEE8" s="58"/>
      <c r="GEF8" s="58"/>
      <c r="GEG8" s="58"/>
      <c r="GEH8" s="58"/>
      <c r="GEI8" s="58"/>
      <c r="GEJ8" s="58"/>
      <c r="GEK8" s="58"/>
      <c r="GEL8" s="58"/>
      <c r="GEM8" s="58"/>
      <c r="GEN8" s="58"/>
      <c r="GEO8" s="58"/>
      <c r="GEP8" s="58"/>
      <c r="GEQ8" s="58"/>
      <c r="GER8" s="58"/>
      <c r="GES8" s="58"/>
      <c r="GET8" s="58"/>
      <c r="GEU8" s="58"/>
      <c r="GEV8" s="58"/>
      <c r="GEW8" s="58"/>
      <c r="GEX8" s="58"/>
      <c r="GEY8" s="58"/>
      <c r="GEZ8" s="58"/>
      <c r="GFA8" s="58"/>
      <c r="GFB8" s="58"/>
      <c r="GFC8" s="58"/>
      <c r="GFD8" s="58"/>
      <c r="GFE8" s="58"/>
      <c r="GFF8" s="58"/>
      <c r="GFG8" s="58"/>
      <c r="GFH8" s="58"/>
      <c r="GFI8" s="58"/>
      <c r="GFJ8" s="58"/>
      <c r="GFK8" s="58"/>
      <c r="GFL8" s="58"/>
      <c r="GFM8" s="58"/>
      <c r="GFN8" s="58"/>
      <c r="GFO8" s="58"/>
      <c r="GFP8" s="58"/>
      <c r="GFQ8" s="58"/>
      <c r="GFR8" s="58"/>
      <c r="GFS8" s="58"/>
      <c r="GFT8" s="58"/>
      <c r="GFU8" s="58"/>
      <c r="GFV8" s="58"/>
      <c r="GFW8" s="58"/>
      <c r="GFX8" s="58"/>
      <c r="GFY8" s="58"/>
      <c r="GFZ8" s="58"/>
      <c r="GGA8" s="58"/>
      <c r="GGB8" s="58"/>
      <c r="GGC8" s="58"/>
      <c r="GGD8" s="58"/>
      <c r="GGE8" s="58"/>
      <c r="GGF8" s="58"/>
      <c r="GGG8" s="58"/>
      <c r="GGH8" s="58"/>
      <c r="GGI8" s="58"/>
      <c r="GGJ8" s="58"/>
      <c r="GGK8" s="58"/>
      <c r="GGL8" s="58"/>
      <c r="GGM8" s="58"/>
      <c r="GGN8" s="58"/>
      <c r="GGO8" s="58"/>
      <c r="GGP8" s="58"/>
      <c r="GGQ8" s="58"/>
      <c r="GGR8" s="58"/>
      <c r="GGS8" s="58"/>
      <c r="GGT8" s="58"/>
      <c r="GGU8" s="58"/>
      <c r="GGV8" s="58"/>
      <c r="GGW8" s="58"/>
      <c r="GGX8" s="58"/>
      <c r="GGY8" s="58"/>
      <c r="GGZ8" s="58"/>
      <c r="GHA8" s="58"/>
      <c r="GHB8" s="58"/>
      <c r="GHC8" s="58"/>
      <c r="GHD8" s="58"/>
      <c r="GHE8" s="58"/>
      <c r="GHF8" s="58"/>
      <c r="GHG8" s="58"/>
      <c r="GHH8" s="58"/>
      <c r="GHI8" s="58"/>
      <c r="GHJ8" s="58"/>
      <c r="GHK8" s="58"/>
      <c r="GHL8" s="58"/>
      <c r="GHM8" s="58"/>
      <c r="GHN8" s="58"/>
      <c r="GHO8" s="58"/>
      <c r="GHP8" s="58"/>
      <c r="GHQ8" s="58"/>
      <c r="GHR8" s="58"/>
      <c r="GHS8" s="58"/>
      <c r="GHT8" s="58"/>
      <c r="GHU8" s="58"/>
      <c r="GHV8" s="58"/>
      <c r="GHW8" s="58"/>
      <c r="GHX8" s="58"/>
      <c r="GHY8" s="58"/>
      <c r="GHZ8" s="58"/>
      <c r="GIA8" s="58"/>
      <c r="GIB8" s="58"/>
      <c r="GIC8" s="58"/>
      <c r="GID8" s="58"/>
      <c r="GIE8" s="58"/>
      <c r="GIF8" s="58"/>
      <c r="GIG8" s="58"/>
      <c r="GIH8" s="58"/>
      <c r="GII8" s="58"/>
      <c r="GIJ8" s="58"/>
      <c r="GIK8" s="58"/>
      <c r="GIL8" s="58"/>
      <c r="GIM8" s="58"/>
      <c r="GIN8" s="58"/>
      <c r="GIO8" s="58"/>
      <c r="GIP8" s="58"/>
      <c r="GIQ8" s="58"/>
      <c r="GIR8" s="58"/>
      <c r="GIS8" s="58"/>
      <c r="GIT8" s="58"/>
      <c r="GIU8" s="58"/>
      <c r="GIV8" s="58"/>
      <c r="GIW8" s="58"/>
      <c r="GIX8" s="58"/>
      <c r="GIY8" s="58"/>
      <c r="GIZ8" s="58"/>
      <c r="GJA8" s="58"/>
      <c r="GJB8" s="58"/>
      <c r="GJC8" s="58"/>
      <c r="GJD8" s="58"/>
      <c r="GJE8" s="58"/>
      <c r="GJF8" s="58"/>
      <c r="GJG8" s="58"/>
      <c r="GJH8" s="58"/>
      <c r="GJI8" s="58"/>
      <c r="GJJ8" s="58"/>
      <c r="GJK8" s="58"/>
      <c r="GJL8" s="58"/>
      <c r="GJM8" s="58"/>
      <c r="GJN8" s="58"/>
      <c r="GJO8" s="58"/>
      <c r="GJP8" s="58"/>
      <c r="GJQ8" s="58"/>
      <c r="GJR8" s="58"/>
      <c r="GJS8" s="58"/>
      <c r="GJT8" s="58"/>
      <c r="GJU8" s="58"/>
      <c r="GJV8" s="58"/>
      <c r="GJW8" s="58"/>
      <c r="GJX8" s="58"/>
      <c r="GJY8" s="58"/>
      <c r="GJZ8" s="58"/>
      <c r="GKA8" s="58"/>
      <c r="GKB8" s="58"/>
      <c r="GKC8" s="58"/>
      <c r="GKD8" s="58"/>
      <c r="GKE8" s="58"/>
      <c r="GKF8" s="58"/>
      <c r="GKG8" s="58"/>
      <c r="GKH8" s="58"/>
      <c r="GKI8" s="58"/>
      <c r="GKJ8" s="58"/>
      <c r="GKK8" s="58"/>
      <c r="GKL8" s="58"/>
      <c r="GKM8" s="58"/>
      <c r="GKN8" s="58"/>
      <c r="GKO8" s="58"/>
      <c r="GKP8" s="58"/>
      <c r="GKQ8" s="58"/>
      <c r="GKR8" s="58"/>
      <c r="GKS8" s="58"/>
      <c r="GKT8" s="58"/>
      <c r="GKU8" s="58"/>
      <c r="GKV8" s="58"/>
      <c r="GKW8" s="58"/>
      <c r="GKX8" s="58"/>
      <c r="GKY8" s="58"/>
      <c r="GKZ8" s="58"/>
      <c r="GLA8" s="58"/>
      <c r="GLB8" s="58"/>
      <c r="GLC8" s="58"/>
      <c r="GLD8" s="58"/>
      <c r="GLE8" s="58"/>
      <c r="GLF8" s="58"/>
      <c r="GLG8" s="58"/>
      <c r="GLH8" s="58"/>
      <c r="GLI8" s="58"/>
      <c r="GLJ8" s="58"/>
      <c r="GLK8" s="58"/>
      <c r="GLL8" s="58"/>
      <c r="GLM8" s="58"/>
      <c r="GLN8" s="58"/>
      <c r="GLO8" s="58"/>
      <c r="GLP8" s="58"/>
      <c r="GLQ8" s="58"/>
      <c r="GLR8" s="58"/>
      <c r="GLS8" s="58"/>
      <c r="GLT8" s="58"/>
      <c r="GLU8" s="58"/>
      <c r="GLV8" s="58"/>
      <c r="GLW8" s="58"/>
      <c r="GLX8" s="58"/>
      <c r="GLY8" s="58"/>
      <c r="GLZ8" s="58"/>
      <c r="GMA8" s="58"/>
      <c r="GMB8" s="58"/>
      <c r="GMC8" s="58"/>
      <c r="GMD8" s="58"/>
      <c r="GME8" s="58"/>
      <c r="GMF8" s="58"/>
      <c r="GMG8" s="58"/>
      <c r="GMH8" s="58"/>
      <c r="GMI8" s="58"/>
      <c r="GMJ8" s="58"/>
      <c r="GMK8" s="58"/>
      <c r="GML8" s="58"/>
      <c r="GMM8" s="58"/>
      <c r="GMN8" s="58"/>
      <c r="GMO8" s="58"/>
      <c r="GMP8" s="58"/>
      <c r="GMQ8" s="58"/>
      <c r="GMR8" s="58"/>
      <c r="GMS8" s="58"/>
      <c r="GMT8" s="58"/>
      <c r="GMU8" s="58"/>
      <c r="GMV8" s="58"/>
      <c r="GMW8" s="58"/>
      <c r="GMX8" s="58"/>
      <c r="GMY8" s="58"/>
      <c r="GMZ8" s="58"/>
      <c r="GNA8" s="58"/>
      <c r="GNB8" s="58"/>
      <c r="GNC8" s="58"/>
      <c r="GND8" s="58"/>
      <c r="GNE8" s="58"/>
      <c r="GNF8" s="58"/>
      <c r="GNG8" s="58"/>
      <c r="GNH8" s="58"/>
      <c r="GNI8" s="58"/>
      <c r="GNJ8" s="58"/>
      <c r="GNK8" s="58"/>
      <c r="GNL8" s="58"/>
      <c r="GNM8" s="58"/>
      <c r="GNN8" s="58"/>
      <c r="GNO8" s="58"/>
      <c r="GNP8" s="58"/>
      <c r="GNQ8" s="58"/>
      <c r="GNR8" s="58"/>
      <c r="GNS8" s="58"/>
      <c r="GNT8" s="58"/>
      <c r="GNU8" s="58"/>
      <c r="GNV8" s="58"/>
      <c r="GNW8" s="58"/>
      <c r="GNX8" s="58"/>
      <c r="GNY8" s="58"/>
      <c r="GNZ8" s="58"/>
      <c r="GOA8" s="58"/>
      <c r="GOB8" s="58"/>
      <c r="GOC8" s="58"/>
      <c r="GOD8" s="58"/>
      <c r="GOE8" s="58"/>
      <c r="GOF8" s="58"/>
      <c r="GOG8" s="58"/>
      <c r="GOH8" s="58"/>
      <c r="GOI8" s="58"/>
      <c r="GOJ8" s="58"/>
      <c r="GOK8" s="58"/>
      <c r="GOL8" s="58"/>
      <c r="GOM8" s="58"/>
      <c r="GON8" s="58"/>
      <c r="GOO8" s="58"/>
      <c r="GOP8" s="58"/>
      <c r="GOQ8" s="58"/>
      <c r="GOR8" s="58"/>
      <c r="GOS8" s="58"/>
      <c r="GOT8" s="58"/>
      <c r="GOU8" s="58"/>
      <c r="GOV8" s="58"/>
      <c r="GOW8" s="58"/>
      <c r="GOX8" s="58"/>
      <c r="GOY8" s="58"/>
      <c r="GOZ8" s="58"/>
      <c r="GPA8" s="58"/>
      <c r="GPB8" s="58"/>
      <c r="GPC8" s="58"/>
      <c r="GPD8" s="58"/>
      <c r="GPE8" s="58"/>
      <c r="GPF8" s="58"/>
      <c r="GPG8" s="58"/>
      <c r="GPH8" s="58"/>
      <c r="GPI8" s="58"/>
      <c r="GPJ8" s="58"/>
      <c r="GPK8" s="58"/>
      <c r="GPL8" s="58"/>
      <c r="GPM8" s="58"/>
      <c r="GPN8" s="58"/>
      <c r="GPO8" s="58"/>
      <c r="GPP8" s="58"/>
      <c r="GPQ8" s="58"/>
      <c r="GPR8" s="58"/>
      <c r="GPS8" s="58"/>
      <c r="GPT8" s="58"/>
      <c r="GPU8" s="58"/>
      <c r="GPV8" s="58"/>
      <c r="GPW8" s="58"/>
      <c r="GPX8" s="58"/>
      <c r="GPY8" s="58"/>
      <c r="GPZ8" s="58"/>
      <c r="GQA8" s="58"/>
      <c r="GQB8" s="58"/>
      <c r="GQC8" s="58"/>
      <c r="GQD8" s="58"/>
      <c r="GQE8" s="58"/>
      <c r="GQF8" s="58"/>
      <c r="GQG8" s="58"/>
      <c r="GQH8" s="58"/>
      <c r="GQI8" s="58"/>
      <c r="GQJ8" s="58"/>
      <c r="GQK8" s="58"/>
      <c r="GQL8" s="58"/>
      <c r="GQM8" s="58"/>
      <c r="GQN8" s="58"/>
      <c r="GQO8" s="58"/>
      <c r="GQP8" s="58"/>
      <c r="GQQ8" s="58"/>
      <c r="GQR8" s="58"/>
      <c r="GQS8" s="58"/>
      <c r="GQT8" s="58"/>
      <c r="GQU8" s="58"/>
      <c r="GQV8" s="58"/>
      <c r="GQW8" s="58"/>
      <c r="GQX8" s="58"/>
      <c r="GQY8" s="58"/>
      <c r="GQZ8" s="58"/>
      <c r="GRA8" s="58"/>
      <c r="GRB8" s="58"/>
      <c r="GRC8" s="58"/>
      <c r="GRD8" s="58"/>
      <c r="GRE8" s="58"/>
      <c r="GRF8" s="58"/>
      <c r="GRG8" s="58"/>
      <c r="GRH8" s="58"/>
      <c r="GRI8" s="58"/>
      <c r="GRJ8" s="58"/>
      <c r="GRK8" s="58"/>
      <c r="GRL8" s="58"/>
      <c r="GRM8" s="58"/>
      <c r="GRN8" s="58"/>
      <c r="GRO8" s="58"/>
      <c r="GRP8" s="58"/>
      <c r="GRQ8" s="58"/>
      <c r="GRR8" s="58"/>
      <c r="GRS8" s="58"/>
      <c r="GRT8" s="58"/>
      <c r="GRU8" s="58"/>
      <c r="GRV8" s="58"/>
      <c r="GRW8" s="58"/>
      <c r="GRX8" s="58"/>
      <c r="GRY8" s="58"/>
      <c r="GRZ8" s="58"/>
      <c r="GSA8" s="58"/>
      <c r="GSB8" s="58"/>
      <c r="GSC8" s="58"/>
      <c r="GSD8" s="58"/>
      <c r="GSE8" s="58"/>
      <c r="GSF8" s="58"/>
      <c r="GSG8" s="58"/>
      <c r="GSH8" s="58"/>
      <c r="GSI8" s="58"/>
      <c r="GSJ8" s="58"/>
      <c r="GSK8" s="58"/>
      <c r="GSL8" s="58"/>
      <c r="GSM8" s="58"/>
      <c r="GSN8" s="58"/>
      <c r="GSO8" s="58"/>
      <c r="GSP8" s="58"/>
      <c r="GSQ8" s="58"/>
      <c r="GSR8" s="58"/>
      <c r="GSS8" s="58"/>
      <c r="GST8" s="58"/>
      <c r="GSU8" s="58"/>
      <c r="GSV8" s="58"/>
      <c r="GSW8" s="58"/>
      <c r="GSX8" s="58"/>
      <c r="GSY8" s="58"/>
      <c r="GSZ8" s="58"/>
      <c r="GTA8" s="58"/>
      <c r="GTB8" s="58"/>
      <c r="GTC8" s="58"/>
      <c r="GTD8" s="58"/>
      <c r="GTE8" s="58"/>
      <c r="GTF8" s="58"/>
      <c r="GTG8" s="58"/>
      <c r="GTH8" s="58"/>
      <c r="GTI8" s="58"/>
      <c r="GTJ8" s="58"/>
      <c r="GTK8" s="58"/>
      <c r="GTL8" s="58"/>
      <c r="GTM8" s="58"/>
      <c r="GTN8" s="58"/>
      <c r="GTO8" s="58"/>
      <c r="GTP8" s="58"/>
      <c r="GTQ8" s="58"/>
      <c r="GTR8" s="58"/>
      <c r="GTS8" s="58"/>
      <c r="GTT8" s="58"/>
      <c r="GTU8" s="58"/>
      <c r="GTV8" s="58"/>
      <c r="GTW8" s="58"/>
      <c r="GTX8" s="58"/>
      <c r="GTY8" s="58"/>
      <c r="GTZ8" s="58"/>
      <c r="GUA8" s="58"/>
      <c r="GUB8" s="58"/>
      <c r="GUC8" s="58"/>
      <c r="GUD8" s="58"/>
      <c r="GUE8" s="58"/>
      <c r="GUF8" s="58"/>
      <c r="GUG8" s="58"/>
      <c r="GUH8" s="58"/>
      <c r="GUI8" s="58"/>
      <c r="GUJ8" s="58"/>
      <c r="GUK8" s="58"/>
      <c r="GUL8" s="58"/>
      <c r="GUM8" s="58"/>
      <c r="GUN8" s="58"/>
      <c r="GUO8" s="58"/>
      <c r="GUP8" s="58"/>
      <c r="GUQ8" s="58"/>
      <c r="GUR8" s="58"/>
      <c r="GUS8" s="58"/>
      <c r="GUT8" s="58"/>
      <c r="GUU8" s="58"/>
      <c r="GUV8" s="58"/>
      <c r="GUW8" s="58"/>
      <c r="GUX8" s="58"/>
      <c r="GUY8" s="58"/>
      <c r="GUZ8" s="58"/>
      <c r="GVA8" s="58"/>
      <c r="GVB8" s="58"/>
      <c r="GVC8" s="58"/>
      <c r="GVD8" s="58"/>
      <c r="GVE8" s="58"/>
      <c r="GVF8" s="58"/>
      <c r="GVG8" s="58"/>
      <c r="GVH8" s="58"/>
      <c r="GVI8" s="58"/>
      <c r="GVJ8" s="58"/>
      <c r="GVK8" s="58"/>
      <c r="GVL8" s="58"/>
      <c r="GVM8" s="58"/>
      <c r="GVN8" s="58"/>
      <c r="GVO8" s="58"/>
      <c r="GVP8" s="58"/>
      <c r="GVQ8" s="58"/>
      <c r="GVR8" s="58"/>
      <c r="GVS8" s="58"/>
      <c r="GVT8" s="58"/>
      <c r="GVU8" s="58"/>
      <c r="GVV8" s="58"/>
      <c r="GVW8" s="58"/>
      <c r="GVX8" s="58"/>
      <c r="GVY8" s="58"/>
      <c r="GVZ8" s="58"/>
      <c r="GWA8" s="58"/>
      <c r="GWB8" s="58"/>
      <c r="GWC8" s="58"/>
      <c r="GWD8" s="58"/>
      <c r="GWE8" s="58"/>
      <c r="GWF8" s="58"/>
      <c r="GWG8" s="58"/>
      <c r="GWH8" s="58"/>
      <c r="GWI8" s="58"/>
      <c r="GWJ8" s="58"/>
      <c r="GWK8" s="58"/>
      <c r="GWL8" s="58"/>
      <c r="GWM8" s="58"/>
      <c r="GWN8" s="58"/>
      <c r="GWO8" s="58"/>
      <c r="GWP8" s="58"/>
      <c r="GWQ8" s="58"/>
      <c r="GWR8" s="58"/>
      <c r="GWS8" s="58"/>
      <c r="GWT8" s="58"/>
      <c r="GWU8" s="58"/>
      <c r="GWV8" s="58"/>
      <c r="GWW8" s="58"/>
      <c r="GWX8" s="58"/>
      <c r="GWY8" s="58"/>
      <c r="GWZ8" s="58"/>
      <c r="GXA8" s="58"/>
      <c r="GXB8" s="58"/>
      <c r="GXC8" s="58"/>
      <c r="GXD8" s="58"/>
      <c r="GXE8" s="58"/>
      <c r="GXF8" s="58"/>
      <c r="GXG8" s="58"/>
      <c r="GXH8" s="58"/>
      <c r="GXI8" s="58"/>
      <c r="GXJ8" s="58"/>
      <c r="GXK8" s="58"/>
      <c r="GXL8" s="58"/>
      <c r="GXM8" s="58"/>
      <c r="GXN8" s="58"/>
      <c r="GXO8" s="58"/>
      <c r="GXP8" s="58"/>
      <c r="GXQ8" s="58"/>
      <c r="GXR8" s="58"/>
      <c r="GXS8" s="58"/>
      <c r="GXT8" s="58"/>
      <c r="GXU8" s="58"/>
      <c r="GXV8" s="58"/>
      <c r="GXW8" s="58"/>
      <c r="GXX8" s="58"/>
      <c r="GXY8" s="58"/>
      <c r="GXZ8" s="58"/>
      <c r="GYA8" s="58"/>
      <c r="GYB8" s="58"/>
      <c r="GYC8" s="58"/>
      <c r="GYD8" s="58"/>
      <c r="GYE8" s="58"/>
      <c r="GYF8" s="58"/>
      <c r="GYG8" s="58"/>
      <c r="GYH8" s="58"/>
      <c r="GYI8" s="58"/>
      <c r="GYJ8" s="58"/>
      <c r="GYK8" s="58"/>
      <c r="GYL8" s="58"/>
      <c r="GYM8" s="58"/>
      <c r="GYN8" s="58"/>
      <c r="GYO8" s="58"/>
      <c r="GYP8" s="58"/>
      <c r="GYQ8" s="58"/>
      <c r="GYR8" s="58"/>
      <c r="GYS8" s="58"/>
      <c r="GYT8" s="58"/>
      <c r="GYU8" s="58"/>
      <c r="GYV8" s="58"/>
      <c r="GYW8" s="58"/>
      <c r="GYX8" s="58"/>
      <c r="GYY8" s="58"/>
      <c r="GYZ8" s="58"/>
      <c r="GZA8" s="58"/>
      <c r="GZB8" s="58"/>
      <c r="GZC8" s="58"/>
      <c r="GZD8" s="58"/>
      <c r="GZE8" s="58"/>
      <c r="GZF8" s="58"/>
      <c r="GZG8" s="58"/>
      <c r="GZH8" s="58"/>
      <c r="GZI8" s="58"/>
      <c r="GZJ8" s="58"/>
      <c r="GZK8" s="58"/>
      <c r="GZL8" s="58"/>
      <c r="GZM8" s="58"/>
      <c r="GZN8" s="58"/>
      <c r="GZO8" s="58"/>
      <c r="GZP8" s="58"/>
      <c r="GZQ8" s="58"/>
      <c r="GZR8" s="58"/>
      <c r="GZS8" s="58"/>
      <c r="GZT8" s="58"/>
      <c r="GZU8" s="58"/>
      <c r="GZV8" s="58"/>
      <c r="GZW8" s="58"/>
      <c r="GZX8" s="58"/>
      <c r="GZY8" s="58"/>
      <c r="GZZ8" s="58"/>
      <c r="HAA8" s="58"/>
      <c r="HAB8" s="58"/>
      <c r="HAC8" s="58"/>
      <c r="HAD8" s="58"/>
      <c r="HAE8" s="58"/>
      <c r="HAF8" s="58"/>
      <c r="HAG8" s="58"/>
      <c r="HAH8" s="58"/>
      <c r="HAI8" s="58"/>
      <c r="HAJ8" s="58"/>
      <c r="HAK8" s="58"/>
      <c r="HAL8" s="58"/>
      <c r="HAM8" s="58"/>
      <c r="HAN8" s="58"/>
      <c r="HAO8" s="58"/>
      <c r="HAP8" s="58"/>
      <c r="HAQ8" s="58"/>
      <c r="HAR8" s="58"/>
      <c r="HAS8" s="58"/>
      <c r="HAT8" s="58"/>
      <c r="HAU8" s="58"/>
      <c r="HAV8" s="58"/>
      <c r="HAW8" s="58"/>
      <c r="HAX8" s="58"/>
      <c r="HAY8" s="58"/>
      <c r="HAZ8" s="58"/>
      <c r="HBA8" s="58"/>
      <c r="HBB8" s="58"/>
      <c r="HBC8" s="58"/>
      <c r="HBD8" s="58"/>
      <c r="HBE8" s="58"/>
      <c r="HBF8" s="58"/>
      <c r="HBG8" s="58"/>
      <c r="HBH8" s="58"/>
      <c r="HBI8" s="58"/>
      <c r="HBJ8" s="58"/>
      <c r="HBK8" s="58"/>
      <c r="HBL8" s="58"/>
      <c r="HBM8" s="58"/>
      <c r="HBN8" s="58"/>
      <c r="HBO8" s="58"/>
      <c r="HBP8" s="58"/>
      <c r="HBQ8" s="58"/>
      <c r="HBR8" s="58"/>
      <c r="HBS8" s="58"/>
      <c r="HBT8" s="58"/>
      <c r="HBU8" s="58"/>
      <c r="HBV8" s="58"/>
      <c r="HBW8" s="58"/>
      <c r="HBX8" s="58"/>
      <c r="HBY8" s="58"/>
      <c r="HBZ8" s="58"/>
      <c r="HCA8" s="58"/>
      <c r="HCB8" s="58"/>
      <c r="HCC8" s="58"/>
      <c r="HCD8" s="58"/>
      <c r="HCE8" s="58"/>
      <c r="HCF8" s="58"/>
      <c r="HCG8" s="58"/>
      <c r="HCH8" s="58"/>
      <c r="HCI8" s="58"/>
      <c r="HCJ8" s="58"/>
      <c r="HCK8" s="58"/>
      <c r="HCL8" s="58"/>
      <c r="HCM8" s="58"/>
      <c r="HCN8" s="58"/>
      <c r="HCO8" s="58"/>
      <c r="HCP8" s="58"/>
      <c r="HCQ8" s="58"/>
      <c r="HCR8" s="58"/>
      <c r="HCS8" s="58"/>
      <c r="HCT8" s="58"/>
      <c r="HCU8" s="58"/>
      <c r="HCV8" s="58"/>
      <c r="HCW8" s="58"/>
      <c r="HCX8" s="58"/>
      <c r="HCY8" s="58"/>
      <c r="HCZ8" s="58"/>
      <c r="HDA8" s="58"/>
      <c r="HDB8" s="58"/>
      <c r="HDC8" s="58"/>
      <c r="HDD8" s="58"/>
      <c r="HDE8" s="58"/>
      <c r="HDF8" s="58"/>
      <c r="HDG8" s="58"/>
      <c r="HDH8" s="58"/>
      <c r="HDI8" s="58"/>
      <c r="HDJ8" s="58"/>
      <c r="HDK8" s="58"/>
      <c r="HDL8" s="58"/>
      <c r="HDM8" s="58"/>
      <c r="HDN8" s="58"/>
      <c r="HDO8" s="58"/>
      <c r="HDP8" s="58"/>
      <c r="HDQ8" s="58"/>
      <c r="HDR8" s="58"/>
      <c r="HDS8" s="58"/>
      <c r="HDT8" s="58"/>
      <c r="HDU8" s="58"/>
      <c r="HDV8" s="58"/>
      <c r="HDW8" s="58"/>
      <c r="HDX8" s="58"/>
      <c r="HDY8" s="58"/>
      <c r="HDZ8" s="58"/>
      <c r="HEA8" s="58"/>
      <c r="HEB8" s="58"/>
      <c r="HEC8" s="58"/>
      <c r="HED8" s="58"/>
      <c r="HEE8" s="58"/>
      <c r="HEF8" s="58"/>
      <c r="HEG8" s="58"/>
      <c r="HEH8" s="58"/>
      <c r="HEI8" s="58"/>
      <c r="HEJ8" s="58"/>
      <c r="HEK8" s="58"/>
      <c r="HEL8" s="58"/>
      <c r="HEM8" s="58"/>
      <c r="HEN8" s="58"/>
      <c r="HEO8" s="58"/>
      <c r="HEP8" s="58"/>
      <c r="HEQ8" s="58"/>
      <c r="HER8" s="58"/>
      <c r="HES8" s="58"/>
      <c r="HET8" s="58"/>
      <c r="HEU8" s="58"/>
      <c r="HEV8" s="58"/>
      <c r="HEW8" s="58"/>
      <c r="HEX8" s="58"/>
      <c r="HEY8" s="58"/>
      <c r="HEZ8" s="58"/>
      <c r="HFA8" s="58"/>
      <c r="HFB8" s="58"/>
      <c r="HFC8" s="58"/>
      <c r="HFD8" s="58"/>
      <c r="HFE8" s="58"/>
      <c r="HFF8" s="58"/>
      <c r="HFG8" s="58"/>
      <c r="HFH8" s="58"/>
      <c r="HFI8" s="58"/>
      <c r="HFJ8" s="58"/>
      <c r="HFK8" s="58"/>
      <c r="HFL8" s="58"/>
      <c r="HFM8" s="58"/>
      <c r="HFN8" s="58"/>
      <c r="HFO8" s="58"/>
      <c r="HFP8" s="58"/>
      <c r="HFQ8" s="58"/>
      <c r="HFR8" s="58"/>
      <c r="HFS8" s="58"/>
      <c r="HFT8" s="58"/>
      <c r="HFU8" s="58"/>
      <c r="HFV8" s="58"/>
      <c r="HFW8" s="58"/>
      <c r="HFX8" s="58"/>
      <c r="HFY8" s="58"/>
      <c r="HFZ8" s="58"/>
      <c r="HGA8" s="58"/>
      <c r="HGB8" s="58"/>
      <c r="HGC8" s="58"/>
      <c r="HGD8" s="58"/>
      <c r="HGE8" s="58"/>
      <c r="HGF8" s="58"/>
      <c r="HGG8" s="58"/>
      <c r="HGH8" s="58"/>
      <c r="HGI8" s="58"/>
      <c r="HGJ8" s="58"/>
      <c r="HGK8" s="58"/>
      <c r="HGL8" s="58"/>
      <c r="HGM8" s="58"/>
      <c r="HGN8" s="58"/>
      <c r="HGO8" s="58"/>
      <c r="HGP8" s="58"/>
      <c r="HGQ8" s="58"/>
      <c r="HGR8" s="58"/>
      <c r="HGS8" s="58"/>
      <c r="HGT8" s="58"/>
      <c r="HGU8" s="58"/>
      <c r="HGV8" s="58"/>
      <c r="HGW8" s="58"/>
      <c r="HGX8" s="58"/>
      <c r="HGY8" s="58"/>
      <c r="HGZ8" s="58"/>
      <c r="HHA8" s="58"/>
      <c r="HHB8" s="58"/>
      <c r="HHC8" s="58"/>
      <c r="HHD8" s="58"/>
      <c r="HHE8" s="58"/>
      <c r="HHF8" s="58"/>
      <c r="HHG8" s="58"/>
      <c r="HHH8" s="58"/>
      <c r="HHI8" s="58"/>
      <c r="HHJ8" s="58"/>
      <c r="HHK8" s="58"/>
      <c r="HHL8" s="58"/>
      <c r="HHM8" s="58"/>
      <c r="HHN8" s="58"/>
      <c r="HHO8" s="58"/>
      <c r="HHP8" s="58"/>
      <c r="HHQ8" s="58"/>
      <c r="HHR8" s="58"/>
      <c r="HHS8" s="58"/>
      <c r="HHT8" s="58"/>
      <c r="HHU8" s="58"/>
      <c r="HHV8" s="58"/>
      <c r="HHW8" s="58"/>
      <c r="HHX8" s="58"/>
      <c r="HHY8" s="58"/>
      <c r="HHZ8" s="58"/>
      <c r="HIA8" s="58"/>
      <c r="HIB8" s="58"/>
      <c r="HIC8" s="58"/>
      <c r="HID8" s="58"/>
      <c r="HIE8" s="58"/>
      <c r="HIF8" s="58"/>
      <c r="HIG8" s="58"/>
      <c r="HIH8" s="58"/>
      <c r="HII8" s="58"/>
      <c r="HIJ8" s="58"/>
      <c r="HIK8" s="58"/>
      <c r="HIL8" s="58"/>
      <c r="HIM8" s="58"/>
      <c r="HIN8" s="58"/>
      <c r="HIO8" s="58"/>
      <c r="HIP8" s="58"/>
      <c r="HIQ8" s="58"/>
      <c r="HIR8" s="58"/>
      <c r="HIS8" s="58"/>
      <c r="HIT8" s="58"/>
      <c r="HIU8" s="58"/>
      <c r="HIV8" s="58"/>
      <c r="HIW8" s="58"/>
      <c r="HIX8" s="58"/>
      <c r="HIY8" s="58"/>
      <c r="HIZ8" s="58"/>
      <c r="HJA8" s="58"/>
      <c r="HJB8" s="58"/>
      <c r="HJC8" s="58"/>
      <c r="HJD8" s="58"/>
      <c r="HJE8" s="58"/>
      <c r="HJF8" s="58"/>
      <c r="HJG8" s="58"/>
      <c r="HJH8" s="58"/>
      <c r="HJI8" s="58"/>
      <c r="HJJ8" s="58"/>
      <c r="HJK8" s="58"/>
      <c r="HJL8" s="58"/>
      <c r="HJM8" s="58"/>
      <c r="HJN8" s="58"/>
      <c r="HJO8" s="58"/>
      <c r="HJP8" s="58"/>
      <c r="HJQ8" s="58"/>
      <c r="HJR8" s="58"/>
      <c r="HJS8" s="58"/>
      <c r="HJT8" s="58"/>
      <c r="HJU8" s="58"/>
      <c r="HJV8" s="58"/>
      <c r="HJW8" s="58"/>
      <c r="HJX8" s="58"/>
      <c r="HJY8" s="58"/>
      <c r="HJZ8" s="58"/>
      <c r="HKA8" s="58"/>
      <c r="HKB8" s="58"/>
      <c r="HKC8" s="58"/>
      <c r="HKD8" s="58"/>
      <c r="HKE8" s="58"/>
      <c r="HKF8" s="58"/>
      <c r="HKG8" s="58"/>
      <c r="HKH8" s="58"/>
      <c r="HKI8" s="58"/>
      <c r="HKJ8" s="58"/>
      <c r="HKK8" s="58"/>
      <c r="HKL8" s="58"/>
      <c r="HKM8" s="58"/>
      <c r="HKN8" s="58"/>
      <c r="HKO8" s="58"/>
      <c r="HKP8" s="58"/>
      <c r="HKQ8" s="58"/>
      <c r="HKR8" s="58"/>
      <c r="HKS8" s="58"/>
      <c r="HKT8" s="58"/>
      <c r="HKU8" s="58"/>
      <c r="HKV8" s="58"/>
      <c r="HKW8" s="58"/>
      <c r="HKX8" s="58"/>
      <c r="HKY8" s="58"/>
      <c r="HKZ8" s="58"/>
      <c r="HLA8" s="58"/>
      <c r="HLB8" s="58"/>
      <c r="HLC8" s="58"/>
      <c r="HLD8" s="58"/>
      <c r="HLE8" s="58"/>
      <c r="HLF8" s="58"/>
      <c r="HLG8" s="58"/>
      <c r="HLH8" s="58"/>
      <c r="HLI8" s="58"/>
      <c r="HLJ8" s="58"/>
      <c r="HLK8" s="58"/>
      <c r="HLL8" s="58"/>
      <c r="HLM8" s="58"/>
      <c r="HLN8" s="58"/>
      <c r="HLO8" s="58"/>
      <c r="HLP8" s="58"/>
      <c r="HLQ8" s="58"/>
      <c r="HLR8" s="58"/>
      <c r="HLS8" s="58"/>
      <c r="HLT8" s="58"/>
      <c r="HLU8" s="58"/>
      <c r="HLV8" s="58"/>
      <c r="HLW8" s="58"/>
      <c r="HLX8" s="58"/>
      <c r="HLY8" s="58"/>
      <c r="HLZ8" s="58"/>
      <c r="HMA8" s="58"/>
      <c r="HMB8" s="58"/>
      <c r="HMC8" s="58"/>
      <c r="HMD8" s="58"/>
      <c r="HME8" s="58"/>
      <c r="HMF8" s="58"/>
      <c r="HMG8" s="58"/>
      <c r="HMH8" s="58"/>
      <c r="HMI8" s="58"/>
      <c r="HMJ8" s="58"/>
      <c r="HMK8" s="58"/>
      <c r="HML8" s="58"/>
      <c r="HMM8" s="58"/>
      <c r="HMN8" s="58"/>
      <c r="HMO8" s="58"/>
      <c r="HMP8" s="58"/>
      <c r="HMQ8" s="58"/>
      <c r="HMR8" s="58"/>
      <c r="HMS8" s="58"/>
      <c r="HMT8" s="58"/>
      <c r="HMU8" s="58"/>
      <c r="HMV8" s="58"/>
      <c r="HMW8" s="58"/>
      <c r="HMX8" s="58"/>
      <c r="HMY8" s="58"/>
      <c r="HMZ8" s="58"/>
      <c r="HNA8" s="58"/>
      <c r="HNB8" s="58"/>
      <c r="HNC8" s="58"/>
      <c r="HND8" s="58"/>
      <c r="HNE8" s="58"/>
      <c r="HNF8" s="58"/>
      <c r="HNG8" s="58"/>
      <c r="HNH8" s="58"/>
      <c r="HNI8" s="58"/>
      <c r="HNJ8" s="58"/>
      <c r="HNK8" s="58"/>
      <c r="HNL8" s="58"/>
      <c r="HNM8" s="58"/>
      <c r="HNN8" s="58"/>
      <c r="HNO8" s="58"/>
      <c r="HNP8" s="58"/>
      <c r="HNQ8" s="58"/>
      <c r="HNR8" s="58"/>
      <c r="HNS8" s="58"/>
      <c r="HNT8" s="58"/>
      <c r="HNU8" s="58"/>
      <c r="HNV8" s="58"/>
      <c r="HNW8" s="58"/>
      <c r="HNX8" s="58"/>
      <c r="HNY8" s="58"/>
      <c r="HNZ8" s="58"/>
      <c r="HOA8" s="58"/>
      <c r="HOB8" s="58"/>
      <c r="HOC8" s="58"/>
      <c r="HOD8" s="58"/>
      <c r="HOE8" s="58"/>
      <c r="HOF8" s="58"/>
      <c r="HOG8" s="58"/>
      <c r="HOH8" s="58"/>
      <c r="HOI8" s="58"/>
      <c r="HOJ8" s="58"/>
      <c r="HOK8" s="58"/>
      <c r="HOL8" s="58"/>
      <c r="HOM8" s="58"/>
      <c r="HON8" s="58"/>
      <c r="HOO8" s="58"/>
      <c r="HOP8" s="58"/>
      <c r="HOQ8" s="58"/>
      <c r="HOR8" s="58"/>
      <c r="HOS8" s="58"/>
      <c r="HOT8" s="58"/>
      <c r="HOU8" s="58"/>
      <c r="HOV8" s="58"/>
      <c r="HOW8" s="58"/>
      <c r="HOX8" s="58"/>
      <c r="HOY8" s="58"/>
      <c r="HOZ8" s="58"/>
      <c r="HPA8" s="58"/>
      <c r="HPB8" s="58"/>
      <c r="HPC8" s="58"/>
      <c r="HPD8" s="58"/>
      <c r="HPE8" s="58"/>
      <c r="HPF8" s="58"/>
      <c r="HPG8" s="58"/>
      <c r="HPH8" s="58"/>
      <c r="HPI8" s="58"/>
      <c r="HPJ8" s="58"/>
      <c r="HPK8" s="58"/>
      <c r="HPL8" s="58"/>
      <c r="HPM8" s="58"/>
      <c r="HPN8" s="58"/>
      <c r="HPO8" s="58"/>
      <c r="HPP8" s="58"/>
      <c r="HPQ8" s="58"/>
      <c r="HPR8" s="58"/>
      <c r="HPS8" s="58"/>
      <c r="HPT8" s="58"/>
      <c r="HPU8" s="58"/>
      <c r="HPV8" s="58"/>
      <c r="HPW8" s="58"/>
      <c r="HPX8" s="58"/>
      <c r="HPY8" s="58"/>
      <c r="HPZ8" s="58"/>
      <c r="HQA8" s="58"/>
      <c r="HQB8" s="58"/>
      <c r="HQC8" s="58"/>
      <c r="HQD8" s="58"/>
      <c r="HQE8" s="58"/>
      <c r="HQF8" s="58"/>
      <c r="HQG8" s="58"/>
      <c r="HQH8" s="58"/>
      <c r="HQI8" s="58"/>
      <c r="HQJ8" s="58"/>
      <c r="HQK8" s="58"/>
      <c r="HQL8" s="58"/>
      <c r="HQM8" s="58"/>
      <c r="HQN8" s="58"/>
      <c r="HQO8" s="58"/>
      <c r="HQP8" s="58"/>
      <c r="HQQ8" s="58"/>
      <c r="HQR8" s="58"/>
      <c r="HQS8" s="58"/>
      <c r="HQT8" s="58"/>
      <c r="HQU8" s="58"/>
      <c r="HQV8" s="58"/>
      <c r="HQW8" s="58"/>
      <c r="HQX8" s="58"/>
      <c r="HQY8" s="58"/>
      <c r="HQZ8" s="58"/>
      <c r="HRA8" s="58"/>
      <c r="HRB8" s="58"/>
      <c r="HRC8" s="58"/>
      <c r="HRD8" s="58"/>
      <c r="HRE8" s="58"/>
      <c r="HRF8" s="58"/>
      <c r="HRG8" s="58"/>
      <c r="HRH8" s="58"/>
      <c r="HRI8" s="58"/>
      <c r="HRJ8" s="58"/>
      <c r="HRK8" s="58"/>
      <c r="HRL8" s="58"/>
      <c r="HRM8" s="58"/>
      <c r="HRN8" s="58"/>
      <c r="HRO8" s="58"/>
      <c r="HRP8" s="58"/>
      <c r="HRQ8" s="58"/>
      <c r="HRR8" s="58"/>
      <c r="HRS8" s="58"/>
      <c r="HRT8" s="58"/>
      <c r="HRU8" s="58"/>
      <c r="HRV8" s="58"/>
      <c r="HRW8" s="58"/>
      <c r="HRX8" s="58"/>
      <c r="HRY8" s="58"/>
      <c r="HRZ8" s="58"/>
      <c r="HSA8" s="58"/>
      <c r="HSB8" s="58"/>
      <c r="HSC8" s="58"/>
      <c r="HSD8" s="58"/>
      <c r="HSE8" s="58"/>
      <c r="HSF8" s="58"/>
      <c r="HSG8" s="58"/>
      <c r="HSH8" s="58"/>
      <c r="HSI8" s="58"/>
      <c r="HSJ8" s="58"/>
      <c r="HSK8" s="58"/>
      <c r="HSL8" s="58"/>
      <c r="HSM8" s="58"/>
      <c r="HSN8" s="58"/>
      <c r="HSO8" s="58"/>
      <c r="HSP8" s="58"/>
      <c r="HSQ8" s="58"/>
      <c r="HSR8" s="58"/>
      <c r="HSS8" s="58"/>
      <c r="HST8" s="58"/>
      <c r="HSU8" s="58"/>
      <c r="HSV8" s="58"/>
      <c r="HSW8" s="58"/>
      <c r="HSX8" s="58"/>
      <c r="HSY8" s="58"/>
      <c r="HSZ8" s="58"/>
      <c r="HTA8" s="58"/>
      <c r="HTB8" s="58"/>
      <c r="HTC8" s="58"/>
      <c r="HTD8" s="58"/>
      <c r="HTE8" s="58"/>
      <c r="HTF8" s="58"/>
      <c r="HTG8" s="58"/>
      <c r="HTH8" s="58"/>
      <c r="HTI8" s="58"/>
      <c r="HTJ8" s="58"/>
      <c r="HTK8" s="58"/>
      <c r="HTL8" s="58"/>
      <c r="HTM8" s="58"/>
      <c r="HTN8" s="58"/>
      <c r="HTO8" s="58"/>
      <c r="HTP8" s="58"/>
      <c r="HTQ8" s="58"/>
      <c r="HTR8" s="58"/>
      <c r="HTS8" s="58"/>
      <c r="HTT8" s="58"/>
      <c r="HTU8" s="58"/>
      <c r="HTV8" s="58"/>
      <c r="HTW8" s="58"/>
      <c r="HTX8" s="58"/>
      <c r="HTY8" s="58"/>
      <c r="HTZ8" s="58"/>
      <c r="HUA8" s="58"/>
      <c r="HUB8" s="58"/>
      <c r="HUC8" s="58"/>
      <c r="HUD8" s="58"/>
      <c r="HUE8" s="58"/>
      <c r="HUF8" s="58"/>
      <c r="HUG8" s="58"/>
      <c r="HUH8" s="58"/>
      <c r="HUI8" s="58"/>
      <c r="HUJ8" s="58"/>
      <c r="HUK8" s="58"/>
      <c r="HUL8" s="58"/>
      <c r="HUM8" s="58"/>
      <c r="HUN8" s="58"/>
      <c r="HUO8" s="58"/>
      <c r="HUP8" s="58"/>
      <c r="HUQ8" s="58"/>
      <c r="HUR8" s="58"/>
      <c r="HUS8" s="58"/>
      <c r="HUT8" s="58"/>
      <c r="HUU8" s="58"/>
      <c r="HUV8" s="58"/>
      <c r="HUW8" s="58"/>
      <c r="HUX8" s="58"/>
      <c r="HUY8" s="58"/>
      <c r="HUZ8" s="58"/>
      <c r="HVA8" s="58"/>
      <c r="HVB8" s="58"/>
      <c r="HVC8" s="58"/>
      <c r="HVD8" s="58"/>
      <c r="HVE8" s="58"/>
      <c r="HVF8" s="58"/>
      <c r="HVG8" s="58"/>
      <c r="HVH8" s="58"/>
      <c r="HVI8" s="58"/>
      <c r="HVJ8" s="58"/>
      <c r="HVK8" s="58"/>
      <c r="HVL8" s="58"/>
      <c r="HVM8" s="58"/>
      <c r="HVN8" s="58"/>
      <c r="HVO8" s="58"/>
      <c r="HVP8" s="58"/>
      <c r="HVQ8" s="58"/>
      <c r="HVR8" s="58"/>
      <c r="HVS8" s="58"/>
      <c r="HVT8" s="58"/>
      <c r="HVU8" s="58"/>
      <c r="HVV8" s="58"/>
      <c r="HVW8" s="58"/>
      <c r="HVX8" s="58"/>
      <c r="HVY8" s="58"/>
      <c r="HVZ8" s="58"/>
      <c r="HWA8" s="58"/>
      <c r="HWB8" s="58"/>
      <c r="HWC8" s="58"/>
      <c r="HWD8" s="58"/>
      <c r="HWE8" s="58"/>
      <c r="HWF8" s="58"/>
      <c r="HWG8" s="58"/>
      <c r="HWH8" s="58"/>
      <c r="HWI8" s="58"/>
      <c r="HWJ8" s="58"/>
      <c r="HWK8" s="58"/>
      <c r="HWL8" s="58"/>
      <c r="HWM8" s="58"/>
      <c r="HWN8" s="58"/>
      <c r="HWO8" s="58"/>
      <c r="HWP8" s="58"/>
      <c r="HWQ8" s="58"/>
      <c r="HWR8" s="58"/>
      <c r="HWS8" s="58"/>
      <c r="HWT8" s="58"/>
      <c r="HWU8" s="58"/>
      <c r="HWV8" s="58"/>
      <c r="HWW8" s="58"/>
      <c r="HWX8" s="58"/>
      <c r="HWY8" s="58"/>
      <c r="HWZ8" s="58"/>
      <c r="HXA8" s="58"/>
      <c r="HXB8" s="58"/>
      <c r="HXC8" s="58"/>
      <c r="HXD8" s="58"/>
      <c r="HXE8" s="58"/>
      <c r="HXF8" s="58"/>
      <c r="HXG8" s="58"/>
      <c r="HXH8" s="58"/>
      <c r="HXI8" s="58"/>
      <c r="HXJ8" s="58"/>
      <c r="HXK8" s="58"/>
      <c r="HXL8" s="58"/>
      <c r="HXM8" s="58"/>
      <c r="HXN8" s="58"/>
      <c r="HXO8" s="58"/>
      <c r="HXP8" s="58"/>
      <c r="HXQ8" s="58"/>
      <c r="HXR8" s="58"/>
      <c r="HXS8" s="58"/>
      <c r="HXT8" s="58"/>
      <c r="HXU8" s="58"/>
      <c r="HXV8" s="58"/>
      <c r="HXW8" s="58"/>
      <c r="HXX8" s="58"/>
      <c r="HXY8" s="58"/>
      <c r="HXZ8" s="58"/>
      <c r="HYA8" s="58"/>
      <c r="HYB8" s="58"/>
      <c r="HYC8" s="58"/>
      <c r="HYD8" s="58"/>
      <c r="HYE8" s="58"/>
      <c r="HYF8" s="58"/>
      <c r="HYG8" s="58"/>
      <c r="HYH8" s="58"/>
      <c r="HYI8" s="58"/>
      <c r="HYJ8" s="58"/>
      <c r="HYK8" s="58"/>
      <c r="HYL8" s="58"/>
      <c r="HYM8" s="58"/>
      <c r="HYN8" s="58"/>
      <c r="HYO8" s="58"/>
      <c r="HYP8" s="58"/>
      <c r="HYQ8" s="58"/>
      <c r="HYR8" s="58"/>
      <c r="HYS8" s="58"/>
      <c r="HYT8" s="58"/>
      <c r="HYU8" s="58"/>
      <c r="HYV8" s="58"/>
      <c r="HYW8" s="58"/>
      <c r="HYX8" s="58"/>
      <c r="HYY8" s="58"/>
      <c r="HYZ8" s="58"/>
      <c r="HZA8" s="58"/>
      <c r="HZB8" s="58"/>
      <c r="HZC8" s="58"/>
      <c r="HZD8" s="58"/>
      <c r="HZE8" s="58"/>
      <c r="HZF8" s="58"/>
      <c r="HZG8" s="58"/>
      <c r="HZH8" s="58"/>
      <c r="HZI8" s="58"/>
      <c r="HZJ8" s="58"/>
      <c r="HZK8" s="58"/>
      <c r="HZL8" s="58"/>
      <c r="HZM8" s="58"/>
      <c r="HZN8" s="58"/>
      <c r="HZO8" s="58"/>
      <c r="HZP8" s="58"/>
      <c r="HZQ8" s="58"/>
      <c r="HZR8" s="58"/>
      <c r="HZS8" s="58"/>
      <c r="HZT8" s="58"/>
      <c r="HZU8" s="58"/>
      <c r="HZV8" s="58"/>
      <c r="HZW8" s="58"/>
      <c r="HZX8" s="58"/>
      <c r="HZY8" s="58"/>
      <c r="HZZ8" s="58"/>
      <c r="IAA8" s="58"/>
      <c r="IAB8" s="58"/>
      <c r="IAC8" s="58"/>
      <c r="IAD8" s="58"/>
      <c r="IAE8" s="58"/>
      <c r="IAF8" s="58"/>
      <c r="IAG8" s="58"/>
      <c r="IAH8" s="58"/>
      <c r="IAI8" s="58"/>
      <c r="IAJ8" s="58"/>
      <c r="IAK8" s="58"/>
      <c r="IAL8" s="58"/>
      <c r="IAM8" s="58"/>
      <c r="IAN8" s="58"/>
      <c r="IAO8" s="58"/>
      <c r="IAP8" s="58"/>
      <c r="IAQ8" s="58"/>
      <c r="IAR8" s="58"/>
      <c r="IAS8" s="58"/>
      <c r="IAT8" s="58"/>
      <c r="IAU8" s="58"/>
      <c r="IAV8" s="58"/>
      <c r="IAW8" s="58"/>
      <c r="IAX8" s="58"/>
      <c r="IAY8" s="58"/>
      <c r="IAZ8" s="58"/>
      <c r="IBA8" s="58"/>
      <c r="IBB8" s="58"/>
      <c r="IBC8" s="58"/>
      <c r="IBD8" s="58"/>
      <c r="IBE8" s="58"/>
      <c r="IBF8" s="58"/>
      <c r="IBG8" s="58"/>
      <c r="IBH8" s="58"/>
      <c r="IBI8" s="58"/>
      <c r="IBJ8" s="58"/>
      <c r="IBK8" s="58"/>
      <c r="IBL8" s="58"/>
      <c r="IBM8" s="58"/>
      <c r="IBN8" s="58"/>
      <c r="IBO8" s="58"/>
      <c r="IBP8" s="58"/>
      <c r="IBQ8" s="58"/>
      <c r="IBR8" s="58"/>
      <c r="IBS8" s="58"/>
      <c r="IBT8" s="58"/>
      <c r="IBU8" s="58"/>
      <c r="IBV8" s="58"/>
      <c r="IBW8" s="58"/>
      <c r="IBX8" s="58"/>
      <c r="IBY8" s="58"/>
      <c r="IBZ8" s="58"/>
      <c r="ICA8" s="58"/>
      <c r="ICB8" s="58"/>
      <c r="ICC8" s="58"/>
      <c r="ICD8" s="58"/>
      <c r="ICE8" s="58"/>
      <c r="ICF8" s="58"/>
      <c r="ICG8" s="58"/>
      <c r="ICH8" s="58"/>
      <c r="ICI8" s="58"/>
      <c r="ICJ8" s="58"/>
      <c r="ICK8" s="58"/>
      <c r="ICL8" s="58"/>
      <c r="ICM8" s="58"/>
      <c r="ICN8" s="58"/>
      <c r="ICO8" s="58"/>
      <c r="ICP8" s="58"/>
      <c r="ICQ8" s="58"/>
      <c r="ICR8" s="58"/>
      <c r="ICS8" s="58"/>
      <c r="ICT8" s="58"/>
      <c r="ICU8" s="58"/>
      <c r="ICV8" s="58"/>
      <c r="ICW8" s="58"/>
      <c r="ICX8" s="58"/>
      <c r="ICY8" s="58"/>
      <c r="ICZ8" s="58"/>
      <c r="IDA8" s="58"/>
      <c r="IDB8" s="58"/>
      <c r="IDC8" s="58"/>
      <c r="IDD8" s="58"/>
      <c r="IDE8" s="58"/>
      <c r="IDF8" s="58"/>
      <c r="IDG8" s="58"/>
      <c r="IDH8" s="58"/>
      <c r="IDI8" s="58"/>
      <c r="IDJ8" s="58"/>
      <c r="IDK8" s="58"/>
      <c r="IDL8" s="58"/>
      <c r="IDM8" s="58"/>
      <c r="IDN8" s="58"/>
      <c r="IDO8" s="58"/>
      <c r="IDP8" s="58"/>
      <c r="IDQ8" s="58"/>
      <c r="IDR8" s="58"/>
      <c r="IDS8" s="58"/>
      <c r="IDT8" s="58"/>
      <c r="IDU8" s="58"/>
      <c r="IDV8" s="58"/>
      <c r="IDW8" s="58"/>
      <c r="IDX8" s="58"/>
      <c r="IDY8" s="58"/>
      <c r="IDZ8" s="58"/>
      <c r="IEA8" s="58"/>
      <c r="IEB8" s="58"/>
      <c r="IEC8" s="58"/>
      <c r="IED8" s="58"/>
      <c r="IEE8" s="58"/>
      <c r="IEF8" s="58"/>
      <c r="IEG8" s="58"/>
      <c r="IEH8" s="58"/>
      <c r="IEI8" s="58"/>
      <c r="IEJ8" s="58"/>
      <c r="IEK8" s="58"/>
      <c r="IEL8" s="58"/>
      <c r="IEM8" s="58"/>
      <c r="IEN8" s="58"/>
      <c r="IEO8" s="58"/>
      <c r="IEP8" s="58"/>
      <c r="IEQ8" s="58"/>
      <c r="IER8" s="58"/>
      <c r="IES8" s="58"/>
      <c r="IET8" s="58"/>
      <c r="IEU8" s="58"/>
      <c r="IEV8" s="58"/>
      <c r="IEW8" s="58"/>
      <c r="IEX8" s="58"/>
      <c r="IEY8" s="58"/>
      <c r="IEZ8" s="58"/>
      <c r="IFA8" s="58"/>
      <c r="IFB8" s="58"/>
      <c r="IFC8" s="58"/>
      <c r="IFD8" s="58"/>
      <c r="IFE8" s="58"/>
      <c r="IFF8" s="58"/>
      <c r="IFG8" s="58"/>
      <c r="IFH8" s="58"/>
      <c r="IFI8" s="58"/>
      <c r="IFJ8" s="58"/>
      <c r="IFK8" s="58"/>
      <c r="IFL8" s="58"/>
      <c r="IFM8" s="58"/>
      <c r="IFN8" s="58"/>
      <c r="IFO8" s="58"/>
      <c r="IFP8" s="58"/>
      <c r="IFQ8" s="58"/>
      <c r="IFR8" s="58"/>
      <c r="IFS8" s="58"/>
      <c r="IFT8" s="58"/>
      <c r="IFU8" s="58"/>
      <c r="IFV8" s="58"/>
      <c r="IFW8" s="58"/>
      <c r="IFX8" s="58"/>
      <c r="IFY8" s="58"/>
      <c r="IFZ8" s="58"/>
      <c r="IGA8" s="58"/>
      <c r="IGB8" s="58"/>
      <c r="IGC8" s="58"/>
      <c r="IGD8" s="58"/>
      <c r="IGE8" s="58"/>
      <c r="IGF8" s="58"/>
      <c r="IGG8" s="58"/>
      <c r="IGH8" s="58"/>
      <c r="IGI8" s="58"/>
      <c r="IGJ8" s="58"/>
      <c r="IGK8" s="58"/>
      <c r="IGL8" s="58"/>
      <c r="IGM8" s="58"/>
      <c r="IGN8" s="58"/>
      <c r="IGO8" s="58"/>
      <c r="IGP8" s="58"/>
      <c r="IGQ8" s="58"/>
      <c r="IGR8" s="58"/>
      <c r="IGS8" s="58"/>
      <c r="IGT8" s="58"/>
      <c r="IGU8" s="58"/>
      <c r="IGV8" s="58"/>
      <c r="IGW8" s="58"/>
      <c r="IGX8" s="58"/>
      <c r="IGY8" s="58"/>
      <c r="IGZ8" s="58"/>
      <c r="IHA8" s="58"/>
      <c r="IHB8" s="58"/>
      <c r="IHC8" s="58"/>
      <c r="IHD8" s="58"/>
      <c r="IHE8" s="58"/>
      <c r="IHF8" s="58"/>
      <c r="IHG8" s="58"/>
      <c r="IHH8" s="58"/>
      <c r="IHI8" s="58"/>
      <c r="IHJ8" s="58"/>
      <c r="IHK8" s="58"/>
      <c r="IHL8" s="58"/>
      <c r="IHM8" s="58"/>
      <c r="IHN8" s="58"/>
      <c r="IHO8" s="58"/>
      <c r="IHP8" s="58"/>
      <c r="IHQ8" s="58"/>
      <c r="IHR8" s="58"/>
      <c r="IHS8" s="58"/>
      <c r="IHT8" s="58"/>
      <c r="IHU8" s="58"/>
      <c r="IHV8" s="58"/>
      <c r="IHW8" s="58"/>
      <c r="IHX8" s="58"/>
      <c r="IHY8" s="58"/>
      <c r="IHZ8" s="58"/>
      <c r="IIA8" s="58"/>
      <c r="IIB8" s="58"/>
      <c r="IIC8" s="58"/>
      <c r="IID8" s="58"/>
      <c r="IIE8" s="58"/>
      <c r="IIF8" s="58"/>
      <c r="IIG8" s="58"/>
      <c r="IIH8" s="58"/>
      <c r="III8" s="58"/>
      <c r="IIJ8" s="58"/>
      <c r="IIK8" s="58"/>
      <c r="IIL8" s="58"/>
      <c r="IIM8" s="58"/>
      <c r="IIN8" s="58"/>
      <c r="IIO8" s="58"/>
      <c r="IIP8" s="58"/>
      <c r="IIQ8" s="58"/>
      <c r="IIR8" s="58"/>
      <c r="IIS8" s="58"/>
      <c r="IIT8" s="58"/>
      <c r="IIU8" s="58"/>
      <c r="IIV8" s="58"/>
      <c r="IIW8" s="58"/>
      <c r="IIX8" s="58"/>
      <c r="IIY8" s="58"/>
      <c r="IIZ8" s="58"/>
      <c r="IJA8" s="58"/>
      <c r="IJB8" s="58"/>
      <c r="IJC8" s="58"/>
      <c r="IJD8" s="58"/>
      <c r="IJE8" s="58"/>
      <c r="IJF8" s="58"/>
      <c r="IJG8" s="58"/>
      <c r="IJH8" s="58"/>
      <c r="IJI8" s="58"/>
      <c r="IJJ8" s="58"/>
      <c r="IJK8" s="58"/>
      <c r="IJL8" s="58"/>
      <c r="IJM8" s="58"/>
      <c r="IJN8" s="58"/>
      <c r="IJO8" s="58"/>
      <c r="IJP8" s="58"/>
      <c r="IJQ8" s="58"/>
      <c r="IJR8" s="58"/>
      <c r="IJS8" s="58"/>
      <c r="IJT8" s="58"/>
      <c r="IJU8" s="58"/>
      <c r="IJV8" s="58"/>
      <c r="IJW8" s="58"/>
      <c r="IJX8" s="58"/>
      <c r="IJY8" s="58"/>
      <c r="IJZ8" s="58"/>
      <c r="IKA8" s="58"/>
      <c r="IKB8" s="58"/>
      <c r="IKC8" s="58"/>
      <c r="IKD8" s="58"/>
      <c r="IKE8" s="58"/>
      <c r="IKF8" s="58"/>
      <c r="IKG8" s="58"/>
      <c r="IKH8" s="58"/>
      <c r="IKI8" s="58"/>
      <c r="IKJ8" s="58"/>
      <c r="IKK8" s="58"/>
      <c r="IKL8" s="58"/>
      <c r="IKM8" s="58"/>
      <c r="IKN8" s="58"/>
      <c r="IKO8" s="58"/>
      <c r="IKP8" s="58"/>
      <c r="IKQ8" s="58"/>
      <c r="IKR8" s="58"/>
      <c r="IKS8" s="58"/>
      <c r="IKT8" s="58"/>
      <c r="IKU8" s="58"/>
      <c r="IKV8" s="58"/>
      <c r="IKW8" s="58"/>
      <c r="IKX8" s="58"/>
      <c r="IKY8" s="58"/>
      <c r="IKZ8" s="58"/>
      <c r="ILA8" s="58"/>
      <c r="ILB8" s="58"/>
      <c r="ILC8" s="58"/>
      <c r="ILD8" s="58"/>
      <c r="ILE8" s="58"/>
      <c r="ILF8" s="58"/>
      <c r="ILG8" s="58"/>
      <c r="ILH8" s="58"/>
      <c r="ILI8" s="58"/>
      <c r="ILJ8" s="58"/>
      <c r="ILK8" s="58"/>
      <c r="ILL8" s="58"/>
      <c r="ILM8" s="58"/>
      <c r="ILN8" s="58"/>
      <c r="ILO8" s="58"/>
      <c r="ILP8" s="58"/>
      <c r="ILQ8" s="58"/>
      <c r="ILR8" s="58"/>
      <c r="ILS8" s="58"/>
      <c r="ILT8" s="58"/>
      <c r="ILU8" s="58"/>
      <c r="ILV8" s="58"/>
      <c r="ILW8" s="58"/>
      <c r="ILX8" s="58"/>
      <c r="ILY8" s="58"/>
      <c r="ILZ8" s="58"/>
      <c r="IMA8" s="58"/>
      <c r="IMB8" s="58"/>
      <c r="IMC8" s="58"/>
      <c r="IMD8" s="58"/>
      <c r="IME8" s="58"/>
      <c r="IMF8" s="58"/>
      <c r="IMG8" s="58"/>
      <c r="IMH8" s="58"/>
      <c r="IMI8" s="58"/>
      <c r="IMJ8" s="58"/>
      <c r="IMK8" s="58"/>
      <c r="IML8" s="58"/>
      <c r="IMM8" s="58"/>
      <c r="IMN8" s="58"/>
      <c r="IMO8" s="58"/>
      <c r="IMP8" s="58"/>
      <c r="IMQ8" s="58"/>
      <c r="IMR8" s="58"/>
      <c r="IMS8" s="58"/>
      <c r="IMT8" s="58"/>
      <c r="IMU8" s="58"/>
      <c r="IMV8" s="58"/>
      <c r="IMW8" s="58"/>
      <c r="IMX8" s="58"/>
      <c r="IMY8" s="58"/>
      <c r="IMZ8" s="58"/>
      <c r="INA8" s="58"/>
      <c r="INB8" s="58"/>
      <c r="INC8" s="58"/>
      <c r="IND8" s="58"/>
      <c r="INE8" s="58"/>
      <c r="INF8" s="58"/>
      <c r="ING8" s="58"/>
      <c r="INH8" s="58"/>
      <c r="INI8" s="58"/>
      <c r="INJ8" s="58"/>
      <c r="INK8" s="58"/>
      <c r="INL8" s="58"/>
      <c r="INM8" s="58"/>
      <c r="INN8" s="58"/>
      <c r="INO8" s="58"/>
      <c r="INP8" s="58"/>
      <c r="INQ8" s="58"/>
      <c r="INR8" s="58"/>
      <c r="INS8" s="58"/>
      <c r="INT8" s="58"/>
      <c r="INU8" s="58"/>
      <c r="INV8" s="58"/>
      <c r="INW8" s="58"/>
      <c r="INX8" s="58"/>
      <c r="INY8" s="58"/>
      <c r="INZ8" s="58"/>
      <c r="IOA8" s="58"/>
      <c r="IOB8" s="58"/>
      <c r="IOC8" s="58"/>
      <c r="IOD8" s="58"/>
      <c r="IOE8" s="58"/>
      <c r="IOF8" s="58"/>
      <c r="IOG8" s="58"/>
      <c r="IOH8" s="58"/>
      <c r="IOI8" s="58"/>
      <c r="IOJ8" s="58"/>
      <c r="IOK8" s="58"/>
      <c r="IOL8" s="58"/>
      <c r="IOM8" s="58"/>
      <c r="ION8" s="58"/>
      <c r="IOO8" s="58"/>
      <c r="IOP8" s="58"/>
      <c r="IOQ8" s="58"/>
      <c r="IOR8" s="58"/>
      <c r="IOS8" s="58"/>
      <c r="IOT8" s="58"/>
      <c r="IOU8" s="58"/>
      <c r="IOV8" s="58"/>
      <c r="IOW8" s="58"/>
      <c r="IOX8" s="58"/>
      <c r="IOY8" s="58"/>
      <c r="IOZ8" s="58"/>
      <c r="IPA8" s="58"/>
      <c r="IPB8" s="58"/>
      <c r="IPC8" s="58"/>
      <c r="IPD8" s="58"/>
      <c r="IPE8" s="58"/>
      <c r="IPF8" s="58"/>
      <c r="IPG8" s="58"/>
      <c r="IPH8" s="58"/>
      <c r="IPI8" s="58"/>
      <c r="IPJ8" s="58"/>
      <c r="IPK8" s="58"/>
      <c r="IPL8" s="58"/>
      <c r="IPM8" s="58"/>
      <c r="IPN8" s="58"/>
      <c r="IPO8" s="58"/>
      <c r="IPP8" s="58"/>
      <c r="IPQ8" s="58"/>
      <c r="IPR8" s="58"/>
      <c r="IPS8" s="58"/>
      <c r="IPT8" s="58"/>
      <c r="IPU8" s="58"/>
      <c r="IPV8" s="58"/>
      <c r="IPW8" s="58"/>
      <c r="IPX8" s="58"/>
      <c r="IPY8" s="58"/>
      <c r="IPZ8" s="58"/>
      <c r="IQA8" s="58"/>
      <c r="IQB8" s="58"/>
      <c r="IQC8" s="58"/>
      <c r="IQD8" s="58"/>
      <c r="IQE8" s="58"/>
      <c r="IQF8" s="58"/>
      <c r="IQG8" s="58"/>
      <c r="IQH8" s="58"/>
      <c r="IQI8" s="58"/>
      <c r="IQJ8" s="58"/>
      <c r="IQK8" s="58"/>
      <c r="IQL8" s="58"/>
      <c r="IQM8" s="58"/>
      <c r="IQN8" s="58"/>
      <c r="IQO8" s="58"/>
      <c r="IQP8" s="58"/>
      <c r="IQQ8" s="58"/>
      <c r="IQR8" s="58"/>
      <c r="IQS8" s="58"/>
      <c r="IQT8" s="58"/>
      <c r="IQU8" s="58"/>
      <c r="IQV8" s="58"/>
      <c r="IQW8" s="58"/>
      <c r="IQX8" s="58"/>
      <c r="IQY8" s="58"/>
      <c r="IQZ8" s="58"/>
      <c r="IRA8" s="58"/>
      <c r="IRB8" s="58"/>
      <c r="IRC8" s="58"/>
      <c r="IRD8" s="58"/>
      <c r="IRE8" s="58"/>
      <c r="IRF8" s="58"/>
      <c r="IRG8" s="58"/>
      <c r="IRH8" s="58"/>
      <c r="IRI8" s="58"/>
      <c r="IRJ8" s="58"/>
      <c r="IRK8" s="58"/>
      <c r="IRL8" s="58"/>
      <c r="IRM8" s="58"/>
      <c r="IRN8" s="58"/>
      <c r="IRO8" s="58"/>
      <c r="IRP8" s="58"/>
      <c r="IRQ8" s="58"/>
      <c r="IRR8" s="58"/>
      <c r="IRS8" s="58"/>
      <c r="IRT8" s="58"/>
      <c r="IRU8" s="58"/>
      <c r="IRV8" s="58"/>
      <c r="IRW8" s="58"/>
      <c r="IRX8" s="58"/>
      <c r="IRY8" s="58"/>
      <c r="IRZ8" s="58"/>
      <c r="ISA8" s="58"/>
      <c r="ISB8" s="58"/>
      <c r="ISC8" s="58"/>
      <c r="ISD8" s="58"/>
      <c r="ISE8" s="58"/>
      <c r="ISF8" s="58"/>
      <c r="ISG8" s="58"/>
      <c r="ISH8" s="58"/>
      <c r="ISI8" s="58"/>
      <c r="ISJ8" s="58"/>
      <c r="ISK8" s="58"/>
      <c r="ISL8" s="58"/>
      <c r="ISM8" s="58"/>
      <c r="ISN8" s="58"/>
      <c r="ISO8" s="58"/>
      <c r="ISP8" s="58"/>
      <c r="ISQ8" s="58"/>
      <c r="ISR8" s="58"/>
      <c r="ISS8" s="58"/>
      <c r="IST8" s="58"/>
      <c r="ISU8" s="58"/>
      <c r="ISV8" s="58"/>
      <c r="ISW8" s="58"/>
      <c r="ISX8" s="58"/>
      <c r="ISY8" s="58"/>
      <c r="ISZ8" s="58"/>
      <c r="ITA8" s="58"/>
      <c r="ITB8" s="58"/>
      <c r="ITC8" s="58"/>
      <c r="ITD8" s="58"/>
      <c r="ITE8" s="58"/>
      <c r="ITF8" s="58"/>
      <c r="ITG8" s="58"/>
      <c r="ITH8" s="58"/>
      <c r="ITI8" s="58"/>
      <c r="ITJ8" s="58"/>
      <c r="ITK8" s="58"/>
      <c r="ITL8" s="58"/>
      <c r="ITM8" s="58"/>
      <c r="ITN8" s="58"/>
      <c r="ITO8" s="58"/>
      <c r="ITP8" s="58"/>
      <c r="ITQ8" s="58"/>
      <c r="ITR8" s="58"/>
      <c r="ITS8" s="58"/>
      <c r="ITT8" s="58"/>
      <c r="ITU8" s="58"/>
      <c r="ITV8" s="58"/>
      <c r="ITW8" s="58"/>
      <c r="ITX8" s="58"/>
      <c r="ITY8" s="58"/>
      <c r="ITZ8" s="58"/>
      <c r="IUA8" s="58"/>
      <c r="IUB8" s="58"/>
      <c r="IUC8" s="58"/>
      <c r="IUD8" s="58"/>
      <c r="IUE8" s="58"/>
      <c r="IUF8" s="58"/>
      <c r="IUG8" s="58"/>
      <c r="IUH8" s="58"/>
      <c r="IUI8" s="58"/>
      <c r="IUJ8" s="58"/>
      <c r="IUK8" s="58"/>
      <c r="IUL8" s="58"/>
      <c r="IUM8" s="58"/>
      <c r="IUN8" s="58"/>
      <c r="IUO8" s="58"/>
      <c r="IUP8" s="58"/>
      <c r="IUQ8" s="58"/>
      <c r="IUR8" s="58"/>
      <c r="IUS8" s="58"/>
      <c r="IUT8" s="58"/>
      <c r="IUU8" s="58"/>
      <c r="IUV8" s="58"/>
      <c r="IUW8" s="58"/>
      <c r="IUX8" s="58"/>
      <c r="IUY8" s="58"/>
      <c r="IUZ8" s="58"/>
      <c r="IVA8" s="58"/>
      <c r="IVB8" s="58"/>
      <c r="IVC8" s="58"/>
      <c r="IVD8" s="58"/>
      <c r="IVE8" s="58"/>
      <c r="IVF8" s="58"/>
      <c r="IVG8" s="58"/>
      <c r="IVH8" s="58"/>
      <c r="IVI8" s="58"/>
      <c r="IVJ8" s="58"/>
      <c r="IVK8" s="58"/>
      <c r="IVL8" s="58"/>
      <c r="IVM8" s="58"/>
      <c r="IVN8" s="58"/>
      <c r="IVO8" s="58"/>
      <c r="IVP8" s="58"/>
      <c r="IVQ8" s="58"/>
      <c r="IVR8" s="58"/>
      <c r="IVS8" s="58"/>
      <c r="IVT8" s="58"/>
      <c r="IVU8" s="58"/>
      <c r="IVV8" s="58"/>
      <c r="IVW8" s="58"/>
      <c r="IVX8" s="58"/>
      <c r="IVY8" s="58"/>
      <c r="IVZ8" s="58"/>
      <c r="IWA8" s="58"/>
      <c r="IWB8" s="58"/>
      <c r="IWC8" s="58"/>
      <c r="IWD8" s="58"/>
      <c r="IWE8" s="58"/>
      <c r="IWF8" s="58"/>
      <c r="IWG8" s="58"/>
      <c r="IWH8" s="58"/>
      <c r="IWI8" s="58"/>
      <c r="IWJ8" s="58"/>
      <c r="IWK8" s="58"/>
      <c r="IWL8" s="58"/>
      <c r="IWM8" s="58"/>
      <c r="IWN8" s="58"/>
      <c r="IWO8" s="58"/>
      <c r="IWP8" s="58"/>
      <c r="IWQ8" s="58"/>
      <c r="IWR8" s="58"/>
      <c r="IWS8" s="58"/>
      <c r="IWT8" s="58"/>
      <c r="IWU8" s="58"/>
      <c r="IWV8" s="58"/>
      <c r="IWW8" s="58"/>
      <c r="IWX8" s="58"/>
      <c r="IWY8" s="58"/>
      <c r="IWZ8" s="58"/>
      <c r="IXA8" s="58"/>
      <c r="IXB8" s="58"/>
      <c r="IXC8" s="58"/>
      <c r="IXD8" s="58"/>
      <c r="IXE8" s="58"/>
      <c r="IXF8" s="58"/>
      <c r="IXG8" s="58"/>
      <c r="IXH8" s="58"/>
      <c r="IXI8" s="58"/>
      <c r="IXJ8" s="58"/>
      <c r="IXK8" s="58"/>
      <c r="IXL8" s="58"/>
      <c r="IXM8" s="58"/>
      <c r="IXN8" s="58"/>
      <c r="IXO8" s="58"/>
      <c r="IXP8" s="58"/>
      <c r="IXQ8" s="58"/>
      <c r="IXR8" s="58"/>
      <c r="IXS8" s="58"/>
      <c r="IXT8" s="58"/>
      <c r="IXU8" s="58"/>
      <c r="IXV8" s="58"/>
      <c r="IXW8" s="58"/>
      <c r="IXX8" s="58"/>
      <c r="IXY8" s="58"/>
      <c r="IXZ8" s="58"/>
      <c r="IYA8" s="58"/>
      <c r="IYB8" s="58"/>
      <c r="IYC8" s="58"/>
      <c r="IYD8" s="58"/>
      <c r="IYE8" s="58"/>
      <c r="IYF8" s="58"/>
      <c r="IYG8" s="58"/>
      <c r="IYH8" s="58"/>
      <c r="IYI8" s="58"/>
      <c r="IYJ8" s="58"/>
      <c r="IYK8" s="58"/>
      <c r="IYL8" s="58"/>
      <c r="IYM8" s="58"/>
      <c r="IYN8" s="58"/>
      <c r="IYO8" s="58"/>
      <c r="IYP8" s="58"/>
      <c r="IYQ8" s="58"/>
      <c r="IYR8" s="58"/>
      <c r="IYS8" s="58"/>
      <c r="IYT8" s="58"/>
      <c r="IYU8" s="58"/>
      <c r="IYV8" s="58"/>
      <c r="IYW8" s="58"/>
      <c r="IYX8" s="58"/>
      <c r="IYY8" s="58"/>
      <c r="IYZ8" s="58"/>
      <c r="IZA8" s="58"/>
      <c r="IZB8" s="58"/>
      <c r="IZC8" s="58"/>
      <c r="IZD8" s="58"/>
      <c r="IZE8" s="58"/>
      <c r="IZF8" s="58"/>
      <c r="IZG8" s="58"/>
      <c r="IZH8" s="58"/>
      <c r="IZI8" s="58"/>
      <c r="IZJ8" s="58"/>
      <c r="IZK8" s="58"/>
      <c r="IZL8" s="58"/>
      <c r="IZM8" s="58"/>
      <c r="IZN8" s="58"/>
      <c r="IZO8" s="58"/>
      <c r="IZP8" s="58"/>
      <c r="IZQ8" s="58"/>
      <c r="IZR8" s="58"/>
      <c r="IZS8" s="58"/>
      <c r="IZT8" s="58"/>
      <c r="IZU8" s="58"/>
      <c r="IZV8" s="58"/>
      <c r="IZW8" s="58"/>
      <c r="IZX8" s="58"/>
      <c r="IZY8" s="58"/>
      <c r="IZZ8" s="58"/>
      <c r="JAA8" s="58"/>
      <c r="JAB8" s="58"/>
      <c r="JAC8" s="58"/>
      <c r="JAD8" s="58"/>
      <c r="JAE8" s="58"/>
      <c r="JAF8" s="58"/>
      <c r="JAG8" s="58"/>
      <c r="JAH8" s="58"/>
      <c r="JAI8" s="58"/>
      <c r="JAJ8" s="58"/>
      <c r="JAK8" s="58"/>
      <c r="JAL8" s="58"/>
      <c r="JAM8" s="58"/>
      <c r="JAN8" s="58"/>
      <c r="JAO8" s="58"/>
      <c r="JAP8" s="58"/>
      <c r="JAQ8" s="58"/>
      <c r="JAR8" s="58"/>
      <c r="JAS8" s="58"/>
      <c r="JAT8" s="58"/>
      <c r="JAU8" s="58"/>
      <c r="JAV8" s="58"/>
      <c r="JAW8" s="58"/>
      <c r="JAX8" s="58"/>
      <c r="JAY8" s="58"/>
      <c r="JAZ8" s="58"/>
      <c r="JBA8" s="58"/>
      <c r="JBB8" s="58"/>
      <c r="JBC8" s="58"/>
      <c r="JBD8" s="58"/>
      <c r="JBE8" s="58"/>
      <c r="JBF8" s="58"/>
      <c r="JBG8" s="58"/>
      <c r="JBH8" s="58"/>
      <c r="JBI8" s="58"/>
      <c r="JBJ8" s="58"/>
      <c r="JBK8" s="58"/>
      <c r="JBL8" s="58"/>
      <c r="JBM8" s="58"/>
      <c r="JBN8" s="58"/>
      <c r="JBO8" s="58"/>
      <c r="JBP8" s="58"/>
      <c r="JBQ8" s="58"/>
      <c r="JBR8" s="58"/>
      <c r="JBS8" s="58"/>
      <c r="JBT8" s="58"/>
      <c r="JBU8" s="58"/>
      <c r="JBV8" s="58"/>
      <c r="JBW8" s="58"/>
      <c r="JBX8" s="58"/>
      <c r="JBY8" s="58"/>
      <c r="JBZ8" s="58"/>
      <c r="JCA8" s="58"/>
      <c r="JCB8" s="58"/>
      <c r="JCC8" s="58"/>
      <c r="JCD8" s="58"/>
      <c r="JCE8" s="58"/>
      <c r="JCF8" s="58"/>
      <c r="JCG8" s="58"/>
      <c r="JCH8" s="58"/>
      <c r="JCI8" s="58"/>
      <c r="JCJ8" s="58"/>
      <c r="JCK8" s="58"/>
      <c r="JCL8" s="58"/>
      <c r="JCM8" s="58"/>
      <c r="JCN8" s="58"/>
      <c r="JCO8" s="58"/>
      <c r="JCP8" s="58"/>
      <c r="JCQ8" s="58"/>
      <c r="JCR8" s="58"/>
      <c r="JCS8" s="58"/>
      <c r="JCT8" s="58"/>
      <c r="JCU8" s="58"/>
      <c r="JCV8" s="58"/>
      <c r="JCW8" s="58"/>
      <c r="JCX8" s="58"/>
      <c r="JCY8" s="58"/>
      <c r="JCZ8" s="58"/>
      <c r="JDA8" s="58"/>
      <c r="JDB8" s="58"/>
      <c r="JDC8" s="58"/>
      <c r="JDD8" s="58"/>
      <c r="JDE8" s="58"/>
      <c r="JDF8" s="58"/>
      <c r="JDG8" s="58"/>
      <c r="JDH8" s="58"/>
      <c r="JDI8" s="58"/>
      <c r="JDJ8" s="58"/>
      <c r="JDK8" s="58"/>
      <c r="JDL8" s="58"/>
      <c r="JDM8" s="58"/>
      <c r="JDN8" s="58"/>
      <c r="JDO8" s="58"/>
      <c r="JDP8" s="58"/>
      <c r="JDQ8" s="58"/>
      <c r="JDR8" s="58"/>
      <c r="JDS8" s="58"/>
      <c r="JDT8" s="58"/>
      <c r="JDU8" s="58"/>
      <c r="JDV8" s="58"/>
      <c r="JDW8" s="58"/>
      <c r="JDX8" s="58"/>
      <c r="JDY8" s="58"/>
      <c r="JDZ8" s="58"/>
      <c r="JEA8" s="58"/>
      <c r="JEB8" s="58"/>
      <c r="JEC8" s="58"/>
      <c r="JED8" s="58"/>
      <c r="JEE8" s="58"/>
      <c r="JEF8" s="58"/>
      <c r="JEG8" s="58"/>
      <c r="JEH8" s="58"/>
      <c r="JEI8" s="58"/>
      <c r="JEJ8" s="58"/>
      <c r="JEK8" s="58"/>
      <c r="JEL8" s="58"/>
      <c r="JEM8" s="58"/>
      <c r="JEN8" s="58"/>
      <c r="JEO8" s="58"/>
      <c r="JEP8" s="58"/>
      <c r="JEQ8" s="58"/>
      <c r="JER8" s="58"/>
      <c r="JES8" s="58"/>
      <c r="JET8" s="58"/>
      <c r="JEU8" s="58"/>
      <c r="JEV8" s="58"/>
      <c r="JEW8" s="58"/>
      <c r="JEX8" s="58"/>
      <c r="JEY8" s="58"/>
      <c r="JEZ8" s="58"/>
      <c r="JFA8" s="58"/>
      <c r="JFB8" s="58"/>
      <c r="JFC8" s="58"/>
      <c r="JFD8" s="58"/>
      <c r="JFE8" s="58"/>
      <c r="JFF8" s="58"/>
      <c r="JFG8" s="58"/>
      <c r="JFH8" s="58"/>
      <c r="JFI8" s="58"/>
      <c r="JFJ8" s="58"/>
      <c r="JFK8" s="58"/>
      <c r="JFL8" s="58"/>
      <c r="JFM8" s="58"/>
      <c r="JFN8" s="58"/>
      <c r="JFO8" s="58"/>
      <c r="JFP8" s="58"/>
      <c r="JFQ8" s="58"/>
      <c r="JFR8" s="58"/>
      <c r="JFS8" s="58"/>
      <c r="JFT8" s="58"/>
      <c r="JFU8" s="58"/>
      <c r="JFV8" s="58"/>
      <c r="JFW8" s="58"/>
      <c r="JFX8" s="58"/>
      <c r="JFY8" s="58"/>
      <c r="JFZ8" s="58"/>
      <c r="JGA8" s="58"/>
      <c r="JGB8" s="58"/>
      <c r="JGC8" s="58"/>
      <c r="JGD8" s="58"/>
      <c r="JGE8" s="58"/>
      <c r="JGF8" s="58"/>
      <c r="JGG8" s="58"/>
      <c r="JGH8" s="58"/>
      <c r="JGI8" s="58"/>
      <c r="JGJ8" s="58"/>
      <c r="JGK8" s="58"/>
      <c r="JGL8" s="58"/>
      <c r="JGM8" s="58"/>
      <c r="JGN8" s="58"/>
      <c r="JGO8" s="58"/>
      <c r="JGP8" s="58"/>
      <c r="JGQ8" s="58"/>
      <c r="JGR8" s="58"/>
      <c r="JGS8" s="58"/>
      <c r="JGT8" s="58"/>
      <c r="JGU8" s="58"/>
      <c r="JGV8" s="58"/>
      <c r="JGW8" s="58"/>
      <c r="JGX8" s="58"/>
      <c r="JGY8" s="58"/>
      <c r="JGZ8" s="58"/>
      <c r="JHA8" s="58"/>
      <c r="JHB8" s="58"/>
      <c r="JHC8" s="58"/>
      <c r="JHD8" s="58"/>
      <c r="JHE8" s="58"/>
      <c r="JHF8" s="58"/>
      <c r="JHG8" s="58"/>
      <c r="JHH8" s="58"/>
      <c r="JHI8" s="58"/>
      <c r="JHJ8" s="58"/>
      <c r="JHK8" s="58"/>
      <c r="JHL8" s="58"/>
      <c r="JHM8" s="58"/>
      <c r="JHN8" s="58"/>
      <c r="JHO8" s="58"/>
      <c r="JHP8" s="58"/>
      <c r="JHQ8" s="58"/>
      <c r="JHR8" s="58"/>
      <c r="JHS8" s="58"/>
      <c r="JHT8" s="58"/>
      <c r="JHU8" s="58"/>
      <c r="JHV8" s="58"/>
      <c r="JHW8" s="58"/>
      <c r="JHX8" s="58"/>
      <c r="JHY8" s="58"/>
      <c r="JHZ8" s="58"/>
      <c r="JIA8" s="58"/>
      <c r="JIB8" s="58"/>
      <c r="JIC8" s="58"/>
      <c r="JID8" s="58"/>
      <c r="JIE8" s="58"/>
      <c r="JIF8" s="58"/>
      <c r="JIG8" s="58"/>
      <c r="JIH8" s="58"/>
      <c r="JII8" s="58"/>
      <c r="JIJ8" s="58"/>
      <c r="JIK8" s="58"/>
      <c r="JIL8" s="58"/>
      <c r="JIM8" s="58"/>
      <c r="JIN8" s="58"/>
      <c r="JIO8" s="58"/>
      <c r="JIP8" s="58"/>
      <c r="JIQ8" s="58"/>
      <c r="JIR8" s="58"/>
      <c r="JIS8" s="58"/>
      <c r="JIT8" s="58"/>
      <c r="JIU8" s="58"/>
      <c r="JIV8" s="58"/>
      <c r="JIW8" s="58"/>
      <c r="JIX8" s="58"/>
      <c r="JIY8" s="58"/>
      <c r="JIZ8" s="58"/>
      <c r="JJA8" s="58"/>
      <c r="JJB8" s="58"/>
      <c r="JJC8" s="58"/>
      <c r="JJD8" s="58"/>
      <c r="JJE8" s="58"/>
      <c r="JJF8" s="58"/>
      <c r="JJG8" s="58"/>
      <c r="JJH8" s="58"/>
      <c r="JJI8" s="58"/>
      <c r="JJJ8" s="58"/>
      <c r="JJK8" s="58"/>
      <c r="JJL8" s="58"/>
      <c r="JJM8" s="58"/>
      <c r="JJN8" s="58"/>
      <c r="JJO8" s="58"/>
      <c r="JJP8" s="58"/>
      <c r="JJQ8" s="58"/>
      <c r="JJR8" s="58"/>
      <c r="JJS8" s="58"/>
      <c r="JJT8" s="58"/>
      <c r="JJU8" s="58"/>
      <c r="JJV8" s="58"/>
      <c r="JJW8" s="58"/>
      <c r="JJX8" s="58"/>
      <c r="JJY8" s="58"/>
      <c r="JJZ8" s="58"/>
      <c r="JKA8" s="58"/>
      <c r="JKB8" s="58"/>
      <c r="JKC8" s="58"/>
      <c r="JKD8" s="58"/>
      <c r="JKE8" s="58"/>
      <c r="JKF8" s="58"/>
      <c r="JKG8" s="58"/>
      <c r="JKH8" s="58"/>
      <c r="JKI8" s="58"/>
      <c r="JKJ8" s="58"/>
      <c r="JKK8" s="58"/>
      <c r="JKL8" s="58"/>
      <c r="JKM8" s="58"/>
      <c r="JKN8" s="58"/>
      <c r="JKO8" s="58"/>
      <c r="JKP8" s="58"/>
      <c r="JKQ8" s="58"/>
      <c r="JKR8" s="58"/>
      <c r="JKS8" s="58"/>
      <c r="JKT8" s="58"/>
      <c r="JKU8" s="58"/>
      <c r="JKV8" s="58"/>
      <c r="JKW8" s="58"/>
      <c r="JKX8" s="58"/>
      <c r="JKY8" s="58"/>
      <c r="JKZ8" s="58"/>
      <c r="JLA8" s="58"/>
      <c r="JLB8" s="58"/>
      <c r="JLC8" s="58"/>
      <c r="JLD8" s="58"/>
      <c r="JLE8" s="58"/>
      <c r="JLF8" s="58"/>
      <c r="JLG8" s="58"/>
      <c r="JLH8" s="58"/>
      <c r="JLI8" s="58"/>
      <c r="JLJ8" s="58"/>
      <c r="JLK8" s="58"/>
      <c r="JLL8" s="58"/>
      <c r="JLM8" s="58"/>
      <c r="JLN8" s="58"/>
      <c r="JLO8" s="58"/>
      <c r="JLP8" s="58"/>
      <c r="JLQ8" s="58"/>
      <c r="JLR8" s="58"/>
      <c r="JLS8" s="58"/>
      <c r="JLT8" s="58"/>
      <c r="JLU8" s="58"/>
      <c r="JLV8" s="58"/>
      <c r="JLW8" s="58"/>
      <c r="JLX8" s="58"/>
      <c r="JLY8" s="58"/>
      <c r="JLZ8" s="58"/>
      <c r="JMA8" s="58"/>
      <c r="JMB8" s="58"/>
      <c r="JMC8" s="58"/>
      <c r="JMD8" s="58"/>
      <c r="JME8" s="58"/>
      <c r="JMF8" s="58"/>
      <c r="JMG8" s="58"/>
      <c r="JMH8" s="58"/>
      <c r="JMI8" s="58"/>
      <c r="JMJ8" s="58"/>
      <c r="JMK8" s="58"/>
      <c r="JML8" s="58"/>
      <c r="JMM8" s="58"/>
      <c r="JMN8" s="58"/>
      <c r="JMO8" s="58"/>
      <c r="JMP8" s="58"/>
      <c r="JMQ8" s="58"/>
      <c r="JMR8" s="58"/>
      <c r="JMS8" s="58"/>
      <c r="JMT8" s="58"/>
      <c r="JMU8" s="58"/>
      <c r="JMV8" s="58"/>
      <c r="JMW8" s="58"/>
      <c r="JMX8" s="58"/>
      <c r="JMY8" s="58"/>
      <c r="JMZ8" s="58"/>
      <c r="JNA8" s="58"/>
      <c r="JNB8" s="58"/>
      <c r="JNC8" s="58"/>
      <c r="JND8" s="58"/>
      <c r="JNE8" s="58"/>
      <c r="JNF8" s="58"/>
      <c r="JNG8" s="58"/>
      <c r="JNH8" s="58"/>
      <c r="JNI8" s="58"/>
      <c r="JNJ8" s="58"/>
      <c r="JNK8" s="58"/>
      <c r="JNL8" s="58"/>
      <c r="JNM8" s="58"/>
      <c r="JNN8" s="58"/>
      <c r="JNO8" s="58"/>
      <c r="JNP8" s="58"/>
      <c r="JNQ8" s="58"/>
      <c r="JNR8" s="58"/>
      <c r="JNS8" s="58"/>
      <c r="JNT8" s="58"/>
      <c r="JNU8" s="58"/>
      <c r="JNV8" s="58"/>
      <c r="JNW8" s="58"/>
      <c r="JNX8" s="58"/>
      <c r="JNY8" s="58"/>
      <c r="JNZ8" s="58"/>
      <c r="JOA8" s="58"/>
      <c r="JOB8" s="58"/>
      <c r="JOC8" s="58"/>
      <c r="JOD8" s="58"/>
      <c r="JOE8" s="58"/>
      <c r="JOF8" s="58"/>
      <c r="JOG8" s="58"/>
      <c r="JOH8" s="58"/>
      <c r="JOI8" s="58"/>
      <c r="JOJ8" s="58"/>
      <c r="JOK8" s="58"/>
      <c r="JOL8" s="58"/>
      <c r="JOM8" s="58"/>
      <c r="JON8" s="58"/>
      <c r="JOO8" s="58"/>
      <c r="JOP8" s="58"/>
      <c r="JOQ8" s="58"/>
      <c r="JOR8" s="58"/>
      <c r="JOS8" s="58"/>
      <c r="JOT8" s="58"/>
      <c r="JOU8" s="58"/>
      <c r="JOV8" s="58"/>
      <c r="JOW8" s="58"/>
      <c r="JOX8" s="58"/>
      <c r="JOY8" s="58"/>
      <c r="JOZ8" s="58"/>
      <c r="JPA8" s="58"/>
      <c r="JPB8" s="58"/>
      <c r="JPC8" s="58"/>
      <c r="JPD8" s="58"/>
      <c r="JPE8" s="58"/>
      <c r="JPF8" s="58"/>
      <c r="JPG8" s="58"/>
      <c r="JPH8" s="58"/>
      <c r="JPI8" s="58"/>
      <c r="JPJ8" s="58"/>
      <c r="JPK8" s="58"/>
      <c r="JPL8" s="58"/>
      <c r="JPM8" s="58"/>
      <c r="JPN8" s="58"/>
      <c r="JPO8" s="58"/>
      <c r="JPP8" s="58"/>
      <c r="JPQ8" s="58"/>
      <c r="JPR8" s="58"/>
      <c r="JPS8" s="58"/>
      <c r="JPT8" s="58"/>
      <c r="JPU8" s="58"/>
      <c r="JPV8" s="58"/>
      <c r="JPW8" s="58"/>
      <c r="JPX8" s="58"/>
      <c r="JPY8" s="58"/>
      <c r="JPZ8" s="58"/>
      <c r="JQA8" s="58"/>
      <c r="JQB8" s="58"/>
      <c r="JQC8" s="58"/>
      <c r="JQD8" s="58"/>
      <c r="JQE8" s="58"/>
      <c r="JQF8" s="58"/>
      <c r="JQG8" s="58"/>
      <c r="JQH8" s="58"/>
      <c r="JQI8" s="58"/>
      <c r="JQJ8" s="58"/>
      <c r="JQK8" s="58"/>
      <c r="JQL8" s="58"/>
      <c r="JQM8" s="58"/>
      <c r="JQN8" s="58"/>
      <c r="JQO8" s="58"/>
      <c r="JQP8" s="58"/>
      <c r="JQQ8" s="58"/>
      <c r="JQR8" s="58"/>
      <c r="JQS8" s="58"/>
      <c r="JQT8" s="58"/>
      <c r="JQU8" s="58"/>
      <c r="JQV8" s="58"/>
      <c r="JQW8" s="58"/>
      <c r="JQX8" s="58"/>
      <c r="JQY8" s="58"/>
      <c r="JQZ8" s="58"/>
      <c r="JRA8" s="58"/>
      <c r="JRB8" s="58"/>
      <c r="JRC8" s="58"/>
      <c r="JRD8" s="58"/>
      <c r="JRE8" s="58"/>
      <c r="JRF8" s="58"/>
      <c r="JRG8" s="58"/>
      <c r="JRH8" s="58"/>
      <c r="JRI8" s="58"/>
      <c r="JRJ8" s="58"/>
      <c r="JRK8" s="58"/>
      <c r="JRL8" s="58"/>
      <c r="JRM8" s="58"/>
      <c r="JRN8" s="58"/>
      <c r="JRO8" s="58"/>
      <c r="JRP8" s="58"/>
      <c r="JRQ8" s="58"/>
      <c r="JRR8" s="58"/>
      <c r="JRS8" s="58"/>
      <c r="JRT8" s="58"/>
      <c r="JRU8" s="58"/>
      <c r="JRV8" s="58"/>
      <c r="JRW8" s="58"/>
      <c r="JRX8" s="58"/>
      <c r="JRY8" s="58"/>
      <c r="JRZ8" s="58"/>
      <c r="JSA8" s="58"/>
      <c r="JSB8" s="58"/>
      <c r="JSC8" s="58"/>
      <c r="JSD8" s="58"/>
      <c r="JSE8" s="58"/>
      <c r="JSF8" s="58"/>
      <c r="JSG8" s="58"/>
      <c r="JSH8" s="58"/>
      <c r="JSI8" s="58"/>
      <c r="JSJ8" s="58"/>
      <c r="JSK8" s="58"/>
      <c r="JSL8" s="58"/>
      <c r="JSM8" s="58"/>
      <c r="JSN8" s="58"/>
      <c r="JSO8" s="58"/>
      <c r="JSP8" s="58"/>
      <c r="JSQ8" s="58"/>
      <c r="JSR8" s="58"/>
      <c r="JSS8" s="58"/>
      <c r="JST8" s="58"/>
      <c r="JSU8" s="58"/>
      <c r="JSV8" s="58"/>
      <c r="JSW8" s="58"/>
      <c r="JSX8" s="58"/>
      <c r="JSY8" s="58"/>
      <c r="JSZ8" s="58"/>
      <c r="JTA8" s="58"/>
      <c r="JTB8" s="58"/>
      <c r="JTC8" s="58"/>
      <c r="JTD8" s="58"/>
      <c r="JTE8" s="58"/>
      <c r="JTF8" s="58"/>
      <c r="JTG8" s="58"/>
      <c r="JTH8" s="58"/>
      <c r="JTI8" s="58"/>
      <c r="JTJ8" s="58"/>
      <c r="JTK8" s="58"/>
      <c r="JTL8" s="58"/>
      <c r="JTM8" s="58"/>
      <c r="JTN8" s="58"/>
      <c r="JTO8" s="58"/>
      <c r="JTP8" s="58"/>
      <c r="JTQ8" s="58"/>
      <c r="JTR8" s="58"/>
      <c r="JTS8" s="58"/>
      <c r="JTT8" s="58"/>
      <c r="JTU8" s="58"/>
      <c r="JTV8" s="58"/>
      <c r="JTW8" s="58"/>
      <c r="JTX8" s="58"/>
      <c r="JTY8" s="58"/>
      <c r="JTZ8" s="58"/>
      <c r="JUA8" s="58"/>
      <c r="JUB8" s="58"/>
      <c r="JUC8" s="58"/>
      <c r="JUD8" s="58"/>
      <c r="JUE8" s="58"/>
      <c r="JUF8" s="58"/>
      <c r="JUG8" s="58"/>
      <c r="JUH8" s="58"/>
      <c r="JUI8" s="58"/>
      <c r="JUJ8" s="58"/>
      <c r="JUK8" s="58"/>
      <c r="JUL8" s="58"/>
      <c r="JUM8" s="58"/>
      <c r="JUN8" s="58"/>
      <c r="JUO8" s="58"/>
      <c r="JUP8" s="58"/>
      <c r="JUQ8" s="58"/>
      <c r="JUR8" s="58"/>
      <c r="JUS8" s="58"/>
      <c r="JUT8" s="58"/>
      <c r="JUU8" s="58"/>
      <c r="JUV8" s="58"/>
      <c r="JUW8" s="58"/>
      <c r="JUX8" s="58"/>
      <c r="JUY8" s="58"/>
      <c r="JUZ8" s="58"/>
      <c r="JVA8" s="58"/>
      <c r="JVB8" s="58"/>
      <c r="JVC8" s="58"/>
      <c r="JVD8" s="58"/>
      <c r="JVE8" s="58"/>
      <c r="JVF8" s="58"/>
      <c r="JVG8" s="58"/>
      <c r="JVH8" s="58"/>
      <c r="JVI8" s="58"/>
      <c r="JVJ8" s="58"/>
      <c r="JVK8" s="58"/>
      <c r="JVL8" s="58"/>
      <c r="JVM8" s="58"/>
      <c r="JVN8" s="58"/>
      <c r="JVO8" s="58"/>
      <c r="JVP8" s="58"/>
      <c r="JVQ8" s="58"/>
      <c r="JVR8" s="58"/>
      <c r="JVS8" s="58"/>
      <c r="JVT8" s="58"/>
      <c r="JVU8" s="58"/>
      <c r="JVV8" s="58"/>
      <c r="JVW8" s="58"/>
      <c r="JVX8" s="58"/>
      <c r="JVY8" s="58"/>
      <c r="JVZ8" s="58"/>
      <c r="JWA8" s="58"/>
      <c r="JWB8" s="58"/>
      <c r="JWC8" s="58"/>
      <c r="JWD8" s="58"/>
      <c r="JWE8" s="58"/>
      <c r="JWF8" s="58"/>
      <c r="JWG8" s="58"/>
      <c r="JWH8" s="58"/>
      <c r="JWI8" s="58"/>
      <c r="JWJ8" s="58"/>
      <c r="JWK8" s="58"/>
      <c r="JWL8" s="58"/>
      <c r="JWM8" s="58"/>
      <c r="JWN8" s="58"/>
      <c r="JWO8" s="58"/>
      <c r="JWP8" s="58"/>
      <c r="JWQ8" s="58"/>
      <c r="JWR8" s="58"/>
      <c r="JWS8" s="58"/>
      <c r="JWT8" s="58"/>
      <c r="JWU8" s="58"/>
      <c r="JWV8" s="58"/>
      <c r="JWW8" s="58"/>
      <c r="JWX8" s="58"/>
      <c r="JWY8" s="58"/>
      <c r="JWZ8" s="58"/>
      <c r="JXA8" s="58"/>
      <c r="JXB8" s="58"/>
      <c r="JXC8" s="58"/>
      <c r="JXD8" s="58"/>
      <c r="JXE8" s="58"/>
      <c r="JXF8" s="58"/>
      <c r="JXG8" s="58"/>
      <c r="JXH8" s="58"/>
      <c r="JXI8" s="58"/>
      <c r="JXJ8" s="58"/>
      <c r="JXK8" s="58"/>
      <c r="JXL8" s="58"/>
      <c r="JXM8" s="58"/>
      <c r="JXN8" s="58"/>
      <c r="JXO8" s="58"/>
      <c r="JXP8" s="58"/>
      <c r="JXQ8" s="58"/>
      <c r="JXR8" s="58"/>
      <c r="JXS8" s="58"/>
      <c r="JXT8" s="58"/>
      <c r="JXU8" s="58"/>
      <c r="JXV8" s="58"/>
      <c r="JXW8" s="58"/>
      <c r="JXX8" s="58"/>
      <c r="JXY8" s="58"/>
      <c r="JXZ8" s="58"/>
      <c r="JYA8" s="58"/>
      <c r="JYB8" s="58"/>
      <c r="JYC8" s="58"/>
      <c r="JYD8" s="58"/>
      <c r="JYE8" s="58"/>
      <c r="JYF8" s="58"/>
      <c r="JYG8" s="58"/>
      <c r="JYH8" s="58"/>
      <c r="JYI8" s="58"/>
      <c r="JYJ8" s="58"/>
      <c r="JYK8" s="58"/>
      <c r="JYL8" s="58"/>
      <c r="JYM8" s="58"/>
      <c r="JYN8" s="58"/>
      <c r="JYO8" s="58"/>
      <c r="JYP8" s="58"/>
      <c r="JYQ8" s="58"/>
      <c r="JYR8" s="58"/>
      <c r="JYS8" s="58"/>
      <c r="JYT8" s="58"/>
      <c r="JYU8" s="58"/>
      <c r="JYV8" s="58"/>
      <c r="JYW8" s="58"/>
      <c r="JYX8" s="58"/>
      <c r="JYY8" s="58"/>
      <c r="JYZ8" s="58"/>
      <c r="JZA8" s="58"/>
      <c r="JZB8" s="58"/>
      <c r="JZC8" s="58"/>
      <c r="JZD8" s="58"/>
      <c r="JZE8" s="58"/>
      <c r="JZF8" s="58"/>
      <c r="JZG8" s="58"/>
      <c r="JZH8" s="58"/>
      <c r="JZI8" s="58"/>
      <c r="JZJ8" s="58"/>
      <c r="JZK8" s="58"/>
      <c r="JZL8" s="58"/>
      <c r="JZM8" s="58"/>
      <c r="JZN8" s="58"/>
      <c r="JZO8" s="58"/>
      <c r="JZP8" s="58"/>
      <c r="JZQ8" s="58"/>
      <c r="JZR8" s="58"/>
      <c r="JZS8" s="58"/>
      <c r="JZT8" s="58"/>
      <c r="JZU8" s="58"/>
      <c r="JZV8" s="58"/>
      <c r="JZW8" s="58"/>
      <c r="JZX8" s="58"/>
      <c r="JZY8" s="58"/>
      <c r="JZZ8" s="58"/>
      <c r="KAA8" s="58"/>
      <c r="KAB8" s="58"/>
      <c r="KAC8" s="58"/>
      <c r="KAD8" s="58"/>
      <c r="KAE8" s="58"/>
      <c r="KAF8" s="58"/>
      <c r="KAG8" s="58"/>
      <c r="KAH8" s="58"/>
      <c r="KAI8" s="58"/>
      <c r="KAJ8" s="58"/>
      <c r="KAK8" s="58"/>
      <c r="KAL8" s="58"/>
      <c r="KAM8" s="58"/>
      <c r="KAN8" s="58"/>
      <c r="KAO8" s="58"/>
      <c r="KAP8" s="58"/>
      <c r="KAQ8" s="58"/>
      <c r="KAR8" s="58"/>
      <c r="KAS8" s="58"/>
      <c r="KAT8" s="58"/>
      <c r="KAU8" s="58"/>
      <c r="KAV8" s="58"/>
      <c r="KAW8" s="58"/>
      <c r="KAX8" s="58"/>
      <c r="KAY8" s="58"/>
      <c r="KAZ8" s="58"/>
      <c r="KBA8" s="58"/>
      <c r="KBB8" s="58"/>
      <c r="KBC8" s="58"/>
      <c r="KBD8" s="58"/>
      <c r="KBE8" s="58"/>
      <c r="KBF8" s="58"/>
      <c r="KBG8" s="58"/>
      <c r="KBH8" s="58"/>
      <c r="KBI8" s="58"/>
      <c r="KBJ8" s="58"/>
      <c r="KBK8" s="58"/>
      <c r="KBL8" s="58"/>
      <c r="KBM8" s="58"/>
      <c r="KBN8" s="58"/>
      <c r="KBO8" s="58"/>
      <c r="KBP8" s="58"/>
      <c r="KBQ8" s="58"/>
      <c r="KBR8" s="58"/>
      <c r="KBS8" s="58"/>
      <c r="KBT8" s="58"/>
      <c r="KBU8" s="58"/>
      <c r="KBV8" s="58"/>
      <c r="KBW8" s="58"/>
      <c r="KBX8" s="58"/>
      <c r="KBY8" s="58"/>
      <c r="KBZ8" s="58"/>
      <c r="KCA8" s="58"/>
      <c r="KCB8" s="58"/>
      <c r="KCC8" s="58"/>
      <c r="KCD8" s="58"/>
      <c r="KCE8" s="58"/>
      <c r="KCF8" s="58"/>
      <c r="KCG8" s="58"/>
      <c r="KCH8" s="58"/>
      <c r="KCI8" s="58"/>
      <c r="KCJ8" s="58"/>
      <c r="KCK8" s="58"/>
      <c r="KCL8" s="58"/>
      <c r="KCM8" s="58"/>
      <c r="KCN8" s="58"/>
      <c r="KCO8" s="58"/>
      <c r="KCP8" s="58"/>
      <c r="KCQ8" s="58"/>
      <c r="KCR8" s="58"/>
      <c r="KCS8" s="58"/>
      <c r="KCT8" s="58"/>
      <c r="KCU8" s="58"/>
      <c r="KCV8" s="58"/>
      <c r="KCW8" s="58"/>
      <c r="KCX8" s="58"/>
      <c r="KCY8" s="58"/>
      <c r="KCZ8" s="58"/>
      <c r="KDA8" s="58"/>
      <c r="KDB8" s="58"/>
      <c r="KDC8" s="58"/>
      <c r="KDD8" s="58"/>
      <c r="KDE8" s="58"/>
      <c r="KDF8" s="58"/>
      <c r="KDG8" s="58"/>
      <c r="KDH8" s="58"/>
      <c r="KDI8" s="58"/>
      <c r="KDJ8" s="58"/>
      <c r="KDK8" s="58"/>
      <c r="KDL8" s="58"/>
      <c r="KDM8" s="58"/>
      <c r="KDN8" s="58"/>
      <c r="KDO8" s="58"/>
      <c r="KDP8" s="58"/>
      <c r="KDQ8" s="58"/>
      <c r="KDR8" s="58"/>
      <c r="KDS8" s="58"/>
      <c r="KDT8" s="58"/>
      <c r="KDU8" s="58"/>
      <c r="KDV8" s="58"/>
      <c r="KDW8" s="58"/>
      <c r="KDX8" s="58"/>
      <c r="KDY8" s="58"/>
      <c r="KDZ8" s="58"/>
      <c r="KEA8" s="58"/>
      <c r="KEB8" s="58"/>
      <c r="KEC8" s="58"/>
      <c r="KED8" s="58"/>
      <c r="KEE8" s="58"/>
      <c r="KEF8" s="58"/>
      <c r="KEG8" s="58"/>
      <c r="KEH8" s="58"/>
      <c r="KEI8" s="58"/>
      <c r="KEJ8" s="58"/>
      <c r="KEK8" s="58"/>
      <c r="KEL8" s="58"/>
      <c r="KEM8" s="58"/>
      <c r="KEN8" s="58"/>
      <c r="KEO8" s="58"/>
      <c r="KEP8" s="58"/>
      <c r="KEQ8" s="58"/>
      <c r="KER8" s="58"/>
      <c r="KES8" s="58"/>
      <c r="KET8" s="58"/>
      <c r="KEU8" s="58"/>
      <c r="KEV8" s="58"/>
      <c r="KEW8" s="58"/>
      <c r="KEX8" s="58"/>
      <c r="KEY8" s="58"/>
      <c r="KEZ8" s="58"/>
      <c r="KFA8" s="58"/>
      <c r="KFB8" s="58"/>
      <c r="KFC8" s="58"/>
      <c r="KFD8" s="58"/>
      <c r="KFE8" s="58"/>
      <c r="KFF8" s="58"/>
      <c r="KFG8" s="58"/>
      <c r="KFH8" s="58"/>
      <c r="KFI8" s="58"/>
      <c r="KFJ8" s="58"/>
      <c r="KFK8" s="58"/>
      <c r="KFL8" s="58"/>
      <c r="KFM8" s="58"/>
      <c r="KFN8" s="58"/>
      <c r="KFO8" s="58"/>
      <c r="KFP8" s="58"/>
      <c r="KFQ8" s="58"/>
      <c r="KFR8" s="58"/>
      <c r="KFS8" s="58"/>
      <c r="KFT8" s="58"/>
      <c r="KFU8" s="58"/>
      <c r="KFV8" s="58"/>
      <c r="KFW8" s="58"/>
      <c r="KFX8" s="58"/>
      <c r="KFY8" s="58"/>
      <c r="KFZ8" s="58"/>
      <c r="KGA8" s="58"/>
      <c r="KGB8" s="58"/>
      <c r="KGC8" s="58"/>
      <c r="KGD8" s="58"/>
      <c r="KGE8" s="58"/>
      <c r="KGF8" s="58"/>
      <c r="KGG8" s="58"/>
      <c r="KGH8" s="58"/>
      <c r="KGI8" s="58"/>
      <c r="KGJ8" s="58"/>
      <c r="KGK8" s="58"/>
      <c r="KGL8" s="58"/>
      <c r="KGM8" s="58"/>
      <c r="KGN8" s="58"/>
      <c r="KGO8" s="58"/>
      <c r="KGP8" s="58"/>
      <c r="KGQ8" s="58"/>
      <c r="KGR8" s="58"/>
      <c r="KGS8" s="58"/>
      <c r="KGT8" s="58"/>
      <c r="KGU8" s="58"/>
      <c r="KGV8" s="58"/>
      <c r="KGW8" s="58"/>
      <c r="KGX8" s="58"/>
      <c r="KGY8" s="58"/>
      <c r="KGZ8" s="58"/>
      <c r="KHA8" s="58"/>
      <c r="KHB8" s="58"/>
      <c r="KHC8" s="58"/>
      <c r="KHD8" s="58"/>
      <c r="KHE8" s="58"/>
      <c r="KHF8" s="58"/>
      <c r="KHG8" s="58"/>
      <c r="KHH8" s="58"/>
      <c r="KHI8" s="58"/>
      <c r="KHJ8" s="58"/>
      <c r="KHK8" s="58"/>
      <c r="KHL8" s="58"/>
      <c r="KHM8" s="58"/>
      <c r="KHN8" s="58"/>
      <c r="KHO8" s="58"/>
      <c r="KHP8" s="58"/>
      <c r="KHQ8" s="58"/>
      <c r="KHR8" s="58"/>
      <c r="KHS8" s="58"/>
      <c r="KHT8" s="58"/>
      <c r="KHU8" s="58"/>
      <c r="KHV8" s="58"/>
      <c r="KHW8" s="58"/>
      <c r="KHX8" s="58"/>
      <c r="KHY8" s="58"/>
      <c r="KHZ8" s="58"/>
      <c r="KIA8" s="58"/>
      <c r="KIB8" s="58"/>
      <c r="KIC8" s="58"/>
      <c r="KID8" s="58"/>
      <c r="KIE8" s="58"/>
      <c r="KIF8" s="58"/>
      <c r="KIG8" s="58"/>
      <c r="KIH8" s="58"/>
      <c r="KII8" s="58"/>
      <c r="KIJ8" s="58"/>
      <c r="KIK8" s="58"/>
      <c r="KIL8" s="58"/>
      <c r="KIM8" s="58"/>
      <c r="KIN8" s="58"/>
      <c r="KIO8" s="58"/>
      <c r="KIP8" s="58"/>
      <c r="KIQ8" s="58"/>
      <c r="KIR8" s="58"/>
      <c r="KIS8" s="58"/>
      <c r="KIT8" s="58"/>
      <c r="KIU8" s="58"/>
      <c r="KIV8" s="58"/>
      <c r="KIW8" s="58"/>
      <c r="KIX8" s="58"/>
      <c r="KIY8" s="58"/>
      <c r="KIZ8" s="58"/>
      <c r="KJA8" s="58"/>
      <c r="KJB8" s="58"/>
      <c r="KJC8" s="58"/>
      <c r="KJD8" s="58"/>
      <c r="KJE8" s="58"/>
      <c r="KJF8" s="58"/>
      <c r="KJG8" s="58"/>
      <c r="KJH8" s="58"/>
      <c r="KJI8" s="58"/>
      <c r="KJJ8" s="58"/>
      <c r="KJK8" s="58"/>
      <c r="KJL8" s="58"/>
      <c r="KJM8" s="58"/>
      <c r="KJN8" s="58"/>
      <c r="KJO8" s="58"/>
      <c r="KJP8" s="58"/>
      <c r="KJQ8" s="58"/>
      <c r="KJR8" s="58"/>
      <c r="KJS8" s="58"/>
      <c r="KJT8" s="58"/>
      <c r="KJU8" s="58"/>
      <c r="KJV8" s="58"/>
      <c r="KJW8" s="58"/>
      <c r="KJX8" s="58"/>
      <c r="KJY8" s="58"/>
      <c r="KJZ8" s="58"/>
      <c r="KKA8" s="58"/>
      <c r="KKB8" s="58"/>
      <c r="KKC8" s="58"/>
      <c r="KKD8" s="58"/>
      <c r="KKE8" s="58"/>
      <c r="KKF8" s="58"/>
      <c r="KKG8" s="58"/>
      <c r="KKH8" s="58"/>
      <c r="KKI8" s="58"/>
      <c r="KKJ8" s="58"/>
      <c r="KKK8" s="58"/>
      <c r="KKL8" s="58"/>
      <c r="KKM8" s="58"/>
      <c r="KKN8" s="58"/>
      <c r="KKO8" s="58"/>
      <c r="KKP8" s="58"/>
      <c r="KKQ8" s="58"/>
      <c r="KKR8" s="58"/>
      <c r="KKS8" s="58"/>
      <c r="KKT8" s="58"/>
      <c r="KKU8" s="58"/>
      <c r="KKV8" s="58"/>
      <c r="KKW8" s="58"/>
      <c r="KKX8" s="58"/>
      <c r="KKY8" s="58"/>
      <c r="KKZ8" s="58"/>
      <c r="KLA8" s="58"/>
      <c r="KLB8" s="58"/>
      <c r="KLC8" s="58"/>
      <c r="KLD8" s="58"/>
      <c r="KLE8" s="58"/>
      <c r="KLF8" s="58"/>
      <c r="KLG8" s="58"/>
      <c r="KLH8" s="58"/>
      <c r="KLI8" s="58"/>
      <c r="KLJ8" s="58"/>
      <c r="KLK8" s="58"/>
      <c r="KLL8" s="58"/>
      <c r="KLM8" s="58"/>
      <c r="KLN8" s="58"/>
      <c r="KLO8" s="58"/>
      <c r="KLP8" s="58"/>
      <c r="KLQ8" s="58"/>
      <c r="KLR8" s="58"/>
      <c r="KLS8" s="58"/>
      <c r="KLT8" s="58"/>
      <c r="KLU8" s="58"/>
      <c r="KLV8" s="58"/>
      <c r="KLW8" s="58"/>
      <c r="KLX8" s="58"/>
      <c r="KLY8" s="58"/>
      <c r="KLZ8" s="58"/>
      <c r="KMA8" s="58"/>
      <c r="KMB8" s="58"/>
      <c r="KMC8" s="58"/>
      <c r="KMD8" s="58"/>
      <c r="KME8" s="58"/>
      <c r="KMF8" s="58"/>
      <c r="KMG8" s="58"/>
      <c r="KMH8" s="58"/>
      <c r="KMI8" s="58"/>
      <c r="KMJ8" s="58"/>
      <c r="KMK8" s="58"/>
      <c r="KML8" s="58"/>
      <c r="KMM8" s="58"/>
      <c r="KMN8" s="58"/>
      <c r="KMO8" s="58"/>
      <c r="KMP8" s="58"/>
      <c r="KMQ8" s="58"/>
      <c r="KMR8" s="58"/>
      <c r="KMS8" s="58"/>
      <c r="KMT8" s="58"/>
      <c r="KMU8" s="58"/>
      <c r="KMV8" s="58"/>
      <c r="KMW8" s="58"/>
      <c r="KMX8" s="58"/>
      <c r="KMY8" s="58"/>
      <c r="KMZ8" s="58"/>
      <c r="KNA8" s="58"/>
      <c r="KNB8" s="58"/>
      <c r="KNC8" s="58"/>
      <c r="KND8" s="58"/>
      <c r="KNE8" s="58"/>
      <c r="KNF8" s="58"/>
      <c r="KNG8" s="58"/>
      <c r="KNH8" s="58"/>
      <c r="KNI8" s="58"/>
      <c r="KNJ8" s="58"/>
      <c r="KNK8" s="58"/>
      <c r="KNL8" s="58"/>
      <c r="KNM8" s="58"/>
      <c r="KNN8" s="58"/>
      <c r="KNO8" s="58"/>
      <c r="KNP8" s="58"/>
      <c r="KNQ8" s="58"/>
      <c r="KNR8" s="58"/>
      <c r="KNS8" s="58"/>
      <c r="KNT8" s="58"/>
      <c r="KNU8" s="58"/>
      <c r="KNV8" s="58"/>
      <c r="KNW8" s="58"/>
      <c r="KNX8" s="58"/>
      <c r="KNY8" s="58"/>
      <c r="KNZ8" s="58"/>
      <c r="KOA8" s="58"/>
      <c r="KOB8" s="58"/>
      <c r="KOC8" s="58"/>
      <c r="KOD8" s="58"/>
      <c r="KOE8" s="58"/>
      <c r="KOF8" s="58"/>
      <c r="KOG8" s="58"/>
      <c r="KOH8" s="58"/>
      <c r="KOI8" s="58"/>
      <c r="KOJ8" s="58"/>
      <c r="KOK8" s="58"/>
      <c r="KOL8" s="58"/>
      <c r="KOM8" s="58"/>
      <c r="KON8" s="58"/>
      <c r="KOO8" s="58"/>
      <c r="KOP8" s="58"/>
      <c r="KOQ8" s="58"/>
      <c r="KOR8" s="58"/>
      <c r="KOS8" s="58"/>
      <c r="KOT8" s="58"/>
      <c r="KOU8" s="58"/>
      <c r="KOV8" s="58"/>
      <c r="KOW8" s="58"/>
      <c r="KOX8" s="58"/>
      <c r="KOY8" s="58"/>
      <c r="KOZ8" s="58"/>
      <c r="KPA8" s="58"/>
      <c r="KPB8" s="58"/>
      <c r="KPC8" s="58"/>
      <c r="KPD8" s="58"/>
      <c r="KPE8" s="58"/>
      <c r="KPF8" s="58"/>
      <c r="KPG8" s="58"/>
      <c r="KPH8" s="58"/>
      <c r="KPI8" s="58"/>
      <c r="KPJ8" s="58"/>
      <c r="KPK8" s="58"/>
      <c r="KPL8" s="58"/>
      <c r="KPM8" s="58"/>
      <c r="KPN8" s="58"/>
      <c r="KPO8" s="58"/>
      <c r="KPP8" s="58"/>
      <c r="KPQ8" s="58"/>
      <c r="KPR8" s="58"/>
      <c r="KPS8" s="58"/>
      <c r="KPT8" s="58"/>
      <c r="KPU8" s="58"/>
      <c r="KPV8" s="58"/>
      <c r="KPW8" s="58"/>
      <c r="KPX8" s="58"/>
      <c r="KPY8" s="58"/>
      <c r="KPZ8" s="58"/>
      <c r="KQA8" s="58"/>
      <c r="KQB8" s="58"/>
      <c r="KQC8" s="58"/>
      <c r="KQD8" s="58"/>
      <c r="KQE8" s="58"/>
      <c r="KQF8" s="58"/>
      <c r="KQG8" s="58"/>
      <c r="KQH8" s="58"/>
      <c r="KQI8" s="58"/>
      <c r="KQJ8" s="58"/>
      <c r="KQK8" s="58"/>
      <c r="KQL8" s="58"/>
      <c r="KQM8" s="58"/>
      <c r="KQN8" s="58"/>
      <c r="KQO8" s="58"/>
      <c r="KQP8" s="58"/>
      <c r="KQQ8" s="58"/>
      <c r="KQR8" s="58"/>
      <c r="KQS8" s="58"/>
      <c r="KQT8" s="58"/>
      <c r="KQU8" s="58"/>
      <c r="KQV8" s="58"/>
      <c r="KQW8" s="58"/>
      <c r="KQX8" s="58"/>
      <c r="KQY8" s="58"/>
      <c r="KQZ8" s="58"/>
      <c r="KRA8" s="58"/>
      <c r="KRB8" s="58"/>
      <c r="KRC8" s="58"/>
      <c r="KRD8" s="58"/>
      <c r="KRE8" s="58"/>
      <c r="KRF8" s="58"/>
      <c r="KRG8" s="58"/>
      <c r="KRH8" s="58"/>
      <c r="KRI8" s="58"/>
      <c r="KRJ8" s="58"/>
      <c r="KRK8" s="58"/>
      <c r="KRL8" s="58"/>
      <c r="KRM8" s="58"/>
      <c r="KRN8" s="58"/>
      <c r="KRO8" s="58"/>
      <c r="KRP8" s="58"/>
      <c r="KRQ8" s="58"/>
      <c r="KRR8" s="58"/>
      <c r="KRS8" s="58"/>
      <c r="KRT8" s="58"/>
      <c r="KRU8" s="58"/>
      <c r="KRV8" s="58"/>
      <c r="KRW8" s="58"/>
      <c r="KRX8" s="58"/>
      <c r="KRY8" s="58"/>
      <c r="KRZ8" s="58"/>
      <c r="KSA8" s="58"/>
      <c r="KSB8" s="58"/>
      <c r="KSC8" s="58"/>
      <c r="KSD8" s="58"/>
      <c r="KSE8" s="58"/>
      <c r="KSF8" s="58"/>
      <c r="KSG8" s="58"/>
      <c r="KSH8" s="58"/>
      <c r="KSI8" s="58"/>
      <c r="KSJ8" s="58"/>
      <c r="KSK8" s="58"/>
      <c r="KSL8" s="58"/>
      <c r="KSM8" s="58"/>
      <c r="KSN8" s="58"/>
      <c r="KSO8" s="58"/>
      <c r="KSP8" s="58"/>
      <c r="KSQ8" s="58"/>
      <c r="KSR8" s="58"/>
      <c r="KSS8" s="58"/>
      <c r="KST8" s="58"/>
      <c r="KSU8" s="58"/>
      <c r="KSV8" s="58"/>
      <c r="KSW8" s="58"/>
      <c r="KSX8" s="58"/>
      <c r="KSY8" s="58"/>
      <c r="KSZ8" s="58"/>
      <c r="KTA8" s="58"/>
      <c r="KTB8" s="58"/>
      <c r="KTC8" s="58"/>
      <c r="KTD8" s="58"/>
      <c r="KTE8" s="58"/>
      <c r="KTF8" s="58"/>
      <c r="KTG8" s="58"/>
      <c r="KTH8" s="58"/>
      <c r="KTI8" s="58"/>
      <c r="KTJ8" s="58"/>
      <c r="KTK8" s="58"/>
      <c r="KTL8" s="58"/>
      <c r="KTM8" s="58"/>
      <c r="KTN8" s="58"/>
      <c r="KTO8" s="58"/>
      <c r="KTP8" s="58"/>
      <c r="KTQ8" s="58"/>
      <c r="KTR8" s="58"/>
      <c r="KTS8" s="58"/>
      <c r="KTT8" s="58"/>
      <c r="KTU8" s="58"/>
      <c r="KTV8" s="58"/>
      <c r="KTW8" s="58"/>
      <c r="KTX8" s="58"/>
      <c r="KTY8" s="58"/>
      <c r="KTZ8" s="58"/>
      <c r="KUA8" s="58"/>
      <c r="KUB8" s="58"/>
      <c r="KUC8" s="58"/>
      <c r="KUD8" s="58"/>
      <c r="KUE8" s="58"/>
      <c r="KUF8" s="58"/>
      <c r="KUG8" s="58"/>
      <c r="KUH8" s="58"/>
      <c r="KUI8" s="58"/>
      <c r="KUJ8" s="58"/>
      <c r="KUK8" s="58"/>
      <c r="KUL8" s="58"/>
      <c r="KUM8" s="58"/>
      <c r="KUN8" s="58"/>
      <c r="KUO8" s="58"/>
      <c r="KUP8" s="58"/>
      <c r="KUQ8" s="58"/>
      <c r="KUR8" s="58"/>
      <c r="KUS8" s="58"/>
      <c r="KUT8" s="58"/>
      <c r="KUU8" s="58"/>
      <c r="KUV8" s="58"/>
      <c r="KUW8" s="58"/>
      <c r="KUX8" s="58"/>
      <c r="KUY8" s="58"/>
      <c r="KUZ8" s="58"/>
      <c r="KVA8" s="58"/>
      <c r="KVB8" s="58"/>
      <c r="KVC8" s="58"/>
      <c r="KVD8" s="58"/>
      <c r="KVE8" s="58"/>
      <c r="KVF8" s="58"/>
      <c r="KVG8" s="58"/>
      <c r="KVH8" s="58"/>
      <c r="KVI8" s="58"/>
      <c r="KVJ8" s="58"/>
      <c r="KVK8" s="58"/>
      <c r="KVL8" s="58"/>
      <c r="KVM8" s="58"/>
      <c r="KVN8" s="58"/>
      <c r="KVO8" s="58"/>
      <c r="KVP8" s="58"/>
      <c r="KVQ8" s="58"/>
      <c r="KVR8" s="58"/>
      <c r="KVS8" s="58"/>
      <c r="KVT8" s="58"/>
      <c r="KVU8" s="58"/>
      <c r="KVV8" s="58"/>
      <c r="KVW8" s="58"/>
      <c r="KVX8" s="58"/>
      <c r="KVY8" s="58"/>
      <c r="KVZ8" s="58"/>
      <c r="KWA8" s="58"/>
      <c r="KWB8" s="58"/>
      <c r="KWC8" s="58"/>
      <c r="KWD8" s="58"/>
      <c r="KWE8" s="58"/>
      <c r="KWF8" s="58"/>
      <c r="KWG8" s="58"/>
      <c r="KWH8" s="58"/>
      <c r="KWI8" s="58"/>
      <c r="KWJ8" s="58"/>
      <c r="KWK8" s="58"/>
      <c r="KWL8" s="58"/>
      <c r="KWM8" s="58"/>
      <c r="KWN8" s="58"/>
      <c r="KWO8" s="58"/>
      <c r="KWP8" s="58"/>
      <c r="KWQ8" s="58"/>
      <c r="KWR8" s="58"/>
      <c r="KWS8" s="58"/>
      <c r="KWT8" s="58"/>
      <c r="KWU8" s="58"/>
      <c r="KWV8" s="58"/>
      <c r="KWW8" s="58"/>
      <c r="KWX8" s="58"/>
      <c r="KWY8" s="58"/>
      <c r="KWZ8" s="58"/>
      <c r="KXA8" s="58"/>
      <c r="KXB8" s="58"/>
      <c r="KXC8" s="58"/>
      <c r="KXD8" s="58"/>
      <c r="KXE8" s="58"/>
      <c r="KXF8" s="58"/>
      <c r="KXG8" s="58"/>
      <c r="KXH8" s="58"/>
      <c r="KXI8" s="58"/>
      <c r="KXJ8" s="58"/>
      <c r="KXK8" s="58"/>
      <c r="KXL8" s="58"/>
      <c r="KXM8" s="58"/>
      <c r="KXN8" s="58"/>
      <c r="KXO8" s="58"/>
      <c r="KXP8" s="58"/>
      <c r="KXQ8" s="58"/>
      <c r="KXR8" s="58"/>
      <c r="KXS8" s="58"/>
      <c r="KXT8" s="58"/>
      <c r="KXU8" s="58"/>
      <c r="KXV8" s="58"/>
      <c r="KXW8" s="58"/>
      <c r="KXX8" s="58"/>
      <c r="KXY8" s="58"/>
      <c r="KXZ8" s="58"/>
      <c r="KYA8" s="58"/>
      <c r="KYB8" s="58"/>
      <c r="KYC8" s="58"/>
      <c r="KYD8" s="58"/>
      <c r="KYE8" s="58"/>
      <c r="KYF8" s="58"/>
      <c r="KYG8" s="58"/>
      <c r="KYH8" s="58"/>
      <c r="KYI8" s="58"/>
      <c r="KYJ8" s="58"/>
      <c r="KYK8" s="58"/>
      <c r="KYL8" s="58"/>
      <c r="KYM8" s="58"/>
      <c r="KYN8" s="58"/>
      <c r="KYO8" s="58"/>
      <c r="KYP8" s="58"/>
      <c r="KYQ8" s="58"/>
      <c r="KYR8" s="58"/>
      <c r="KYS8" s="58"/>
      <c r="KYT8" s="58"/>
      <c r="KYU8" s="58"/>
      <c r="KYV8" s="58"/>
      <c r="KYW8" s="58"/>
      <c r="KYX8" s="58"/>
      <c r="KYY8" s="58"/>
      <c r="KYZ8" s="58"/>
      <c r="KZA8" s="58"/>
      <c r="KZB8" s="58"/>
      <c r="KZC8" s="58"/>
      <c r="KZD8" s="58"/>
      <c r="KZE8" s="58"/>
      <c r="KZF8" s="58"/>
      <c r="KZG8" s="58"/>
      <c r="KZH8" s="58"/>
      <c r="KZI8" s="58"/>
      <c r="KZJ8" s="58"/>
      <c r="KZK8" s="58"/>
      <c r="KZL8" s="58"/>
      <c r="KZM8" s="58"/>
      <c r="KZN8" s="58"/>
      <c r="KZO8" s="58"/>
      <c r="KZP8" s="58"/>
      <c r="KZQ8" s="58"/>
      <c r="KZR8" s="58"/>
      <c r="KZS8" s="58"/>
      <c r="KZT8" s="58"/>
      <c r="KZU8" s="58"/>
      <c r="KZV8" s="58"/>
      <c r="KZW8" s="58"/>
      <c r="KZX8" s="58"/>
      <c r="KZY8" s="58"/>
      <c r="KZZ8" s="58"/>
      <c r="LAA8" s="58"/>
      <c r="LAB8" s="58"/>
      <c r="LAC8" s="58"/>
      <c r="LAD8" s="58"/>
      <c r="LAE8" s="58"/>
      <c r="LAF8" s="58"/>
      <c r="LAG8" s="58"/>
      <c r="LAH8" s="58"/>
      <c r="LAI8" s="58"/>
      <c r="LAJ8" s="58"/>
      <c r="LAK8" s="58"/>
      <c r="LAL8" s="58"/>
      <c r="LAM8" s="58"/>
      <c r="LAN8" s="58"/>
      <c r="LAO8" s="58"/>
      <c r="LAP8" s="58"/>
      <c r="LAQ8" s="58"/>
      <c r="LAR8" s="58"/>
      <c r="LAS8" s="58"/>
      <c r="LAT8" s="58"/>
      <c r="LAU8" s="58"/>
      <c r="LAV8" s="58"/>
      <c r="LAW8" s="58"/>
      <c r="LAX8" s="58"/>
      <c r="LAY8" s="58"/>
      <c r="LAZ8" s="58"/>
      <c r="LBA8" s="58"/>
      <c r="LBB8" s="58"/>
      <c r="LBC8" s="58"/>
      <c r="LBD8" s="58"/>
      <c r="LBE8" s="58"/>
      <c r="LBF8" s="58"/>
      <c r="LBG8" s="58"/>
      <c r="LBH8" s="58"/>
      <c r="LBI8" s="58"/>
      <c r="LBJ8" s="58"/>
      <c r="LBK8" s="58"/>
      <c r="LBL8" s="58"/>
      <c r="LBM8" s="58"/>
      <c r="LBN8" s="58"/>
      <c r="LBO8" s="58"/>
      <c r="LBP8" s="58"/>
      <c r="LBQ8" s="58"/>
      <c r="LBR8" s="58"/>
      <c r="LBS8" s="58"/>
      <c r="LBT8" s="58"/>
      <c r="LBU8" s="58"/>
      <c r="LBV8" s="58"/>
      <c r="LBW8" s="58"/>
      <c r="LBX8" s="58"/>
      <c r="LBY8" s="58"/>
      <c r="LBZ8" s="58"/>
      <c r="LCA8" s="58"/>
      <c r="LCB8" s="58"/>
      <c r="LCC8" s="58"/>
      <c r="LCD8" s="58"/>
      <c r="LCE8" s="58"/>
      <c r="LCF8" s="58"/>
      <c r="LCG8" s="58"/>
      <c r="LCH8" s="58"/>
      <c r="LCI8" s="58"/>
      <c r="LCJ8" s="58"/>
      <c r="LCK8" s="58"/>
      <c r="LCL8" s="58"/>
      <c r="LCM8" s="58"/>
      <c r="LCN8" s="58"/>
      <c r="LCO8" s="58"/>
      <c r="LCP8" s="58"/>
      <c r="LCQ8" s="58"/>
      <c r="LCR8" s="58"/>
      <c r="LCS8" s="58"/>
      <c r="LCT8" s="58"/>
      <c r="LCU8" s="58"/>
      <c r="LCV8" s="58"/>
      <c r="LCW8" s="58"/>
      <c r="LCX8" s="58"/>
      <c r="LCY8" s="58"/>
      <c r="LCZ8" s="58"/>
      <c r="LDA8" s="58"/>
      <c r="LDB8" s="58"/>
      <c r="LDC8" s="58"/>
      <c r="LDD8" s="58"/>
      <c r="LDE8" s="58"/>
      <c r="LDF8" s="58"/>
      <c r="LDG8" s="58"/>
      <c r="LDH8" s="58"/>
      <c r="LDI8" s="58"/>
      <c r="LDJ8" s="58"/>
      <c r="LDK8" s="58"/>
      <c r="LDL8" s="58"/>
      <c r="LDM8" s="58"/>
      <c r="LDN8" s="58"/>
      <c r="LDO8" s="58"/>
      <c r="LDP8" s="58"/>
      <c r="LDQ8" s="58"/>
      <c r="LDR8" s="58"/>
      <c r="LDS8" s="58"/>
      <c r="LDT8" s="58"/>
      <c r="LDU8" s="58"/>
      <c r="LDV8" s="58"/>
      <c r="LDW8" s="58"/>
      <c r="LDX8" s="58"/>
      <c r="LDY8" s="58"/>
      <c r="LDZ8" s="58"/>
      <c r="LEA8" s="58"/>
      <c r="LEB8" s="58"/>
      <c r="LEC8" s="58"/>
      <c r="LED8" s="58"/>
      <c r="LEE8" s="58"/>
      <c r="LEF8" s="58"/>
      <c r="LEG8" s="58"/>
      <c r="LEH8" s="58"/>
      <c r="LEI8" s="58"/>
      <c r="LEJ8" s="58"/>
      <c r="LEK8" s="58"/>
      <c r="LEL8" s="58"/>
      <c r="LEM8" s="58"/>
      <c r="LEN8" s="58"/>
      <c r="LEO8" s="58"/>
      <c r="LEP8" s="58"/>
      <c r="LEQ8" s="58"/>
      <c r="LER8" s="58"/>
      <c r="LES8" s="58"/>
      <c r="LET8" s="58"/>
      <c r="LEU8" s="58"/>
      <c r="LEV8" s="58"/>
      <c r="LEW8" s="58"/>
      <c r="LEX8" s="58"/>
      <c r="LEY8" s="58"/>
      <c r="LEZ8" s="58"/>
      <c r="LFA8" s="58"/>
      <c r="LFB8" s="58"/>
      <c r="LFC8" s="58"/>
      <c r="LFD8" s="58"/>
      <c r="LFE8" s="58"/>
      <c r="LFF8" s="58"/>
      <c r="LFG8" s="58"/>
      <c r="LFH8" s="58"/>
      <c r="LFI8" s="58"/>
      <c r="LFJ8" s="58"/>
      <c r="LFK8" s="58"/>
      <c r="LFL8" s="58"/>
      <c r="LFM8" s="58"/>
      <c r="LFN8" s="58"/>
      <c r="LFO8" s="58"/>
      <c r="LFP8" s="58"/>
      <c r="LFQ8" s="58"/>
      <c r="LFR8" s="58"/>
      <c r="LFS8" s="58"/>
      <c r="LFT8" s="58"/>
      <c r="LFU8" s="58"/>
      <c r="LFV8" s="58"/>
      <c r="LFW8" s="58"/>
      <c r="LFX8" s="58"/>
      <c r="LFY8" s="58"/>
      <c r="LFZ8" s="58"/>
      <c r="LGA8" s="58"/>
      <c r="LGB8" s="58"/>
      <c r="LGC8" s="58"/>
      <c r="LGD8" s="58"/>
      <c r="LGE8" s="58"/>
      <c r="LGF8" s="58"/>
      <c r="LGG8" s="58"/>
      <c r="LGH8" s="58"/>
      <c r="LGI8" s="58"/>
      <c r="LGJ8" s="58"/>
      <c r="LGK8" s="58"/>
      <c r="LGL8" s="58"/>
      <c r="LGM8" s="58"/>
      <c r="LGN8" s="58"/>
      <c r="LGO8" s="58"/>
      <c r="LGP8" s="58"/>
      <c r="LGQ8" s="58"/>
      <c r="LGR8" s="58"/>
      <c r="LGS8" s="58"/>
      <c r="LGT8" s="58"/>
      <c r="LGU8" s="58"/>
      <c r="LGV8" s="58"/>
      <c r="LGW8" s="58"/>
      <c r="LGX8" s="58"/>
      <c r="LGY8" s="58"/>
      <c r="LGZ8" s="58"/>
      <c r="LHA8" s="58"/>
      <c r="LHB8" s="58"/>
      <c r="LHC8" s="58"/>
      <c r="LHD8" s="58"/>
      <c r="LHE8" s="58"/>
      <c r="LHF8" s="58"/>
      <c r="LHG8" s="58"/>
      <c r="LHH8" s="58"/>
      <c r="LHI8" s="58"/>
      <c r="LHJ8" s="58"/>
      <c r="LHK8" s="58"/>
      <c r="LHL8" s="58"/>
      <c r="LHM8" s="58"/>
      <c r="LHN8" s="58"/>
      <c r="LHO8" s="58"/>
      <c r="LHP8" s="58"/>
      <c r="LHQ8" s="58"/>
      <c r="LHR8" s="58"/>
      <c r="LHS8" s="58"/>
      <c r="LHT8" s="58"/>
      <c r="LHU8" s="58"/>
      <c r="LHV8" s="58"/>
      <c r="LHW8" s="58"/>
      <c r="LHX8" s="58"/>
      <c r="LHY8" s="58"/>
      <c r="LHZ8" s="58"/>
      <c r="LIA8" s="58"/>
      <c r="LIB8" s="58"/>
      <c r="LIC8" s="58"/>
      <c r="LID8" s="58"/>
      <c r="LIE8" s="58"/>
      <c r="LIF8" s="58"/>
      <c r="LIG8" s="58"/>
      <c r="LIH8" s="58"/>
      <c r="LII8" s="58"/>
      <c r="LIJ8" s="58"/>
      <c r="LIK8" s="58"/>
      <c r="LIL8" s="58"/>
      <c r="LIM8" s="58"/>
      <c r="LIN8" s="58"/>
      <c r="LIO8" s="58"/>
      <c r="LIP8" s="58"/>
      <c r="LIQ8" s="58"/>
      <c r="LIR8" s="58"/>
      <c r="LIS8" s="58"/>
      <c r="LIT8" s="58"/>
      <c r="LIU8" s="58"/>
      <c r="LIV8" s="58"/>
      <c r="LIW8" s="58"/>
      <c r="LIX8" s="58"/>
      <c r="LIY8" s="58"/>
      <c r="LIZ8" s="58"/>
      <c r="LJA8" s="58"/>
      <c r="LJB8" s="58"/>
      <c r="LJC8" s="58"/>
      <c r="LJD8" s="58"/>
      <c r="LJE8" s="58"/>
      <c r="LJF8" s="58"/>
      <c r="LJG8" s="58"/>
      <c r="LJH8" s="58"/>
      <c r="LJI8" s="58"/>
      <c r="LJJ8" s="58"/>
      <c r="LJK8" s="58"/>
      <c r="LJL8" s="58"/>
      <c r="LJM8" s="58"/>
      <c r="LJN8" s="58"/>
      <c r="LJO8" s="58"/>
      <c r="LJP8" s="58"/>
      <c r="LJQ8" s="58"/>
      <c r="LJR8" s="58"/>
      <c r="LJS8" s="58"/>
      <c r="LJT8" s="58"/>
      <c r="LJU8" s="58"/>
      <c r="LJV8" s="58"/>
      <c r="LJW8" s="58"/>
      <c r="LJX8" s="58"/>
      <c r="LJY8" s="58"/>
      <c r="LJZ8" s="58"/>
      <c r="LKA8" s="58"/>
      <c r="LKB8" s="58"/>
      <c r="LKC8" s="58"/>
      <c r="LKD8" s="58"/>
      <c r="LKE8" s="58"/>
      <c r="LKF8" s="58"/>
      <c r="LKG8" s="58"/>
      <c r="LKH8" s="58"/>
      <c r="LKI8" s="58"/>
      <c r="LKJ8" s="58"/>
      <c r="LKK8" s="58"/>
      <c r="LKL8" s="58"/>
      <c r="LKM8" s="58"/>
      <c r="LKN8" s="58"/>
      <c r="LKO8" s="58"/>
      <c r="LKP8" s="58"/>
      <c r="LKQ8" s="58"/>
      <c r="LKR8" s="58"/>
      <c r="LKS8" s="58"/>
      <c r="LKT8" s="58"/>
      <c r="LKU8" s="58"/>
      <c r="LKV8" s="58"/>
      <c r="LKW8" s="58"/>
      <c r="LKX8" s="58"/>
      <c r="LKY8" s="58"/>
      <c r="LKZ8" s="58"/>
      <c r="LLA8" s="58"/>
      <c r="LLB8" s="58"/>
      <c r="LLC8" s="58"/>
      <c r="LLD8" s="58"/>
      <c r="LLE8" s="58"/>
      <c r="LLF8" s="58"/>
      <c r="LLG8" s="58"/>
      <c r="LLH8" s="58"/>
      <c r="LLI8" s="58"/>
      <c r="LLJ8" s="58"/>
      <c r="LLK8" s="58"/>
      <c r="LLL8" s="58"/>
      <c r="LLM8" s="58"/>
      <c r="LLN8" s="58"/>
      <c r="LLO8" s="58"/>
      <c r="LLP8" s="58"/>
      <c r="LLQ8" s="58"/>
      <c r="LLR8" s="58"/>
      <c r="LLS8" s="58"/>
      <c r="LLT8" s="58"/>
      <c r="LLU8" s="58"/>
      <c r="LLV8" s="58"/>
      <c r="LLW8" s="58"/>
      <c r="LLX8" s="58"/>
      <c r="LLY8" s="58"/>
      <c r="LLZ8" s="58"/>
      <c r="LMA8" s="58"/>
      <c r="LMB8" s="58"/>
      <c r="LMC8" s="58"/>
      <c r="LMD8" s="58"/>
      <c r="LME8" s="58"/>
      <c r="LMF8" s="58"/>
      <c r="LMG8" s="58"/>
      <c r="LMH8" s="58"/>
      <c r="LMI8" s="58"/>
      <c r="LMJ8" s="58"/>
      <c r="LMK8" s="58"/>
      <c r="LML8" s="58"/>
      <c r="LMM8" s="58"/>
      <c r="LMN8" s="58"/>
      <c r="LMO8" s="58"/>
      <c r="LMP8" s="58"/>
      <c r="LMQ8" s="58"/>
      <c r="LMR8" s="58"/>
      <c r="LMS8" s="58"/>
      <c r="LMT8" s="58"/>
      <c r="LMU8" s="58"/>
      <c r="LMV8" s="58"/>
      <c r="LMW8" s="58"/>
      <c r="LMX8" s="58"/>
      <c r="LMY8" s="58"/>
      <c r="LMZ8" s="58"/>
      <c r="LNA8" s="58"/>
      <c r="LNB8" s="58"/>
      <c r="LNC8" s="58"/>
      <c r="LND8" s="58"/>
      <c r="LNE8" s="58"/>
      <c r="LNF8" s="58"/>
      <c r="LNG8" s="58"/>
      <c r="LNH8" s="58"/>
      <c r="LNI8" s="58"/>
      <c r="LNJ8" s="58"/>
      <c r="LNK8" s="58"/>
      <c r="LNL8" s="58"/>
      <c r="LNM8" s="58"/>
      <c r="LNN8" s="58"/>
      <c r="LNO8" s="58"/>
      <c r="LNP8" s="58"/>
      <c r="LNQ8" s="58"/>
      <c r="LNR8" s="58"/>
      <c r="LNS8" s="58"/>
      <c r="LNT8" s="58"/>
      <c r="LNU8" s="58"/>
      <c r="LNV8" s="58"/>
      <c r="LNW8" s="58"/>
      <c r="LNX8" s="58"/>
      <c r="LNY8" s="58"/>
      <c r="LNZ8" s="58"/>
      <c r="LOA8" s="58"/>
      <c r="LOB8" s="58"/>
      <c r="LOC8" s="58"/>
      <c r="LOD8" s="58"/>
      <c r="LOE8" s="58"/>
      <c r="LOF8" s="58"/>
      <c r="LOG8" s="58"/>
      <c r="LOH8" s="58"/>
      <c r="LOI8" s="58"/>
      <c r="LOJ8" s="58"/>
      <c r="LOK8" s="58"/>
      <c r="LOL8" s="58"/>
      <c r="LOM8" s="58"/>
      <c r="LON8" s="58"/>
      <c r="LOO8" s="58"/>
      <c r="LOP8" s="58"/>
      <c r="LOQ8" s="58"/>
      <c r="LOR8" s="58"/>
      <c r="LOS8" s="58"/>
      <c r="LOT8" s="58"/>
      <c r="LOU8" s="58"/>
      <c r="LOV8" s="58"/>
      <c r="LOW8" s="58"/>
      <c r="LOX8" s="58"/>
      <c r="LOY8" s="58"/>
      <c r="LOZ8" s="58"/>
      <c r="LPA8" s="58"/>
      <c r="LPB8" s="58"/>
      <c r="LPC8" s="58"/>
      <c r="LPD8" s="58"/>
      <c r="LPE8" s="58"/>
      <c r="LPF8" s="58"/>
      <c r="LPG8" s="58"/>
      <c r="LPH8" s="58"/>
      <c r="LPI8" s="58"/>
      <c r="LPJ8" s="58"/>
      <c r="LPK8" s="58"/>
      <c r="LPL8" s="58"/>
      <c r="LPM8" s="58"/>
      <c r="LPN8" s="58"/>
      <c r="LPO8" s="58"/>
      <c r="LPP8" s="58"/>
      <c r="LPQ8" s="58"/>
      <c r="LPR8" s="58"/>
      <c r="LPS8" s="58"/>
      <c r="LPT8" s="58"/>
      <c r="LPU8" s="58"/>
      <c r="LPV8" s="58"/>
      <c r="LPW8" s="58"/>
      <c r="LPX8" s="58"/>
      <c r="LPY8" s="58"/>
      <c r="LPZ8" s="58"/>
      <c r="LQA8" s="58"/>
      <c r="LQB8" s="58"/>
      <c r="LQC8" s="58"/>
      <c r="LQD8" s="58"/>
      <c r="LQE8" s="58"/>
      <c r="LQF8" s="58"/>
      <c r="LQG8" s="58"/>
      <c r="LQH8" s="58"/>
      <c r="LQI8" s="58"/>
      <c r="LQJ8" s="58"/>
      <c r="LQK8" s="58"/>
      <c r="LQL8" s="58"/>
      <c r="LQM8" s="58"/>
      <c r="LQN8" s="58"/>
      <c r="LQO8" s="58"/>
      <c r="LQP8" s="58"/>
      <c r="LQQ8" s="58"/>
      <c r="LQR8" s="58"/>
      <c r="LQS8" s="58"/>
      <c r="LQT8" s="58"/>
      <c r="LQU8" s="58"/>
      <c r="LQV8" s="58"/>
      <c r="LQW8" s="58"/>
      <c r="LQX8" s="58"/>
      <c r="LQY8" s="58"/>
      <c r="LQZ8" s="58"/>
      <c r="LRA8" s="58"/>
      <c r="LRB8" s="58"/>
      <c r="LRC8" s="58"/>
      <c r="LRD8" s="58"/>
      <c r="LRE8" s="58"/>
      <c r="LRF8" s="58"/>
      <c r="LRG8" s="58"/>
      <c r="LRH8" s="58"/>
      <c r="LRI8" s="58"/>
      <c r="LRJ8" s="58"/>
      <c r="LRK8" s="58"/>
      <c r="LRL8" s="58"/>
      <c r="LRM8" s="58"/>
      <c r="LRN8" s="58"/>
      <c r="LRO8" s="58"/>
      <c r="LRP8" s="58"/>
      <c r="LRQ8" s="58"/>
      <c r="LRR8" s="58"/>
      <c r="LRS8" s="58"/>
      <c r="LRT8" s="58"/>
      <c r="LRU8" s="58"/>
      <c r="LRV8" s="58"/>
      <c r="LRW8" s="58"/>
      <c r="LRX8" s="58"/>
      <c r="LRY8" s="58"/>
      <c r="LRZ8" s="58"/>
      <c r="LSA8" s="58"/>
      <c r="LSB8" s="58"/>
      <c r="LSC8" s="58"/>
      <c r="LSD8" s="58"/>
      <c r="LSE8" s="58"/>
      <c r="LSF8" s="58"/>
      <c r="LSG8" s="58"/>
      <c r="LSH8" s="58"/>
      <c r="LSI8" s="58"/>
      <c r="LSJ8" s="58"/>
      <c r="LSK8" s="58"/>
      <c r="LSL8" s="58"/>
      <c r="LSM8" s="58"/>
      <c r="LSN8" s="58"/>
      <c r="LSO8" s="58"/>
      <c r="LSP8" s="58"/>
      <c r="LSQ8" s="58"/>
      <c r="LSR8" s="58"/>
      <c r="LSS8" s="58"/>
      <c r="LST8" s="58"/>
      <c r="LSU8" s="58"/>
      <c r="LSV8" s="58"/>
      <c r="LSW8" s="58"/>
      <c r="LSX8" s="58"/>
      <c r="LSY8" s="58"/>
      <c r="LSZ8" s="58"/>
      <c r="LTA8" s="58"/>
      <c r="LTB8" s="58"/>
      <c r="LTC8" s="58"/>
      <c r="LTD8" s="58"/>
      <c r="LTE8" s="58"/>
      <c r="LTF8" s="58"/>
      <c r="LTG8" s="58"/>
      <c r="LTH8" s="58"/>
      <c r="LTI8" s="58"/>
      <c r="LTJ8" s="58"/>
      <c r="LTK8" s="58"/>
      <c r="LTL8" s="58"/>
      <c r="LTM8" s="58"/>
      <c r="LTN8" s="58"/>
      <c r="LTO8" s="58"/>
      <c r="LTP8" s="58"/>
      <c r="LTQ8" s="58"/>
      <c r="LTR8" s="58"/>
      <c r="LTS8" s="58"/>
      <c r="LTT8" s="58"/>
      <c r="LTU8" s="58"/>
      <c r="LTV8" s="58"/>
      <c r="LTW8" s="58"/>
      <c r="LTX8" s="58"/>
      <c r="LTY8" s="58"/>
      <c r="LTZ8" s="58"/>
      <c r="LUA8" s="58"/>
      <c r="LUB8" s="58"/>
      <c r="LUC8" s="58"/>
      <c r="LUD8" s="58"/>
      <c r="LUE8" s="58"/>
      <c r="LUF8" s="58"/>
      <c r="LUG8" s="58"/>
      <c r="LUH8" s="58"/>
      <c r="LUI8" s="58"/>
      <c r="LUJ8" s="58"/>
      <c r="LUK8" s="58"/>
      <c r="LUL8" s="58"/>
      <c r="LUM8" s="58"/>
      <c r="LUN8" s="58"/>
      <c r="LUO8" s="58"/>
      <c r="LUP8" s="58"/>
      <c r="LUQ8" s="58"/>
      <c r="LUR8" s="58"/>
      <c r="LUS8" s="58"/>
      <c r="LUT8" s="58"/>
      <c r="LUU8" s="58"/>
      <c r="LUV8" s="58"/>
      <c r="LUW8" s="58"/>
      <c r="LUX8" s="58"/>
      <c r="LUY8" s="58"/>
      <c r="LUZ8" s="58"/>
      <c r="LVA8" s="58"/>
      <c r="LVB8" s="58"/>
      <c r="LVC8" s="58"/>
      <c r="LVD8" s="58"/>
      <c r="LVE8" s="58"/>
      <c r="LVF8" s="58"/>
      <c r="LVG8" s="58"/>
      <c r="LVH8" s="58"/>
      <c r="LVI8" s="58"/>
      <c r="LVJ8" s="58"/>
      <c r="LVK8" s="58"/>
      <c r="LVL8" s="58"/>
      <c r="LVM8" s="58"/>
      <c r="LVN8" s="58"/>
      <c r="LVO8" s="58"/>
      <c r="LVP8" s="58"/>
      <c r="LVQ8" s="58"/>
      <c r="LVR8" s="58"/>
      <c r="LVS8" s="58"/>
      <c r="LVT8" s="58"/>
      <c r="LVU8" s="58"/>
      <c r="LVV8" s="58"/>
      <c r="LVW8" s="58"/>
      <c r="LVX8" s="58"/>
      <c r="LVY8" s="58"/>
      <c r="LVZ8" s="58"/>
      <c r="LWA8" s="58"/>
      <c r="LWB8" s="58"/>
      <c r="LWC8" s="58"/>
      <c r="LWD8" s="58"/>
      <c r="LWE8" s="58"/>
      <c r="LWF8" s="58"/>
      <c r="LWG8" s="58"/>
      <c r="LWH8" s="58"/>
      <c r="LWI8" s="58"/>
      <c r="LWJ8" s="58"/>
      <c r="LWK8" s="58"/>
      <c r="LWL8" s="58"/>
      <c r="LWM8" s="58"/>
      <c r="LWN8" s="58"/>
      <c r="LWO8" s="58"/>
      <c r="LWP8" s="58"/>
      <c r="LWQ8" s="58"/>
      <c r="LWR8" s="58"/>
      <c r="LWS8" s="58"/>
      <c r="LWT8" s="58"/>
      <c r="LWU8" s="58"/>
      <c r="LWV8" s="58"/>
      <c r="LWW8" s="58"/>
      <c r="LWX8" s="58"/>
      <c r="LWY8" s="58"/>
      <c r="LWZ8" s="58"/>
      <c r="LXA8" s="58"/>
      <c r="LXB8" s="58"/>
      <c r="LXC8" s="58"/>
      <c r="LXD8" s="58"/>
      <c r="LXE8" s="58"/>
      <c r="LXF8" s="58"/>
      <c r="LXG8" s="58"/>
      <c r="LXH8" s="58"/>
      <c r="LXI8" s="58"/>
      <c r="LXJ8" s="58"/>
      <c r="LXK8" s="58"/>
      <c r="LXL8" s="58"/>
      <c r="LXM8" s="58"/>
      <c r="LXN8" s="58"/>
      <c r="LXO8" s="58"/>
      <c r="LXP8" s="58"/>
      <c r="LXQ8" s="58"/>
      <c r="LXR8" s="58"/>
      <c r="LXS8" s="58"/>
      <c r="LXT8" s="58"/>
      <c r="LXU8" s="58"/>
      <c r="LXV8" s="58"/>
      <c r="LXW8" s="58"/>
      <c r="LXX8" s="58"/>
      <c r="LXY8" s="58"/>
      <c r="LXZ8" s="58"/>
      <c r="LYA8" s="58"/>
      <c r="LYB8" s="58"/>
      <c r="LYC8" s="58"/>
      <c r="LYD8" s="58"/>
      <c r="LYE8" s="58"/>
      <c r="LYF8" s="58"/>
      <c r="LYG8" s="58"/>
      <c r="LYH8" s="58"/>
      <c r="LYI8" s="58"/>
      <c r="LYJ8" s="58"/>
      <c r="LYK8" s="58"/>
      <c r="LYL8" s="58"/>
      <c r="LYM8" s="58"/>
      <c r="LYN8" s="58"/>
      <c r="LYO8" s="58"/>
      <c r="LYP8" s="58"/>
      <c r="LYQ8" s="58"/>
      <c r="LYR8" s="58"/>
      <c r="LYS8" s="58"/>
      <c r="LYT8" s="58"/>
      <c r="LYU8" s="58"/>
      <c r="LYV8" s="58"/>
      <c r="LYW8" s="58"/>
      <c r="LYX8" s="58"/>
      <c r="LYY8" s="58"/>
      <c r="LYZ8" s="58"/>
      <c r="LZA8" s="58"/>
      <c r="LZB8" s="58"/>
      <c r="LZC8" s="58"/>
      <c r="LZD8" s="58"/>
      <c r="LZE8" s="58"/>
      <c r="LZF8" s="58"/>
      <c r="LZG8" s="58"/>
      <c r="LZH8" s="58"/>
      <c r="LZI8" s="58"/>
      <c r="LZJ8" s="58"/>
      <c r="LZK8" s="58"/>
      <c r="LZL8" s="58"/>
      <c r="LZM8" s="58"/>
      <c r="LZN8" s="58"/>
      <c r="LZO8" s="58"/>
      <c r="LZP8" s="58"/>
      <c r="LZQ8" s="58"/>
      <c r="LZR8" s="58"/>
      <c r="LZS8" s="58"/>
      <c r="LZT8" s="58"/>
      <c r="LZU8" s="58"/>
      <c r="LZV8" s="58"/>
      <c r="LZW8" s="58"/>
      <c r="LZX8" s="58"/>
      <c r="LZY8" s="58"/>
      <c r="LZZ8" s="58"/>
      <c r="MAA8" s="58"/>
      <c r="MAB8" s="58"/>
      <c r="MAC8" s="58"/>
      <c r="MAD8" s="58"/>
      <c r="MAE8" s="58"/>
      <c r="MAF8" s="58"/>
      <c r="MAG8" s="58"/>
      <c r="MAH8" s="58"/>
      <c r="MAI8" s="58"/>
      <c r="MAJ8" s="58"/>
      <c r="MAK8" s="58"/>
      <c r="MAL8" s="58"/>
      <c r="MAM8" s="58"/>
      <c r="MAN8" s="58"/>
      <c r="MAO8" s="58"/>
      <c r="MAP8" s="58"/>
      <c r="MAQ8" s="58"/>
      <c r="MAR8" s="58"/>
      <c r="MAS8" s="58"/>
      <c r="MAT8" s="58"/>
      <c r="MAU8" s="58"/>
      <c r="MAV8" s="58"/>
      <c r="MAW8" s="58"/>
      <c r="MAX8" s="58"/>
      <c r="MAY8" s="58"/>
      <c r="MAZ8" s="58"/>
      <c r="MBA8" s="58"/>
      <c r="MBB8" s="58"/>
      <c r="MBC8" s="58"/>
      <c r="MBD8" s="58"/>
      <c r="MBE8" s="58"/>
      <c r="MBF8" s="58"/>
      <c r="MBG8" s="58"/>
      <c r="MBH8" s="58"/>
      <c r="MBI8" s="58"/>
      <c r="MBJ8" s="58"/>
      <c r="MBK8" s="58"/>
      <c r="MBL8" s="58"/>
      <c r="MBM8" s="58"/>
      <c r="MBN8" s="58"/>
      <c r="MBO8" s="58"/>
      <c r="MBP8" s="58"/>
      <c r="MBQ8" s="58"/>
      <c r="MBR8" s="58"/>
      <c r="MBS8" s="58"/>
      <c r="MBT8" s="58"/>
      <c r="MBU8" s="58"/>
      <c r="MBV8" s="58"/>
      <c r="MBW8" s="58"/>
      <c r="MBX8" s="58"/>
      <c r="MBY8" s="58"/>
      <c r="MBZ8" s="58"/>
      <c r="MCA8" s="58"/>
      <c r="MCB8" s="58"/>
      <c r="MCC8" s="58"/>
      <c r="MCD8" s="58"/>
      <c r="MCE8" s="58"/>
      <c r="MCF8" s="58"/>
      <c r="MCG8" s="58"/>
      <c r="MCH8" s="58"/>
      <c r="MCI8" s="58"/>
      <c r="MCJ8" s="58"/>
      <c r="MCK8" s="58"/>
      <c r="MCL8" s="58"/>
      <c r="MCM8" s="58"/>
      <c r="MCN8" s="58"/>
      <c r="MCO8" s="58"/>
      <c r="MCP8" s="58"/>
      <c r="MCQ8" s="58"/>
      <c r="MCR8" s="58"/>
      <c r="MCS8" s="58"/>
      <c r="MCT8" s="58"/>
      <c r="MCU8" s="58"/>
      <c r="MCV8" s="58"/>
      <c r="MCW8" s="58"/>
      <c r="MCX8" s="58"/>
      <c r="MCY8" s="58"/>
      <c r="MCZ8" s="58"/>
      <c r="MDA8" s="58"/>
      <c r="MDB8" s="58"/>
      <c r="MDC8" s="58"/>
      <c r="MDD8" s="58"/>
      <c r="MDE8" s="58"/>
      <c r="MDF8" s="58"/>
      <c r="MDG8" s="58"/>
      <c r="MDH8" s="58"/>
      <c r="MDI8" s="58"/>
      <c r="MDJ8" s="58"/>
      <c r="MDK8" s="58"/>
      <c r="MDL8" s="58"/>
      <c r="MDM8" s="58"/>
      <c r="MDN8" s="58"/>
      <c r="MDO8" s="58"/>
      <c r="MDP8" s="58"/>
      <c r="MDQ8" s="58"/>
      <c r="MDR8" s="58"/>
      <c r="MDS8" s="58"/>
      <c r="MDT8" s="58"/>
      <c r="MDU8" s="58"/>
      <c r="MDV8" s="58"/>
      <c r="MDW8" s="58"/>
      <c r="MDX8" s="58"/>
      <c r="MDY8" s="58"/>
      <c r="MDZ8" s="58"/>
      <c r="MEA8" s="58"/>
      <c r="MEB8" s="58"/>
      <c r="MEC8" s="58"/>
      <c r="MED8" s="58"/>
      <c r="MEE8" s="58"/>
      <c r="MEF8" s="58"/>
      <c r="MEG8" s="58"/>
      <c r="MEH8" s="58"/>
      <c r="MEI8" s="58"/>
      <c r="MEJ8" s="58"/>
      <c r="MEK8" s="58"/>
      <c r="MEL8" s="58"/>
      <c r="MEM8" s="58"/>
      <c r="MEN8" s="58"/>
      <c r="MEO8" s="58"/>
      <c r="MEP8" s="58"/>
      <c r="MEQ8" s="58"/>
      <c r="MER8" s="58"/>
      <c r="MES8" s="58"/>
      <c r="MET8" s="58"/>
      <c r="MEU8" s="58"/>
      <c r="MEV8" s="58"/>
      <c r="MEW8" s="58"/>
      <c r="MEX8" s="58"/>
      <c r="MEY8" s="58"/>
      <c r="MEZ8" s="58"/>
      <c r="MFA8" s="58"/>
      <c r="MFB8" s="58"/>
      <c r="MFC8" s="58"/>
      <c r="MFD8" s="58"/>
      <c r="MFE8" s="58"/>
      <c r="MFF8" s="58"/>
      <c r="MFG8" s="58"/>
      <c r="MFH8" s="58"/>
      <c r="MFI8" s="58"/>
      <c r="MFJ8" s="58"/>
      <c r="MFK8" s="58"/>
      <c r="MFL8" s="58"/>
      <c r="MFM8" s="58"/>
      <c r="MFN8" s="58"/>
      <c r="MFO8" s="58"/>
      <c r="MFP8" s="58"/>
      <c r="MFQ8" s="58"/>
      <c r="MFR8" s="58"/>
      <c r="MFS8" s="58"/>
      <c r="MFT8" s="58"/>
      <c r="MFU8" s="58"/>
      <c r="MFV8" s="58"/>
      <c r="MFW8" s="58"/>
      <c r="MFX8" s="58"/>
      <c r="MFY8" s="58"/>
      <c r="MFZ8" s="58"/>
      <c r="MGA8" s="58"/>
      <c r="MGB8" s="58"/>
      <c r="MGC8" s="58"/>
      <c r="MGD8" s="58"/>
      <c r="MGE8" s="58"/>
      <c r="MGF8" s="58"/>
      <c r="MGG8" s="58"/>
      <c r="MGH8" s="58"/>
      <c r="MGI8" s="58"/>
      <c r="MGJ8" s="58"/>
      <c r="MGK8" s="58"/>
      <c r="MGL8" s="58"/>
      <c r="MGM8" s="58"/>
      <c r="MGN8" s="58"/>
      <c r="MGO8" s="58"/>
      <c r="MGP8" s="58"/>
      <c r="MGQ8" s="58"/>
      <c r="MGR8" s="58"/>
      <c r="MGS8" s="58"/>
      <c r="MGT8" s="58"/>
      <c r="MGU8" s="58"/>
      <c r="MGV8" s="58"/>
      <c r="MGW8" s="58"/>
      <c r="MGX8" s="58"/>
      <c r="MGY8" s="58"/>
      <c r="MGZ8" s="58"/>
      <c r="MHA8" s="58"/>
      <c r="MHB8" s="58"/>
      <c r="MHC8" s="58"/>
      <c r="MHD8" s="58"/>
      <c r="MHE8" s="58"/>
      <c r="MHF8" s="58"/>
      <c r="MHG8" s="58"/>
      <c r="MHH8" s="58"/>
      <c r="MHI8" s="58"/>
      <c r="MHJ8" s="58"/>
      <c r="MHK8" s="58"/>
      <c r="MHL8" s="58"/>
      <c r="MHM8" s="58"/>
      <c r="MHN8" s="58"/>
      <c r="MHO8" s="58"/>
      <c r="MHP8" s="58"/>
      <c r="MHQ8" s="58"/>
      <c r="MHR8" s="58"/>
      <c r="MHS8" s="58"/>
      <c r="MHT8" s="58"/>
      <c r="MHU8" s="58"/>
      <c r="MHV8" s="58"/>
      <c r="MHW8" s="58"/>
      <c r="MHX8" s="58"/>
      <c r="MHY8" s="58"/>
      <c r="MHZ8" s="58"/>
      <c r="MIA8" s="58"/>
      <c r="MIB8" s="58"/>
      <c r="MIC8" s="58"/>
      <c r="MID8" s="58"/>
      <c r="MIE8" s="58"/>
      <c r="MIF8" s="58"/>
      <c r="MIG8" s="58"/>
      <c r="MIH8" s="58"/>
      <c r="MII8" s="58"/>
      <c r="MIJ8" s="58"/>
      <c r="MIK8" s="58"/>
      <c r="MIL8" s="58"/>
      <c r="MIM8" s="58"/>
      <c r="MIN8" s="58"/>
      <c r="MIO8" s="58"/>
      <c r="MIP8" s="58"/>
      <c r="MIQ8" s="58"/>
      <c r="MIR8" s="58"/>
      <c r="MIS8" s="58"/>
      <c r="MIT8" s="58"/>
      <c r="MIU8" s="58"/>
      <c r="MIV8" s="58"/>
      <c r="MIW8" s="58"/>
      <c r="MIX8" s="58"/>
      <c r="MIY8" s="58"/>
      <c r="MIZ8" s="58"/>
      <c r="MJA8" s="58"/>
      <c r="MJB8" s="58"/>
      <c r="MJC8" s="58"/>
      <c r="MJD8" s="58"/>
      <c r="MJE8" s="58"/>
      <c r="MJF8" s="58"/>
      <c r="MJG8" s="58"/>
      <c r="MJH8" s="58"/>
      <c r="MJI8" s="58"/>
      <c r="MJJ8" s="58"/>
      <c r="MJK8" s="58"/>
      <c r="MJL8" s="58"/>
      <c r="MJM8" s="58"/>
      <c r="MJN8" s="58"/>
      <c r="MJO8" s="58"/>
      <c r="MJP8" s="58"/>
      <c r="MJQ8" s="58"/>
      <c r="MJR8" s="58"/>
      <c r="MJS8" s="58"/>
      <c r="MJT8" s="58"/>
      <c r="MJU8" s="58"/>
      <c r="MJV8" s="58"/>
      <c r="MJW8" s="58"/>
      <c r="MJX8" s="58"/>
      <c r="MJY8" s="58"/>
      <c r="MJZ8" s="58"/>
      <c r="MKA8" s="58"/>
      <c r="MKB8" s="58"/>
      <c r="MKC8" s="58"/>
      <c r="MKD8" s="58"/>
      <c r="MKE8" s="58"/>
      <c r="MKF8" s="58"/>
      <c r="MKG8" s="58"/>
      <c r="MKH8" s="58"/>
      <c r="MKI8" s="58"/>
      <c r="MKJ8" s="58"/>
      <c r="MKK8" s="58"/>
      <c r="MKL8" s="58"/>
      <c r="MKM8" s="58"/>
      <c r="MKN8" s="58"/>
      <c r="MKO8" s="58"/>
      <c r="MKP8" s="58"/>
      <c r="MKQ8" s="58"/>
      <c r="MKR8" s="58"/>
      <c r="MKS8" s="58"/>
      <c r="MKT8" s="58"/>
      <c r="MKU8" s="58"/>
      <c r="MKV8" s="58"/>
      <c r="MKW8" s="58"/>
      <c r="MKX8" s="58"/>
      <c r="MKY8" s="58"/>
      <c r="MKZ8" s="58"/>
      <c r="MLA8" s="58"/>
      <c r="MLB8" s="58"/>
      <c r="MLC8" s="58"/>
      <c r="MLD8" s="58"/>
      <c r="MLE8" s="58"/>
      <c r="MLF8" s="58"/>
      <c r="MLG8" s="58"/>
      <c r="MLH8" s="58"/>
      <c r="MLI8" s="58"/>
      <c r="MLJ8" s="58"/>
      <c r="MLK8" s="58"/>
      <c r="MLL8" s="58"/>
      <c r="MLM8" s="58"/>
      <c r="MLN8" s="58"/>
      <c r="MLO8" s="58"/>
      <c r="MLP8" s="58"/>
      <c r="MLQ8" s="58"/>
      <c r="MLR8" s="58"/>
      <c r="MLS8" s="58"/>
      <c r="MLT8" s="58"/>
      <c r="MLU8" s="58"/>
      <c r="MLV8" s="58"/>
      <c r="MLW8" s="58"/>
      <c r="MLX8" s="58"/>
      <c r="MLY8" s="58"/>
      <c r="MLZ8" s="58"/>
      <c r="MMA8" s="58"/>
      <c r="MMB8" s="58"/>
      <c r="MMC8" s="58"/>
      <c r="MMD8" s="58"/>
      <c r="MME8" s="58"/>
      <c r="MMF8" s="58"/>
      <c r="MMG8" s="58"/>
      <c r="MMH8" s="58"/>
      <c r="MMI8" s="58"/>
      <c r="MMJ8" s="58"/>
      <c r="MMK8" s="58"/>
      <c r="MML8" s="58"/>
      <c r="MMM8" s="58"/>
      <c r="MMN8" s="58"/>
      <c r="MMO8" s="58"/>
      <c r="MMP8" s="58"/>
      <c r="MMQ8" s="58"/>
      <c r="MMR8" s="58"/>
      <c r="MMS8" s="58"/>
      <c r="MMT8" s="58"/>
      <c r="MMU8" s="58"/>
      <c r="MMV8" s="58"/>
      <c r="MMW8" s="58"/>
      <c r="MMX8" s="58"/>
      <c r="MMY8" s="58"/>
      <c r="MMZ8" s="58"/>
      <c r="MNA8" s="58"/>
      <c r="MNB8" s="58"/>
      <c r="MNC8" s="58"/>
      <c r="MND8" s="58"/>
      <c r="MNE8" s="58"/>
      <c r="MNF8" s="58"/>
      <c r="MNG8" s="58"/>
      <c r="MNH8" s="58"/>
      <c r="MNI8" s="58"/>
      <c r="MNJ8" s="58"/>
      <c r="MNK8" s="58"/>
      <c r="MNL8" s="58"/>
      <c r="MNM8" s="58"/>
      <c r="MNN8" s="58"/>
      <c r="MNO8" s="58"/>
      <c r="MNP8" s="58"/>
      <c r="MNQ8" s="58"/>
      <c r="MNR8" s="58"/>
      <c r="MNS8" s="58"/>
      <c r="MNT8" s="58"/>
      <c r="MNU8" s="58"/>
      <c r="MNV8" s="58"/>
      <c r="MNW8" s="58"/>
      <c r="MNX8" s="58"/>
      <c r="MNY8" s="58"/>
      <c r="MNZ8" s="58"/>
      <c r="MOA8" s="58"/>
      <c r="MOB8" s="58"/>
      <c r="MOC8" s="58"/>
      <c r="MOD8" s="58"/>
      <c r="MOE8" s="58"/>
      <c r="MOF8" s="58"/>
      <c r="MOG8" s="58"/>
      <c r="MOH8" s="58"/>
      <c r="MOI8" s="58"/>
      <c r="MOJ8" s="58"/>
      <c r="MOK8" s="58"/>
      <c r="MOL8" s="58"/>
      <c r="MOM8" s="58"/>
      <c r="MON8" s="58"/>
      <c r="MOO8" s="58"/>
      <c r="MOP8" s="58"/>
      <c r="MOQ8" s="58"/>
      <c r="MOR8" s="58"/>
      <c r="MOS8" s="58"/>
      <c r="MOT8" s="58"/>
      <c r="MOU8" s="58"/>
      <c r="MOV8" s="58"/>
      <c r="MOW8" s="58"/>
      <c r="MOX8" s="58"/>
      <c r="MOY8" s="58"/>
      <c r="MOZ8" s="58"/>
      <c r="MPA8" s="58"/>
      <c r="MPB8" s="58"/>
      <c r="MPC8" s="58"/>
      <c r="MPD8" s="58"/>
      <c r="MPE8" s="58"/>
      <c r="MPF8" s="58"/>
      <c r="MPG8" s="58"/>
      <c r="MPH8" s="58"/>
      <c r="MPI8" s="58"/>
      <c r="MPJ8" s="58"/>
      <c r="MPK8" s="58"/>
      <c r="MPL8" s="58"/>
      <c r="MPM8" s="58"/>
      <c r="MPN8" s="58"/>
      <c r="MPO8" s="58"/>
      <c r="MPP8" s="58"/>
      <c r="MPQ8" s="58"/>
      <c r="MPR8" s="58"/>
      <c r="MPS8" s="58"/>
      <c r="MPT8" s="58"/>
      <c r="MPU8" s="58"/>
      <c r="MPV8" s="58"/>
      <c r="MPW8" s="58"/>
      <c r="MPX8" s="58"/>
      <c r="MPY8" s="58"/>
      <c r="MPZ8" s="58"/>
      <c r="MQA8" s="58"/>
      <c r="MQB8" s="58"/>
      <c r="MQC8" s="58"/>
      <c r="MQD8" s="58"/>
      <c r="MQE8" s="58"/>
      <c r="MQF8" s="58"/>
      <c r="MQG8" s="58"/>
      <c r="MQH8" s="58"/>
      <c r="MQI8" s="58"/>
      <c r="MQJ8" s="58"/>
      <c r="MQK8" s="58"/>
      <c r="MQL8" s="58"/>
      <c r="MQM8" s="58"/>
      <c r="MQN8" s="58"/>
      <c r="MQO8" s="58"/>
      <c r="MQP8" s="58"/>
      <c r="MQQ8" s="58"/>
      <c r="MQR8" s="58"/>
      <c r="MQS8" s="58"/>
      <c r="MQT8" s="58"/>
      <c r="MQU8" s="58"/>
      <c r="MQV8" s="58"/>
      <c r="MQW8" s="58"/>
      <c r="MQX8" s="58"/>
      <c r="MQY8" s="58"/>
      <c r="MQZ8" s="58"/>
      <c r="MRA8" s="58"/>
      <c r="MRB8" s="58"/>
      <c r="MRC8" s="58"/>
      <c r="MRD8" s="58"/>
      <c r="MRE8" s="58"/>
      <c r="MRF8" s="58"/>
      <c r="MRG8" s="58"/>
      <c r="MRH8" s="58"/>
      <c r="MRI8" s="58"/>
      <c r="MRJ8" s="58"/>
      <c r="MRK8" s="58"/>
      <c r="MRL8" s="58"/>
      <c r="MRM8" s="58"/>
      <c r="MRN8" s="58"/>
      <c r="MRO8" s="58"/>
      <c r="MRP8" s="58"/>
      <c r="MRQ8" s="58"/>
      <c r="MRR8" s="58"/>
      <c r="MRS8" s="58"/>
      <c r="MRT8" s="58"/>
      <c r="MRU8" s="58"/>
      <c r="MRV8" s="58"/>
      <c r="MRW8" s="58"/>
      <c r="MRX8" s="58"/>
      <c r="MRY8" s="58"/>
      <c r="MRZ8" s="58"/>
      <c r="MSA8" s="58"/>
      <c r="MSB8" s="58"/>
      <c r="MSC8" s="58"/>
      <c r="MSD8" s="58"/>
      <c r="MSE8" s="58"/>
      <c r="MSF8" s="58"/>
      <c r="MSG8" s="58"/>
      <c r="MSH8" s="58"/>
      <c r="MSI8" s="58"/>
      <c r="MSJ8" s="58"/>
      <c r="MSK8" s="58"/>
      <c r="MSL8" s="58"/>
      <c r="MSM8" s="58"/>
      <c r="MSN8" s="58"/>
      <c r="MSO8" s="58"/>
      <c r="MSP8" s="58"/>
      <c r="MSQ8" s="58"/>
      <c r="MSR8" s="58"/>
      <c r="MSS8" s="58"/>
      <c r="MST8" s="58"/>
      <c r="MSU8" s="58"/>
      <c r="MSV8" s="58"/>
      <c r="MSW8" s="58"/>
      <c r="MSX8" s="58"/>
      <c r="MSY8" s="58"/>
      <c r="MSZ8" s="58"/>
      <c r="MTA8" s="58"/>
      <c r="MTB8" s="58"/>
      <c r="MTC8" s="58"/>
      <c r="MTD8" s="58"/>
      <c r="MTE8" s="58"/>
      <c r="MTF8" s="58"/>
      <c r="MTG8" s="58"/>
      <c r="MTH8" s="58"/>
      <c r="MTI8" s="58"/>
      <c r="MTJ8" s="58"/>
      <c r="MTK8" s="58"/>
      <c r="MTL8" s="58"/>
      <c r="MTM8" s="58"/>
      <c r="MTN8" s="58"/>
      <c r="MTO8" s="58"/>
      <c r="MTP8" s="58"/>
      <c r="MTQ8" s="58"/>
      <c r="MTR8" s="58"/>
      <c r="MTS8" s="58"/>
      <c r="MTT8" s="58"/>
      <c r="MTU8" s="58"/>
      <c r="MTV8" s="58"/>
      <c r="MTW8" s="58"/>
      <c r="MTX8" s="58"/>
      <c r="MTY8" s="58"/>
      <c r="MTZ8" s="58"/>
      <c r="MUA8" s="58"/>
      <c r="MUB8" s="58"/>
      <c r="MUC8" s="58"/>
      <c r="MUD8" s="58"/>
      <c r="MUE8" s="58"/>
      <c r="MUF8" s="58"/>
      <c r="MUG8" s="58"/>
      <c r="MUH8" s="58"/>
      <c r="MUI8" s="58"/>
      <c r="MUJ8" s="58"/>
      <c r="MUK8" s="58"/>
      <c r="MUL8" s="58"/>
      <c r="MUM8" s="58"/>
      <c r="MUN8" s="58"/>
      <c r="MUO8" s="58"/>
      <c r="MUP8" s="58"/>
      <c r="MUQ8" s="58"/>
      <c r="MUR8" s="58"/>
      <c r="MUS8" s="58"/>
      <c r="MUT8" s="58"/>
      <c r="MUU8" s="58"/>
      <c r="MUV8" s="58"/>
      <c r="MUW8" s="58"/>
      <c r="MUX8" s="58"/>
      <c r="MUY8" s="58"/>
      <c r="MUZ8" s="58"/>
      <c r="MVA8" s="58"/>
      <c r="MVB8" s="58"/>
      <c r="MVC8" s="58"/>
      <c r="MVD8" s="58"/>
      <c r="MVE8" s="58"/>
      <c r="MVF8" s="58"/>
      <c r="MVG8" s="58"/>
      <c r="MVH8" s="58"/>
      <c r="MVI8" s="58"/>
      <c r="MVJ8" s="58"/>
      <c r="MVK8" s="58"/>
      <c r="MVL8" s="58"/>
      <c r="MVM8" s="58"/>
      <c r="MVN8" s="58"/>
      <c r="MVO8" s="58"/>
      <c r="MVP8" s="58"/>
      <c r="MVQ8" s="58"/>
      <c r="MVR8" s="58"/>
      <c r="MVS8" s="58"/>
      <c r="MVT8" s="58"/>
      <c r="MVU8" s="58"/>
      <c r="MVV8" s="58"/>
      <c r="MVW8" s="58"/>
      <c r="MVX8" s="58"/>
      <c r="MVY8" s="58"/>
      <c r="MVZ8" s="58"/>
      <c r="MWA8" s="58"/>
      <c r="MWB8" s="58"/>
      <c r="MWC8" s="58"/>
      <c r="MWD8" s="58"/>
      <c r="MWE8" s="58"/>
      <c r="MWF8" s="58"/>
      <c r="MWG8" s="58"/>
      <c r="MWH8" s="58"/>
      <c r="MWI8" s="58"/>
      <c r="MWJ8" s="58"/>
      <c r="MWK8" s="58"/>
      <c r="MWL8" s="58"/>
      <c r="MWM8" s="58"/>
      <c r="MWN8" s="58"/>
      <c r="MWO8" s="58"/>
      <c r="MWP8" s="58"/>
      <c r="MWQ8" s="58"/>
      <c r="MWR8" s="58"/>
      <c r="MWS8" s="58"/>
      <c r="MWT8" s="58"/>
      <c r="MWU8" s="58"/>
      <c r="MWV8" s="58"/>
      <c r="MWW8" s="58"/>
      <c r="MWX8" s="58"/>
      <c r="MWY8" s="58"/>
      <c r="MWZ8" s="58"/>
      <c r="MXA8" s="58"/>
      <c r="MXB8" s="58"/>
      <c r="MXC8" s="58"/>
      <c r="MXD8" s="58"/>
      <c r="MXE8" s="58"/>
      <c r="MXF8" s="58"/>
      <c r="MXG8" s="58"/>
      <c r="MXH8" s="58"/>
      <c r="MXI8" s="58"/>
      <c r="MXJ8" s="58"/>
      <c r="MXK8" s="58"/>
      <c r="MXL8" s="58"/>
      <c r="MXM8" s="58"/>
      <c r="MXN8" s="58"/>
      <c r="MXO8" s="58"/>
      <c r="MXP8" s="58"/>
      <c r="MXQ8" s="58"/>
      <c r="MXR8" s="58"/>
      <c r="MXS8" s="58"/>
      <c r="MXT8" s="58"/>
      <c r="MXU8" s="58"/>
      <c r="MXV8" s="58"/>
      <c r="MXW8" s="58"/>
      <c r="MXX8" s="58"/>
      <c r="MXY8" s="58"/>
      <c r="MXZ8" s="58"/>
      <c r="MYA8" s="58"/>
      <c r="MYB8" s="58"/>
      <c r="MYC8" s="58"/>
      <c r="MYD8" s="58"/>
      <c r="MYE8" s="58"/>
      <c r="MYF8" s="58"/>
      <c r="MYG8" s="58"/>
      <c r="MYH8" s="58"/>
      <c r="MYI8" s="58"/>
      <c r="MYJ8" s="58"/>
      <c r="MYK8" s="58"/>
      <c r="MYL8" s="58"/>
      <c r="MYM8" s="58"/>
      <c r="MYN8" s="58"/>
      <c r="MYO8" s="58"/>
      <c r="MYP8" s="58"/>
      <c r="MYQ8" s="58"/>
      <c r="MYR8" s="58"/>
      <c r="MYS8" s="58"/>
      <c r="MYT8" s="58"/>
      <c r="MYU8" s="58"/>
      <c r="MYV8" s="58"/>
      <c r="MYW8" s="58"/>
      <c r="MYX8" s="58"/>
      <c r="MYY8" s="58"/>
      <c r="MYZ8" s="58"/>
      <c r="MZA8" s="58"/>
      <c r="MZB8" s="58"/>
      <c r="MZC8" s="58"/>
      <c r="MZD8" s="58"/>
      <c r="MZE8" s="58"/>
      <c r="MZF8" s="58"/>
      <c r="MZG8" s="58"/>
      <c r="MZH8" s="58"/>
      <c r="MZI8" s="58"/>
      <c r="MZJ8" s="58"/>
      <c r="MZK8" s="58"/>
      <c r="MZL8" s="58"/>
      <c r="MZM8" s="58"/>
      <c r="MZN8" s="58"/>
      <c r="MZO8" s="58"/>
      <c r="MZP8" s="58"/>
      <c r="MZQ8" s="58"/>
      <c r="MZR8" s="58"/>
      <c r="MZS8" s="58"/>
      <c r="MZT8" s="58"/>
      <c r="MZU8" s="58"/>
      <c r="MZV8" s="58"/>
      <c r="MZW8" s="58"/>
      <c r="MZX8" s="58"/>
      <c r="MZY8" s="58"/>
      <c r="MZZ8" s="58"/>
      <c r="NAA8" s="58"/>
      <c r="NAB8" s="58"/>
      <c r="NAC8" s="58"/>
      <c r="NAD8" s="58"/>
      <c r="NAE8" s="58"/>
      <c r="NAF8" s="58"/>
      <c r="NAG8" s="58"/>
      <c r="NAH8" s="58"/>
      <c r="NAI8" s="58"/>
      <c r="NAJ8" s="58"/>
      <c r="NAK8" s="58"/>
      <c r="NAL8" s="58"/>
      <c r="NAM8" s="58"/>
      <c r="NAN8" s="58"/>
      <c r="NAO8" s="58"/>
      <c r="NAP8" s="58"/>
      <c r="NAQ8" s="58"/>
      <c r="NAR8" s="58"/>
      <c r="NAS8" s="58"/>
      <c r="NAT8" s="58"/>
      <c r="NAU8" s="58"/>
      <c r="NAV8" s="58"/>
      <c r="NAW8" s="58"/>
      <c r="NAX8" s="58"/>
      <c r="NAY8" s="58"/>
      <c r="NAZ8" s="58"/>
      <c r="NBA8" s="58"/>
      <c r="NBB8" s="58"/>
      <c r="NBC8" s="58"/>
      <c r="NBD8" s="58"/>
      <c r="NBE8" s="58"/>
      <c r="NBF8" s="58"/>
      <c r="NBG8" s="58"/>
      <c r="NBH8" s="58"/>
      <c r="NBI8" s="58"/>
      <c r="NBJ8" s="58"/>
      <c r="NBK8" s="58"/>
      <c r="NBL8" s="58"/>
      <c r="NBM8" s="58"/>
      <c r="NBN8" s="58"/>
      <c r="NBO8" s="58"/>
      <c r="NBP8" s="58"/>
      <c r="NBQ8" s="58"/>
      <c r="NBR8" s="58"/>
      <c r="NBS8" s="58"/>
      <c r="NBT8" s="58"/>
      <c r="NBU8" s="58"/>
      <c r="NBV8" s="58"/>
      <c r="NBW8" s="58"/>
      <c r="NBX8" s="58"/>
      <c r="NBY8" s="58"/>
      <c r="NBZ8" s="58"/>
      <c r="NCA8" s="58"/>
      <c r="NCB8" s="58"/>
      <c r="NCC8" s="58"/>
      <c r="NCD8" s="58"/>
      <c r="NCE8" s="58"/>
      <c r="NCF8" s="58"/>
      <c r="NCG8" s="58"/>
      <c r="NCH8" s="58"/>
      <c r="NCI8" s="58"/>
      <c r="NCJ8" s="58"/>
      <c r="NCK8" s="58"/>
      <c r="NCL8" s="58"/>
      <c r="NCM8" s="58"/>
      <c r="NCN8" s="58"/>
      <c r="NCO8" s="58"/>
      <c r="NCP8" s="58"/>
      <c r="NCQ8" s="58"/>
      <c r="NCR8" s="58"/>
      <c r="NCS8" s="58"/>
      <c r="NCT8" s="58"/>
      <c r="NCU8" s="58"/>
      <c r="NCV8" s="58"/>
      <c r="NCW8" s="58"/>
      <c r="NCX8" s="58"/>
      <c r="NCY8" s="58"/>
      <c r="NCZ8" s="58"/>
      <c r="NDA8" s="58"/>
      <c r="NDB8" s="58"/>
      <c r="NDC8" s="58"/>
      <c r="NDD8" s="58"/>
      <c r="NDE8" s="58"/>
      <c r="NDF8" s="58"/>
      <c r="NDG8" s="58"/>
      <c r="NDH8" s="58"/>
      <c r="NDI8" s="58"/>
      <c r="NDJ8" s="58"/>
      <c r="NDK8" s="58"/>
      <c r="NDL8" s="58"/>
      <c r="NDM8" s="58"/>
      <c r="NDN8" s="58"/>
      <c r="NDO8" s="58"/>
      <c r="NDP8" s="58"/>
      <c r="NDQ8" s="58"/>
      <c r="NDR8" s="58"/>
      <c r="NDS8" s="58"/>
      <c r="NDT8" s="58"/>
      <c r="NDU8" s="58"/>
      <c r="NDV8" s="58"/>
      <c r="NDW8" s="58"/>
      <c r="NDX8" s="58"/>
      <c r="NDY8" s="58"/>
      <c r="NDZ8" s="58"/>
      <c r="NEA8" s="58"/>
      <c r="NEB8" s="58"/>
      <c r="NEC8" s="58"/>
      <c r="NED8" s="58"/>
      <c r="NEE8" s="58"/>
      <c r="NEF8" s="58"/>
      <c r="NEG8" s="58"/>
      <c r="NEH8" s="58"/>
      <c r="NEI8" s="58"/>
      <c r="NEJ8" s="58"/>
      <c r="NEK8" s="58"/>
      <c r="NEL8" s="58"/>
      <c r="NEM8" s="58"/>
      <c r="NEN8" s="58"/>
      <c r="NEO8" s="58"/>
      <c r="NEP8" s="58"/>
      <c r="NEQ8" s="58"/>
      <c r="NER8" s="58"/>
      <c r="NES8" s="58"/>
      <c r="NET8" s="58"/>
      <c r="NEU8" s="58"/>
      <c r="NEV8" s="58"/>
      <c r="NEW8" s="58"/>
      <c r="NEX8" s="58"/>
      <c r="NEY8" s="58"/>
      <c r="NEZ8" s="58"/>
      <c r="NFA8" s="58"/>
      <c r="NFB8" s="58"/>
      <c r="NFC8" s="58"/>
      <c r="NFD8" s="58"/>
      <c r="NFE8" s="58"/>
      <c r="NFF8" s="58"/>
      <c r="NFG8" s="58"/>
      <c r="NFH8" s="58"/>
      <c r="NFI8" s="58"/>
      <c r="NFJ8" s="58"/>
      <c r="NFK8" s="58"/>
      <c r="NFL8" s="58"/>
      <c r="NFM8" s="58"/>
      <c r="NFN8" s="58"/>
      <c r="NFO8" s="58"/>
      <c r="NFP8" s="58"/>
      <c r="NFQ8" s="58"/>
      <c r="NFR8" s="58"/>
      <c r="NFS8" s="58"/>
      <c r="NFT8" s="58"/>
      <c r="NFU8" s="58"/>
      <c r="NFV8" s="58"/>
      <c r="NFW8" s="58"/>
      <c r="NFX8" s="58"/>
      <c r="NFY8" s="58"/>
      <c r="NFZ8" s="58"/>
      <c r="NGA8" s="58"/>
      <c r="NGB8" s="58"/>
      <c r="NGC8" s="58"/>
      <c r="NGD8" s="58"/>
      <c r="NGE8" s="58"/>
      <c r="NGF8" s="58"/>
      <c r="NGG8" s="58"/>
      <c r="NGH8" s="58"/>
      <c r="NGI8" s="58"/>
      <c r="NGJ8" s="58"/>
      <c r="NGK8" s="58"/>
      <c r="NGL8" s="58"/>
      <c r="NGM8" s="58"/>
      <c r="NGN8" s="58"/>
      <c r="NGO8" s="58"/>
      <c r="NGP8" s="58"/>
      <c r="NGQ8" s="58"/>
      <c r="NGR8" s="58"/>
      <c r="NGS8" s="58"/>
      <c r="NGT8" s="58"/>
      <c r="NGU8" s="58"/>
      <c r="NGV8" s="58"/>
      <c r="NGW8" s="58"/>
      <c r="NGX8" s="58"/>
      <c r="NGY8" s="58"/>
      <c r="NGZ8" s="58"/>
      <c r="NHA8" s="58"/>
      <c r="NHB8" s="58"/>
      <c r="NHC8" s="58"/>
      <c r="NHD8" s="58"/>
      <c r="NHE8" s="58"/>
      <c r="NHF8" s="58"/>
      <c r="NHG8" s="58"/>
      <c r="NHH8" s="58"/>
      <c r="NHI8" s="58"/>
      <c r="NHJ8" s="58"/>
      <c r="NHK8" s="58"/>
      <c r="NHL8" s="58"/>
      <c r="NHM8" s="58"/>
      <c r="NHN8" s="58"/>
      <c r="NHO8" s="58"/>
      <c r="NHP8" s="58"/>
      <c r="NHQ8" s="58"/>
      <c r="NHR8" s="58"/>
      <c r="NHS8" s="58"/>
      <c r="NHT8" s="58"/>
      <c r="NHU8" s="58"/>
      <c r="NHV8" s="58"/>
      <c r="NHW8" s="58"/>
      <c r="NHX8" s="58"/>
      <c r="NHY8" s="58"/>
      <c r="NHZ8" s="58"/>
      <c r="NIA8" s="58"/>
      <c r="NIB8" s="58"/>
      <c r="NIC8" s="58"/>
      <c r="NID8" s="58"/>
      <c r="NIE8" s="58"/>
      <c r="NIF8" s="58"/>
      <c r="NIG8" s="58"/>
      <c r="NIH8" s="58"/>
      <c r="NII8" s="58"/>
      <c r="NIJ8" s="58"/>
      <c r="NIK8" s="58"/>
      <c r="NIL8" s="58"/>
      <c r="NIM8" s="58"/>
      <c r="NIN8" s="58"/>
      <c r="NIO8" s="58"/>
      <c r="NIP8" s="58"/>
      <c r="NIQ8" s="58"/>
      <c r="NIR8" s="58"/>
      <c r="NIS8" s="58"/>
      <c r="NIT8" s="58"/>
      <c r="NIU8" s="58"/>
      <c r="NIV8" s="58"/>
      <c r="NIW8" s="58"/>
      <c r="NIX8" s="58"/>
      <c r="NIY8" s="58"/>
      <c r="NIZ8" s="58"/>
      <c r="NJA8" s="58"/>
      <c r="NJB8" s="58"/>
      <c r="NJC8" s="58"/>
      <c r="NJD8" s="58"/>
      <c r="NJE8" s="58"/>
      <c r="NJF8" s="58"/>
      <c r="NJG8" s="58"/>
      <c r="NJH8" s="58"/>
      <c r="NJI8" s="58"/>
      <c r="NJJ8" s="58"/>
      <c r="NJK8" s="58"/>
      <c r="NJL8" s="58"/>
      <c r="NJM8" s="58"/>
      <c r="NJN8" s="58"/>
      <c r="NJO8" s="58"/>
      <c r="NJP8" s="58"/>
      <c r="NJQ8" s="58"/>
      <c r="NJR8" s="58"/>
      <c r="NJS8" s="58"/>
      <c r="NJT8" s="58"/>
      <c r="NJU8" s="58"/>
      <c r="NJV8" s="58"/>
      <c r="NJW8" s="58"/>
      <c r="NJX8" s="58"/>
      <c r="NJY8" s="58"/>
      <c r="NJZ8" s="58"/>
      <c r="NKA8" s="58"/>
      <c r="NKB8" s="58"/>
      <c r="NKC8" s="58"/>
      <c r="NKD8" s="58"/>
      <c r="NKE8" s="58"/>
      <c r="NKF8" s="58"/>
      <c r="NKG8" s="58"/>
      <c r="NKH8" s="58"/>
      <c r="NKI8" s="58"/>
      <c r="NKJ8" s="58"/>
      <c r="NKK8" s="58"/>
      <c r="NKL8" s="58"/>
      <c r="NKM8" s="58"/>
      <c r="NKN8" s="58"/>
      <c r="NKO8" s="58"/>
      <c r="NKP8" s="58"/>
      <c r="NKQ8" s="58"/>
      <c r="NKR8" s="58"/>
      <c r="NKS8" s="58"/>
      <c r="NKT8" s="58"/>
      <c r="NKU8" s="58"/>
      <c r="NKV8" s="58"/>
      <c r="NKW8" s="58"/>
      <c r="NKX8" s="58"/>
      <c r="NKY8" s="58"/>
      <c r="NKZ8" s="58"/>
      <c r="NLA8" s="58"/>
      <c r="NLB8" s="58"/>
      <c r="NLC8" s="58"/>
      <c r="NLD8" s="58"/>
      <c r="NLE8" s="58"/>
      <c r="NLF8" s="58"/>
      <c r="NLG8" s="58"/>
      <c r="NLH8" s="58"/>
      <c r="NLI8" s="58"/>
      <c r="NLJ8" s="58"/>
      <c r="NLK8" s="58"/>
      <c r="NLL8" s="58"/>
      <c r="NLM8" s="58"/>
      <c r="NLN8" s="58"/>
      <c r="NLO8" s="58"/>
      <c r="NLP8" s="58"/>
      <c r="NLQ8" s="58"/>
      <c r="NLR8" s="58"/>
      <c r="NLS8" s="58"/>
      <c r="NLT8" s="58"/>
      <c r="NLU8" s="58"/>
      <c r="NLV8" s="58"/>
      <c r="NLW8" s="58"/>
      <c r="NLX8" s="58"/>
      <c r="NLY8" s="58"/>
      <c r="NLZ8" s="58"/>
      <c r="NMA8" s="58"/>
      <c r="NMB8" s="58"/>
      <c r="NMC8" s="58"/>
      <c r="NMD8" s="58"/>
      <c r="NME8" s="58"/>
      <c r="NMF8" s="58"/>
      <c r="NMG8" s="58"/>
      <c r="NMH8" s="58"/>
      <c r="NMI8" s="58"/>
      <c r="NMJ8" s="58"/>
      <c r="NMK8" s="58"/>
      <c r="NML8" s="58"/>
      <c r="NMM8" s="58"/>
      <c r="NMN8" s="58"/>
      <c r="NMO8" s="58"/>
      <c r="NMP8" s="58"/>
      <c r="NMQ8" s="58"/>
      <c r="NMR8" s="58"/>
      <c r="NMS8" s="58"/>
      <c r="NMT8" s="58"/>
      <c r="NMU8" s="58"/>
      <c r="NMV8" s="58"/>
      <c r="NMW8" s="58"/>
      <c r="NMX8" s="58"/>
      <c r="NMY8" s="58"/>
      <c r="NMZ8" s="58"/>
      <c r="NNA8" s="58"/>
      <c r="NNB8" s="58"/>
      <c r="NNC8" s="58"/>
      <c r="NND8" s="58"/>
      <c r="NNE8" s="58"/>
      <c r="NNF8" s="58"/>
      <c r="NNG8" s="58"/>
      <c r="NNH8" s="58"/>
      <c r="NNI8" s="58"/>
      <c r="NNJ8" s="58"/>
      <c r="NNK8" s="58"/>
      <c r="NNL8" s="58"/>
      <c r="NNM8" s="58"/>
      <c r="NNN8" s="58"/>
      <c r="NNO8" s="58"/>
      <c r="NNP8" s="58"/>
      <c r="NNQ8" s="58"/>
      <c r="NNR8" s="58"/>
      <c r="NNS8" s="58"/>
      <c r="NNT8" s="58"/>
      <c r="NNU8" s="58"/>
      <c r="NNV8" s="58"/>
      <c r="NNW8" s="58"/>
      <c r="NNX8" s="58"/>
      <c r="NNY8" s="58"/>
      <c r="NNZ8" s="58"/>
      <c r="NOA8" s="58"/>
      <c r="NOB8" s="58"/>
      <c r="NOC8" s="58"/>
      <c r="NOD8" s="58"/>
      <c r="NOE8" s="58"/>
      <c r="NOF8" s="58"/>
      <c r="NOG8" s="58"/>
      <c r="NOH8" s="58"/>
      <c r="NOI8" s="58"/>
      <c r="NOJ8" s="58"/>
      <c r="NOK8" s="58"/>
      <c r="NOL8" s="58"/>
      <c r="NOM8" s="58"/>
      <c r="NON8" s="58"/>
      <c r="NOO8" s="58"/>
      <c r="NOP8" s="58"/>
      <c r="NOQ8" s="58"/>
      <c r="NOR8" s="58"/>
      <c r="NOS8" s="58"/>
      <c r="NOT8" s="58"/>
      <c r="NOU8" s="58"/>
      <c r="NOV8" s="58"/>
      <c r="NOW8" s="58"/>
      <c r="NOX8" s="58"/>
      <c r="NOY8" s="58"/>
      <c r="NOZ8" s="58"/>
      <c r="NPA8" s="58"/>
      <c r="NPB8" s="58"/>
      <c r="NPC8" s="58"/>
      <c r="NPD8" s="58"/>
      <c r="NPE8" s="58"/>
      <c r="NPF8" s="58"/>
      <c r="NPG8" s="58"/>
      <c r="NPH8" s="58"/>
      <c r="NPI8" s="58"/>
      <c r="NPJ8" s="58"/>
      <c r="NPK8" s="58"/>
      <c r="NPL8" s="58"/>
      <c r="NPM8" s="58"/>
      <c r="NPN8" s="58"/>
      <c r="NPO8" s="58"/>
      <c r="NPP8" s="58"/>
      <c r="NPQ8" s="58"/>
      <c r="NPR8" s="58"/>
      <c r="NPS8" s="58"/>
      <c r="NPT8" s="58"/>
      <c r="NPU8" s="58"/>
      <c r="NPV8" s="58"/>
      <c r="NPW8" s="58"/>
      <c r="NPX8" s="58"/>
      <c r="NPY8" s="58"/>
      <c r="NPZ8" s="58"/>
      <c r="NQA8" s="58"/>
      <c r="NQB8" s="58"/>
      <c r="NQC8" s="58"/>
      <c r="NQD8" s="58"/>
      <c r="NQE8" s="58"/>
      <c r="NQF8" s="58"/>
      <c r="NQG8" s="58"/>
      <c r="NQH8" s="58"/>
      <c r="NQI8" s="58"/>
      <c r="NQJ8" s="58"/>
      <c r="NQK8" s="58"/>
      <c r="NQL8" s="58"/>
      <c r="NQM8" s="58"/>
      <c r="NQN8" s="58"/>
      <c r="NQO8" s="58"/>
      <c r="NQP8" s="58"/>
      <c r="NQQ8" s="58"/>
      <c r="NQR8" s="58"/>
      <c r="NQS8" s="58"/>
      <c r="NQT8" s="58"/>
      <c r="NQU8" s="58"/>
      <c r="NQV8" s="58"/>
      <c r="NQW8" s="58"/>
      <c r="NQX8" s="58"/>
      <c r="NQY8" s="58"/>
      <c r="NQZ8" s="58"/>
      <c r="NRA8" s="58"/>
      <c r="NRB8" s="58"/>
      <c r="NRC8" s="58"/>
      <c r="NRD8" s="58"/>
      <c r="NRE8" s="58"/>
      <c r="NRF8" s="58"/>
      <c r="NRG8" s="58"/>
      <c r="NRH8" s="58"/>
      <c r="NRI8" s="58"/>
      <c r="NRJ8" s="58"/>
      <c r="NRK8" s="58"/>
      <c r="NRL8" s="58"/>
      <c r="NRM8" s="58"/>
      <c r="NRN8" s="58"/>
      <c r="NRO8" s="58"/>
      <c r="NRP8" s="58"/>
      <c r="NRQ8" s="58"/>
      <c r="NRR8" s="58"/>
      <c r="NRS8" s="58"/>
      <c r="NRT8" s="58"/>
      <c r="NRU8" s="58"/>
      <c r="NRV8" s="58"/>
      <c r="NRW8" s="58"/>
      <c r="NRX8" s="58"/>
      <c r="NRY8" s="58"/>
      <c r="NRZ8" s="58"/>
      <c r="NSA8" s="58"/>
      <c r="NSB8" s="58"/>
      <c r="NSC8" s="58"/>
      <c r="NSD8" s="58"/>
      <c r="NSE8" s="58"/>
      <c r="NSF8" s="58"/>
      <c r="NSG8" s="58"/>
      <c r="NSH8" s="58"/>
      <c r="NSI8" s="58"/>
      <c r="NSJ8" s="58"/>
      <c r="NSK8" s="58"/>
      <c r="NSL8" s="58"/>
      <c r="NSM8" s="58"/>
      <c r="NSN8" s="58"/>
      <c r="NSO8" s="58"/>
      <c r="NSP8" s="58"/>
      <c r="NSQ8" s="58"/>
      <c r="NSR8" s="58"/>
      <c r="NSS8" s="58"/>
      <c r="NST8" s="58"/>
      <c r="NSU8" s="58"/>
      <c r="NSV8" s="58"/>
      <c r="NSW8" s="58"/>
      <c r="NSX8" s="58"/>
      <c r="NSY8" s="58"/>
      <c r="NSZ8" s="58"/>
      <c r="NTA8" s="58"/>
      <c r="NTB8" s="58"/>
      <c r="NTC8" s="58"/>
      <c r="NTD8" s="58"/>
      <c r="NTE8" s="58"/>
      <c r="NTF8" s="58"/>
      <c r="NTG8" s="58"/>
      <c r="NTH8" s="58"/>
      <c r="NTI8" s="58"/>
      <c r="NTJ8" s="58"/>
      <c r="NTK8" s="58"/>
      <c r="NTL8" s="58"/>
      <c r="NTM8" s="58"/>
      <c r="NTN8" s="58"/>
      <c r="NTO8" s="58"/>
      <c r="NTP8" s="58"/>
      <c r="NTQ8" s="58"/>
      <c r="NTR8" s="58"/>
      <c r="NTS8" s="58"/>
      <c r="NTT8" s="58"/>
      <c r="NTU8" s="58"/>
      <c r="NTV8" s="58"/>
      <c r="NTW8" s="58"/>
      <c r="NTX8" s="58"/>
      <c r="NTY8" s="58"/>
      <c r="NTZ8" s="58"/>
      <c r="NUA8" s="58"/>
      <c r="NUB8" s="58"/>
      <c r="NUC8" s="58"/>
      <c r="NUD8" s="58"/>
      <c r="NUE8" s="58"/>
      <c r="NUF8" s="58"/>
      <c r="NUG8" s="58"/>
      <c r="NUH8" s="58"/>
      <c r="NUI8" s="58"/>
      <c r="NUJ8" s="58"/>
      <c r="NUK8" s="58"/>
      <c r="NUL8" s="58"/>
      <c r="NUM8" s="58"/>
      <c r="NUN8" s="58"/>
      <c r="NUO8" s="58"/>
      <c r="NUP8" s="58"/>
      <c r="NUQ8" s="58"/>
      <c r="NUR8" s="58"/>
      <c r="NUS8" s="58"/>
      <c r="NUT8" s="58"/>
      <c r="NUU8" s="58"/>
      <c r="NUV8" s="58"/>
      <c r="NUW8" s="58"/>
      <c r="NUX8" s="58"/>
      <c r="NUY8" s="58"/>
      <c r="NUZ8" s="58"/>
      <c r="NVA8" s="58"/>
      <c r="NVB8" s="58"/>
      <c r="NVC8" s="58"/>
      <c r="NVD8" s="58"/>
      <c r="NVE8" s="58"/>
      <c r="NVF8" s="58"/>
      <c r="NVG8" s="58"/>
      <c r="NVH8" s="58"/>
      <c r="NVI8" s="58"/>
      <c r="NVJ8" s="58"/>
      <c r="NVK8" s="58"/>
      <c r="NVL8" s="58"/>
      <c r="NVM8" s="58"/>
      <c r="NVN8" s="58"/>
      <c r="NVO8" s="58"/>
      <c r="NVP8" s="58"/>
      <c r="NVQ8" s="58"/>
      <c r="NVR8" s="58"/>
      <c r="NVS8" s="58"/>
      <c r="NVT8" s="58"/>
      <c r="NVU8" s="58"/>
      <c r="NVV8" s="58"/>
      <c r="NVW8" s="58"/>
      <c r="NVX8" s="58"/>
      <c r="NVY8" s="58"/>
      <c r="NVZ8" s="58"/>
      <c r="NWA8" s="58"/>
      <c r="NWB8" s="58"/>
      <c r="NWC8" s="58"/>
      <c r="NWD8" s="58"/>
      <c r="NWE8" s="58"/>
      <c r="NWF8" s="58"/>
      <c r="NWG8" s="58"/>
      <c r="NWH8" s="58"/>
      <c r="NWI8" s="58"/>
      <c r="NWJ8" s="58"/>
      <c r="NWK8" s="58"/>
      <c r="NWL8" s="58"/>
      <c r="NWM8" s="58"/>
      <c r="NWN8" s="58"/>
      <c r="NWO8" s="58"/>
      <c r="NWP8" s="58"/>
      <c r="NWQ8" s="58"/>
      <c r="NWR8" s="58"/>
      <c r="NWS8" s="58"/>
      <c r="NWT8" s="58"/>
      <c r="NWU8" s="58"/>
      <c r="NWV8" s="58"/>
      <c r="NWW8" s="58"/>
      <c r="NWX8" s="58"/>
      <c r="NWY8" s="58"/>
      <c r="NWZ8" s="58"/>
      <c r="NXA8" s="58"/>
      <c r="NXB8" s="58"/>
      <c r="NXC8" s="58"/>
      <c r="NXD8" s="58"/>
      <c r="NXE8" s="58"/>
      <c r="NXF8" s="58"/>
      <c r="NXG8" s="58"/>
      <c r="NXH8" s="58"/>
      <c r="NXI8" s="58"/>
      <c r="NXJ8" s="58"/>
      <c r="NXK8" s="58"/>
      <c r="NXL8" s="58"/>
      <c r="NXM8" s="58"/>
      <c r="NXN8" s="58"/>
      <c r="NXO8" s="58"/>
      <c r="NXP8" s="58"/>
      <c r="NXQ8" s="58"/>
      <c r="NXR8" s="58"/>
      <c r="NXS8" s="58"/>
      <c r="NXT8" s="58"/>
      <c r="NXU8" s="58"/>
      <c r="NXV8" s="58"/>
      <c r="NXW8" s="58"/>
      <c r="NXX8" s="58"/>
      <c r="NXY8" s="58"/>
      <c r="NXZ8" s="58"/>
      <c r="NYA8" s="58"/>
      <c r="NYB8" s="58"/>
      <c r="NYC8" s="58"/>
      <c r="NYD8" s="58"/>
      <c r="NYE8" s="58"/>
      <c r="NYF8" s="58"/>
      <c r="NYG8" s="58"/>
      <c r="NYH8" s="58"/>
      <c r="NYI8" s="58"/>
      <c r="NYJ8" s="58"/>
      <c r="NYK8" s="58"/>
      <c r="NYL8" s="58"/>
      <c r="NYM8" s="58"/>
      <c r="NYN8" s="58"/>
      <c r="NYO8" s="58"/>
      <c r="NYP8" s="58"/>
      <c r="NYQ8" s="58"/>
      <c r="NYR8" s="58"/>
      <c r="NYS8" s="58"/>
      <c r="NYT8" s="58"/>
      <c r="NYU8" s="58"/>
      <c r="NYV8" s="58"/>
      <c r="NYW8" s="58"/>
      <c r="NYX8" s="58"/>
      <c r="NYY8" s="58"/>
      <c r="NYZ8" s="58"/>
      <c r="NZA8" s="58"/>
      <c r="NZB8" s="58"/>
      <c r="NZC8" s="58"/>
      <c r="NZD8" s="58"/>
      <c r="NZE8" s="58"/>
      <c r="NZF8" s="58"/>
      <c r="NZG8" s="58"/>
      <c r="NZH8" s="58"/>
      <c r="NZI8" s="58"/>
      <c r="NZJ8" s="58"/>
      <c r="NZK8" s="58"/>
      <c r="NZL8" s="58"/>
      <c r="NZM8" s="58"/>
      <c r="NZN8" s="58"/>
      <c r="NZO8" s="58"/>
      <c r="NZP8" s="58"/>
      <c r="NZQ8" s="58"/>
      <c r="NZR8" s="58"/>
      <c r="NZS8" s="58"/>
      <c r="NZT8" s="58"/>
      <c r="NZU8" s="58"/>
      <c r="NZV8" s="58"/>
      <c r="NZW8" s="58"/>
      <c r="NZX8" s="58"/>
      <c r="NZY8" s="58"/>
      <c r="NZZ8" s="58"/>
      <c r="OAA8" s="58"/>
      <c r="OAB8" s="58"/>
      <c r="OAC8" s="58"/>
      <c r="OAD8" s="58"/>
      <c r="OAE8" s="58"/>
      <c r="OAF8" s="58"/>
      <c r="OAG8" s="58"/>
      <c r="OAH8" s="58"/>
      <c r="OAI8" s="58"/>
      <c r="OAJ8" s="58"/>
      <c r="OAK8" s="58"/>
      <c r="OAL8" s="58"/>
      <c r="OAM8" s="58"/>
      <c r="OAN8" s="58"/>
      <c r="OAO8" s="58"/>
      <c r="OAP8" s="58"/>
      <c r="OAQ8" s="58"/>
      <c r="OAR8" s="58"/>
      <c r="OAS8" s="58"/>
      <c r="OAT8" s="58"/>
      <c r="OAU8" s="58"/>
      <c r="OAV8" s="58"/>
      <c r="OAW8" s="58"/>
      <c r="OAX8" s="58"/>
      <c r="OAY8" s="58"/>
      <c r="OAZ8" s="58"/>
      <c r="OBA8" s="58"/>
      <c r="OBB8" s="58"/>
      <c r="OBC8" s="58"/>
      <c r="OBD8" s="58"/>
      <c r="OBE8" s="58"/>
      <c r="OBF8" s="58"/>
      <c r="OBG8" s="58"/>
      <c r="OBH8" s="58"/>
      <c r="OBI8" s="58"/>
      <c r="OBJ8" s="58"/>
      <c r="OBK8" s="58"/>
      <c r="OBL8" s="58"/>
      <c r="OBM8" s="58"/>
      <c r="OBN8" s="58"/>
      <c r="OBO8" s="58"/>
      <c r="OBP8" s="58"/>
      <c r="OBQ8" s="58"/>
      <c r="OBR8" s="58"/>
      <c r="OBS8" s="58"/>
      <c r="OBT8" s="58"/>
      <c r="OBU8" s="58"/>
      <c r="OBV8" s="58"/>
      <c r="OBW8" s="58"/>
      <c r="OBX8" s="58"/>
      <c r="OBY8" s="58"/>
      <c r="OBZ8" s="58"/>
      <c r="OCA8" s="58"/>
      <c r="OCB8" s="58"/>
      <c r="OCC8" s="58"/>
      <c r="OCD8" s="58"/>
      <c r="OCE8" s="58"/>
      <c r="OCF8" s="58"/>
      <c r="OCG8" s="58"/>
      <c r="OCH8" s="58"/>
      <c r="OCI8" s="58"/>
      <c r="OCJ8" s="58"/>
      <c r="OCK8" s="58"/>
      <c r="OCL8" s="58"/>
      <c r="OCM8" s="58"/>
      <c r="OCN8" s="58"/>
      <c r="OCO8" s="58"/>
      <c r="OCP8" s="58"/>
      <c r="OCQ8" s="58"/>
      <c r="OCR8" s="58"/>
      <c r="OCS8" s="58"/>
      <c r="OCT8" s="58"/>
      <c r="OCU8" s="58"/>
      <c r="OCV8" s="58"/>
      <c r="OCW8" s="58"/>
      <c r="OCX8" s="58"/>
      <c r="OCY8" s="58"/>
      <c r="OCZ8" s="58"/>
      <c r="ODA8" s="58"/>
      <c r="ODB8" s="58"/>
      <c r="ODC8" s="58"/>
      <c r="ODD8" s="58"/>
      <c r="ODE8" s="58"/>
      <c r="ODF8" s="58"/>
      <c r="ODG8" s="58"/>
      <c r="ODH8" s="58"/>
      <c r="ODI8" s="58"/>
      <c r="ODJ8" s="58"/>
      <c r="ODK8" s="58"/>
      <c r="ODL8" s="58"/>
      <c r="ODM8" s="58"/>
      <c r="ODN8" s="58"/>
      <c r="ODO8" s="58"/>
      <c r="ODP8" s="58"/>
      <c r="ODQ8" s="58"/>
      <c r="ODR8" s="58"/>
      <c r="ODS8" s="58"/>
      <c r="ODT8" s="58"/>
      <c r="ODU8" s="58"/>
      <c r="ODV8" s="58"/>
      <c r="ODW8" s="58"/>
      <c r="ODX8" s="58"/>
      <c r="ODY8" s="58"/>
      <c r="ODZ8" s="58"/>
      <c r="OEA8" s="58"/>
      <c r="OEB8" s="58"/>
      <c r="OEC8" s="58"/>
      <c r="OED8" s="58"/>
      <c r="OEE8" s="58"/>
      <c r="OEF8" s="58"/>
      <c r="OEG8" s="58"/>
      <c r="OEH8" s="58"/>
      <c r="OEI8" s="58"/>
      <c r="OEJ8" s="58"/>
      <c r="OEK8" s="58"/>
      <c r="OEL8" s="58"/>
      <c r="OEM8" s="58"/>
      <c r="OEN8" s="58"/>
      <c r="OEO8" s="58"/>
      <c r="OEP8" s="58"/>
      <c r="OEQ8" s="58"/>
      <c r="OER8" s="58"/>
      <c r="OES8" s="58"/>
      <c r="OET8" s="58"/>
      <c r="OEU8" s="58"/>
      <c r="OEV8" s="58"/>
      <c r="OEW8" s="58"/>
      <c r="OEX8" s="58"/>
      <c r="OEY8" s="58"/>
      <c r="OEZ8" s="58"/>
      <c r="OFA8" s="58"/>
      <c r="OFB8" s="58"/>
      <c r="OFC8" s="58"/>
      <c r="OFD8" s="58"/>
      <c r="OFE8" s="58"/>
      <c r="OFF8" s="58"/>
      <c r="OFG8" s="58"/>
      <c r="OFH8" s="58"/>
      <c r="OFI8" s="58"/>
      <c r="OFJ8" s="58"/>
      <c r="OFK8" s="58"/>
      <c r="OFL8" s="58"/>
      <c r="OFM8" s="58"/>
      <c r="OFN8" s="58"/>
      <c r="OFO8" s="58"/>
      <c r="OFP8" s="58"/>
      <c r="OFQ8" s="58"/>
      <c r="OFR8" s="58"/>
      <c r="OFS8" s="58"/>
      <c r="OFT8" s="58"/>
      <c r="OFU8" s="58"/>
      <c r="OFV8" s="58"/>
      <c r="OFW8" s="58"/>
      <c r="OFX8" s="58"/>
      <c r="OFY8" s="58"/>
      <c r="OFZ8" s="58"/>
      <c r="OGA8" s="58"/>
      <c r="OGB8" s="58"/>
      <c r="OGC8" s="58"/>
      <c r="OGD8" s="58"/>
      <c r="OGE8" s="58"/>
      <c r="OGF8" s="58"/>
      <c r="OGG8" s="58"/>
      <c r="OGH8" s="58"/>
      <c r="OGI8" s="58"/>
      <c r="OGJ8" s="58"/>
      <c r="OGK8" s="58"/>
      <c r="OGL8" s="58"/>
      <c r="OGM8" s="58"/>
      <c r="OGN8" s="58"/>
      <c r="OGO8" s="58"/>
      <c r="OGP8" s="58"/>
      <c r="OGQ8" s="58"/>
      <c r="OGR8" s="58"/>
      <c r="OGS8" s="58"/>
      <c r="OGT8" s="58"/>
      <c r="OGU8" s="58"/>
      <c r="OGV8" s="58"/>
      <c r="OGW8" s="58"/>
      <c r="OGX8" s="58"/>
      <c r="OGY8" s="58"/>
      <c r="OGZ8" s="58"/>
      <c r="OHA8" s="58"/>
      <c r="OHB8" s="58"/>
      <c r="OHC8" s="58"/>
      <c r="OHD8" s="58"/>
      <c r="OHE8" s="58"/>
      <c r="OHF8" s="58"/>
      <c r="OHG8" s="58"/>
      <c r="OHH8" s="58"/>
      <c r="OHI8" s="58"/>
      <c r="OHJ8" s="58"/>
      <c r="OHK8" s="58"/>
      <c r="OHL8" s="58"/>
      <c r="OHM8" s="58"/>
      <c r="OHN8" s="58"/>
      <c r="OHO8" s="58"/>
      <c r="OHP8" s="58"/>
      <c r="OHQ8" s="58"/>
      <c r="OHR8" s="58"/>
      <c r="OHS8" s="58"/>
      <c r="OHT8" s="58"/>
      <c r="OHU8" s="58"/>
      <c r="OHV8" s="58"/>
      <c r="OHW8" s="58"/>
      <c r="OHX8" s="58"/>
      <c r="OHY8" s="58"/>
      <c r="OHZ8" s="58"/>
      <c r="OIA8" s="58"/>
      <c r="OIB8" s="58"/>
      <c r="OIC8" s="58"/>
      <c r="OID8" s="58"/>
      <c r="OIE8" s="58"/>
      <c r="OIF8" s="58"/>
      <c r="OIG8" s="58"/>
      <c r="OIH8" s="58"/>
      <c r="OII8" s="58"/>
      <c r="OIJ8" s="58"/>
      <c r="OIK8" s="58"/>
      <c r="OIL8" s="58"/>
      <c r="OIM8" s="58"/>
      <c r="OIN8" s="58"/>
      <c r="OIO8" s="58"/>
      <c r="OIP8" s="58"/>
      <c r="OIQ8" s="58"/>
      <c r="OIR8" s="58"/>
      <c r="OIS8" s="58"/>
      <c r="OIT8" s="58"/>
      <c r="OIU8" s="58"/>
      <c r="OIV8" s="58"/>
      <c r="OIW8" s="58"/>
      <c r="OIX8" s="58"/>
      <c r="OIY8" s="58"/>
      <c r="OIZ8" s="58"/>
      <c r="OJA8" s="58"/>
      <c r="OJB8" s="58"/>
      <c r="OJC8" s="58"/>
      <c r="OJD8" s="58"/>
      <c r="OJE8" s="58"/>
      <c r="OJF8" s="58"/>
      <c r="OJG8" s="58"/>
      <c r="OJH8" s="58"/>
      <c r="OJI8" s="58"/>
      <c r="OJJ8" s="58"/>
      <c r="OJK8" s="58"/>
      <c r="OJL8" s="58"/>
      <c r="OJM8" s="58"/>
      <c r="OJN8" s="58"/>
      <c r="OJO8" s="58"/>
      <c r="OJP8" s="58"/>
      <c r="OJQ8" s="58"/>
      <c r="OJR8" s="58"/>
      <c r="OJS8" s="58"/>
      <c r="OJT8" s="58"/>
      <c r="OJU8" s="58"/>
      <c r="OJV8" s="58"/>
      <c r="OJW8" s="58"/>
      <c r="OJX8" s="58"/>
      <c r="OJY8" s="58"/>
      <c r="OJZ8" s="58"/>
      <c r="OKA8" s="58"/>
      <c r="OKB8" s="58"/>
      <c r="OKC8" s="58"/>
      <c r="OKD8" s="58"/>
      <c r="OKE8" s="58"/>
      <c r="OKF8" s="58"/>
      <c r="OKG8" s="58"/>
      <c r="OKH8" s="58"/>
      <c r="OKI8" s="58"/>
      <c r="OKJ8" s="58"/>
      <c r="OKK8" s="58"/>
      <c r="OKL8" s="58"/>
      <c r="OKM8" s="58"/>
      <c r="OKN8" s="58"/>
      <c r="OKO8" s="58"/>
      <c r="OKP8" s="58"/>
      <c r="OKQ8" s="58"/>
      <c r="OKR8" s="58"/>
      <c r="OKS8" s="58"/>
      <c r="OKT8" s="58"/>
      <c r="OKU8" s="58"/>
      <c r="OKV8" s="58"/>
      <c r="OKW8" s="58"/>
      <c r="OKX8" s="58"/>
      <c r="OKY8" s="58"/>
      <c r="OKZ8" s="58"/>
      <c r="OLA8" s="58"/>
      <c r="OLB8" s="58"/>
      <c r="OLC8" s="58"/>
      <c r="OLD8" s="58"/>
      <c r="OLE8" s="58"/>
      <c r="OLF8" s="58"/>
      <c r="OLG8" s="58"/>
      <c r="OLH8" s="58"/>
      <c r="OLI8" s="58"/>
      <c r="OLJ8" s="58"/>
      <c r="OLK8" s="58"/>
      <c r="OLL8" s="58"/>
      <c r="OLM8" s="58"/>
      <c r="OLN8" s="58"/>
      <c r="OLO8" s="58"/>
      <c r="OLP8" s="58"/>
      <c r="OLQ8" s="58"/>
      <c r="OLR8" s="58"/>
      <c r="OLS8" s="58"/>
      <c r="OLT8" s="58"/>
      <c r="OLU8" s="58"/>
      <c r="OLV8" s="58"/>
      <c r="OLW8" s="58"/>
      <c r="OLX8" s="58"/>
      <c r="OLY8" s="58"/>
      <c r="OLZ8" s="58"/>
      <c r="OMA8" s="58"/>
      <c r="OMB8" s="58"/>
      <c r="OMC8" s="58"/>
      <c r="OMD8" s="58"/>
      <c r="OME8" s="58"/>
      <c r="OMF8" s="58"/>
      <c r="OMG8" s="58"/>
      <c r="OMH8" s="58"/>
      <c r="OMI8" s="58"/>
      <c r="OMJ8" s="58"/>
      <c r="OMK8" s="58"/>
      <c r="OML8" s="58"/>
      <c r="OMM8" s="58"/>
      <c r="OMN8" s="58"/>
      <c r="OMO8" s="58"/>
      <c r="OMP8" s="58"/>
      <c r="OMQ8" s="58"/>
      <c r="OMR8" s="58"/>
      <c r="OMS8" s="58"/>
      <c r="OMT8" s="58"/>
      <c r="OMU8" s="58"/>
      <c r="OMV8" s="58"/>
      <c r="OMW8" s="58"/>
      <c r="OMX8" s="58"/>
      <c r="OMY8" s="58"/>
      <c r="OMZ8" s="58"/>
      <c r="ONA8" s="58"/>
      <c r="ONB8" s="58"/>
      <c r="ONC8" s="58"/>
      <c r="OND8" s="58"/>
      <c r="ONE8" s="58"/>
      <c r="ONF8" s="58"/>
      <c r="ONG8" s="58"/>
      <c r="ONH8" s="58"/>
      <c r="ONI8" s="58"/>
      <c r="ONJ8" s="58"/>
      <c r="ONK8" s="58"/>
      <c r="ONL8" s="58"/>
      <c r="ONM8" s="58"/>
      <c r="ONN8" s="58"/>
      <c r="ONO8" s="58"/>
      <c r="ONP8" s="58"/>
      <c r="ONQ8" s="58"/>
      <c r="ONR8" s="58"/>
      <c r="ONS8" s="58"/>
      <c r="ONT8" s="58"/>
      <c r="ONU8" s="58"/>
      <c r="ONV8" s="58"/>
      <c r="ONW8" s="58"/>
      <c r="ONX8" s="58"/>
      <c r="ONY8" s="58"/>
      <c r="ONZ8" s="58"/>
      <c r="OOA8" s="58"/>
      <c r="OOB8" s="58"/>
      <c r="OOC8" s="58"/>
      <c r="OOD8" s="58"/>
      <c r="OOE8" s="58"/>
      <c r="OOF8" s="58"/>
      <c r="OOG8" s="58"/>
      <c r="OOH8" s="58"/>
      <c r="OOI8" s="58"/>
      <c r="OOJ8" s="58"/>
      <c r="OOK8" s="58"/>
      <c r="OOL8" s="58"/>
      <c r="OOM8" s="58"/>
      <c r="OON8" s="58"/>
      <c r="OOO8" s="58"/>
      <c r="OOP8" s="58"/>
      <c r="OOQ8" s="58"/>
      <c r="OOR8" s="58"/>
      <c r="OOS8" s="58"/>
      <c r="OOT8" s="58"/>
      <c r="OOU8" s="58"/>
      <c r="OOV8" s="58"/>
      <c r="OOW8" s="58"/>
      <c r="OOX8" s="58"/>
      <c r="OOY8" s="58"/>
      <c r="OOZ8" s="58"/>
      <c r="OPA8" s="58"/>
      <c r="OPB8" s="58"/>
      <c r="OPC8" s="58"/>
      <c r="OPD8" s="58"/>
      <c r="OPE8" s="58"/>
      <c r="OPF8" s="58"/>
      <c r="OPG8" s="58"/>
      <c r="OPH8" s="58"/>
      <c r="OPI8" s="58"/>
      <c r="OPJ8" s="58"/>
      <c r="OPK8" s="58"/>
      <c r="OPL8" s="58"/>
      <c r="OPM8" s="58"/>
      <c r="OPN8" s="58"/>
      <c r="OPO8" s="58"/>
      <c r="OPP8" s="58"/>
      <c r="OPQ8" s="58"/>
      <c r="OPR8" s="58"/>
      <c r="OPS8" s="58"/>
      <c r="OPT8" s="58"/>
      <c r="OPU8" s="58"/>
      <c r="OPV8" s="58"/>
      <c r="OPW8" s="58"/>
      <c r="OPX8" s="58"/>
      <c r="OPY8" s="58"/>
      <c r="OPZ8" s="58"/>
      <c r="OQA8" s="58"/>
      <c r="OQB8" s="58"/>
      <c r="OQC8" s="58"/>
      <c r="OQD8" s="58"/>
      <c r="OQE8" s="58"/>
      <c r="OQF8" s="58"/>
      <c r="OQG8" s="58"/>
      <c r="OQH8" s="58"/>
      <c r="OQI8" s="58"/>
      <c r="OQJ8" s="58"/>
      <c r="OQK8" s="58"/>
      <c r="OQL8" s="58"/>
      <c r="OQM8" s="58"/>
      <c r="OQN8" s="58"/>
      <c r="OQO8" s="58"/>
      <c r="OQP8" s="58"/>
      <c r="OQQ8" s="58"/>
      <c r="OQR8" s="58"/>
      <c r="OQS8" s="58"/>
      <c r="OQT8" s="58"/>
      <c r="OQU8" s="58"/>
      <c r="OQV8" s="58"/>
      <c r="OQW8" s="58"/>
      <c r="OQX8" s="58"/>
      <c r="OQY8" s="58"/>
      <c r="OQZ8" s="58"/>
      <c r="ORA8" s="58"/>
      <c r="ORB8" s="58"/>
      <c r="ORC8" s="58"/>
      <c r="ORD8" s="58"/>
      <c r="ORE8" s="58"/>
      <c r="ORF8" s="58"/>
      <c r="ORG8" s="58"/>
      <c r="ORH8" s="58"/>
      <c r="ORI8" s="58"/>
      <c r="ORJ8" s="58"/>
      <c r="ORK8" s="58"/>
      <c r="ORL8" s="58"/>
      <c r="ORM8" s="58"/>
      <c r="ORN8" s="58"/>
      <c r="ORO8" s="58"/>
      <c r="ORP8" s="58"/>
      <c r="ORQ8" s="58"/>
      <c r="ORR8" s="58"/>
      <c r="ORS8" s="58"/>
      <c r="ORT8" s="58"/>
      <c r="ORU8" s="58"/>
      <c r="ORV8" s="58"/>
      <c r="ORW8" s="58"/>
      <c r="ORX8" s="58"/>
      <c r="ORY8" s="58"/>
      <c r="ORZ8" s="58"/>
      <c r="OSA8" s="58"/>
      <c r="OSB8" s="58"/>
      <c r="OSC8" s="58"/>
      <c r="OSD8" s="58"/>
      <c r="OSE8" s="58"/>
      <c r="OSF8" s="58"/>
      <c r="OSG8" s="58"/>
      <c r="OSH8" s="58"/>
      <c r="OSI8" s="58"/>
      <c r="OSJ8" s="58"/>
      <c r="OSK8" s="58"/>
      <c r="OSL8" s="58"/>
      <c r="OSM8" s="58"/>
      <c r="OSN8" s="58"/>
      <c r="OSO8" s="58"/>
      <c r="OSP8" s="58"/>
      <c r="OSQ8" s="58"/>
      <c r="OSR8" s="58"/>
      <c r="OSS8" s="58"/>
      <c r="OST8" s="58"/>
      <c r="OSU8" s="58"/>
      <c r="OSV8" s="58"/>
      <c r="OSW8" s="58"/>
      <c r="OSX8" s="58"/>
      <c r="OSY8" s="58"/>
      <c r="OSZ8" s="58"/>
      <c r="OTA8" s="58"/>
      <c r="OTB8" s="58"/>
      <c r="OTC8" s="58"/>
      <c r="OTD8" s="58"/>
      <c r="OTE8" s="58"/>
      <c r="OTF8" s="58"/>
      <c r="OTG8" s="58"/>
      <c r="OTH8" s="58"/>
      <c r="OTI8" s="58"/>
      <c r="OTJ8" s="58"/>
      <c r="OTK8" s="58"/>
      <c r="OTL8" s="58"/>
      <c r="OTM8" s="58"/>
      <c r="OTN8" s="58"/>
      <c r="OTO8" s="58"/>
      <c r="OTP8" s="58"/>
      <c r="OTQ8" s="58"/>
      <c r="OTR8" s="58"/>
      <c r="OTS8" s="58"/>
      <c r="OTT8" s="58"/>
      <c r="OTU8" s="58"/>
      <c r="OTV8" s="58"/>
      <c r="OTW8" s="58"/>
      <c r="OTX8" s="58"/>
      <c r="OTY8" s="58"/>
      <c r="OTZ8" s="58"/>
      <c r="OUA8" s="58"/>
      <c r="OUB8" s="58"/>
      <c r="OUC8" s="58"/>
      <c r="OUD8" s="58"/>
      <c r="OUE8" s="58"/>
      <c r="OUF8" s="58"/>
      <c r="OUG8" s="58"/>
      <c r="OUH8" s="58"/>
      <c r="OUI8" s="58"/>
      <c r="OUJ8" s="58"/>
      <c r="OUK8" s="58"/>
      <c r="OUL8" s="58"/>
      <c r="OUM8" s="58"/>
      <c r="OUN8" s="58"/>
      <c r="OUO8" s="58"/>
      <c r="OUP8" s="58"/>
      <c r="OUQ8" s="58"/>
      <c r="OUR8" s="58"/>
      <c r="OUS8" s="58"/>
      <c r="OUT8" s="58"/>
      <c r="OUU8" s="58"/>
      <c r="OUV8" s="58"/>
      <c r="OUW8" s="58"/>
      <c r="OUX8" s="58"/>
      <c r="OUY8" s="58"/>
      <c r="OUZ8" s="58"/>
      <c r="OVA8" s="58"/>
      <c r="OVB8" s="58"/>
      <c r="OVC8" s="58"/>
      <c r="OVD8" s="58"/>
      <c r="OVE8" s="58"/>
      <c r="OVF8" s="58"/>
      <c r="OVG8" s="58"/>
      <c r="OVH8" s="58"/>
      <c r="OVI8" s="58"/>
      <c r="OVJ8" s="58"/>
      <c r="OVK8" s="58"/>
      <c r="OVL8" s="58"/>
      <c r="OVM8" s="58"/>
      <c r="OVN8" s="58"/>
      <c r="OVO8" s="58"/>
      <c r="OVP8" s="58"/>
      <c r="OVQ8" s="58"/>
      <c r="OVR8" s="58"/>
      <c r="OVS8" s="58"/>
      <c r="OVT8" s="58"/>
      <c r="OVU8" s="58"/>
      <c r="OVV8" s="58"/>
      <c r="OVW8" s="58"/>
      <c r="OVX8" s="58"/>
      <c r="OVY8" s="58"/>
      <c r="OVZ8" s="58"/>
      <c r="OWA8" s="58"/>
      <c r="OWB8" s="58"/>
      <c r="OWC8" s="58"/>
      <c r="OWD8" s="58"/>
      <c r="OWE8" s="58"/>
      <c r="OWF8" s="58"/>
      <c r="OWG8" s="58"/>
      <c r="OWH8" s="58"/>
      <c r="OWI8" s="58"/>
      <c r="OWJ8" s="58"/>
      <c r="OWK8" s="58"/>
      <c r="OWL8" s="58"/>
      <c r="OWM8" s="58"/>
      <c r="OWN8" s="58"/>
      <c r="OWO8" s="58"/>
      <c r="OWP8" s="58"/>
      <c r="OWQ8" s="58"/>
      <c r="OWR8" s="58"/>
      <c r="OWS8" s="58"/>
      <c r="OWT8" s="58"/>
      <c r="OWU8" s="58"/>
      <c r="OWV8" s="58"/>
      <c r="OWW8" s="58"/>
      <c r="OWX8" s="58"/>
      <c r="OWY8" s="58"/>
      <c r="OWZ8" s="58"/>
      <c r="OXA8" s="58"/>
      <c r="OXB8" s="58"/>
      <c r="OXC8" s="58"/>
      <c r="OXD8" s="58"/>
      <c r="OXE8" s="58"/>
      <c r="OXF8" s="58"/>
      <c r="OXG8" s="58"/>
      <c r="OXH8" s="58"/>
      <c r="OXI8" s="58"/>
      <c r="OXJ8" s="58"/>
      <c r="OXK8" s="58"/>
      <c r="OXL8" s="58"/>
      <c r="OXM8" s="58"/>
      <c r="OXN8" s="58"/>
      <c r="OXO8" s="58"/>
      <c r="OXP8" s="58"/>
      <c r="OXQ8" s="58"/>
      <c r="OXR8" s="58"/>
      <c r="OXS8" s="58"/>
      <c r="OXT8" s="58"/>
      <c r="OXU8" s="58"/>
      <c r="OXV8" s="58"/>
      <c r="OXW8" s="58"/>
      <c r="OXX8" s="58"/>
      <c r="OXY8" s="58"/>
      <c r="OXZ8" s="58"/>
      <c r="OYA8" s="58"/>
      <c r="OYB8" s="58"/>
      <c r="OYC8" s="58"/>
      <c r="OYD8" s="58"/>
      <c r="OYE8" s="58"/>
      <c r="OYF8" s="58"/>
      <c r="OYG8" s="58"/>
      <c r="OYH8" s="58"/>
      <c r="OYI8" s="58"/>
      <c r="OYJ8" s="58"/>
      <c r="OYK8" s="58"/>
      <c r="OYL8" s="58"/>
      <c r="OYM8" s="58"/>
      <c r="OYN8" s="58"/>
      <c r="OYO8" s="58"/>
      <c r="OYP8" s="58"/>
      <c r="OYQ8" s="58"/>
      <c r="OYR8" s="58"/>
      <c r="OYS8" s="58"/>
      <c r="OYT8" s="58"/>
      <c r="OYU8" s="58"/>
      <c r="OYV8" s="58"/>
      <c r="OYW8" s="58"/>
      <c r="OYX8" s="58"/>
      <c r="OYY8" s="58"/>
      <c r="OYZ8" s="58"/>
      <c r="OZA8" s="58"/>
      <c r="OZB8" s="58"/>
      <c r="OZC8" s="58"/>
      <c r="OZD8" s="58"/>
      <c r="OZE8" s="58"/>
      <c r="OZF8" s="58"/>
      <c r="OZG8" s="58"/>
      <c r="OZH8" s="58"/>
      <c r="OZI8" s="58"/>
      <c r="OZJ8" s="58"/>
      <c r="OZK8" s="58"/>
      <c r="OZL8" s="58"/>
      <c r="OZM8" s="58"/>
      <c r="OZN8" s="58"/>
      <c r="OZO8" s="58"/>
      <c r="OZP8" s="58"/>
      <c r="OZQ8" s="58"/>
      <c r="OZR8" s="58"/>
      <c r="OZS8" s="58"/>
      <c r="OZT8" s="58"/>
      <c r="OZU8" s="58"/>
      <c r="OZV8" s="58"/>
      <c r="OZW8" s="58"/>
      <c r="OZX8" s="58"/>
      <c r="OZY8" s="58"/>
      <c r="OZZ8" s="58"/>
      <c r="PAA8" s="58"/>
      <c r="PAB8" s="58"/>
      <c r="PAC8" s="58"/>
      <c r="PAD8" s="58"/>
      <c r="PAE8" s="58"/>
      <c r="PAF8" s="58"/>
      <c r="PAG8" s="58"/>
      <c r="PAH8" s="58"/>
      <c r="PAI8" s="58"/>
      <c r="PAJ8" s="58"/>
      <c r="PAK8" s="58"/>
      <c r="PAL8" s="58"/>
      <c r="PAM8" s="58"/>
      <c r="PAN8" s="58"/>
      <c r="PAO8" s="58"/>
      <c r="PAP8" s="58"/>
      <c r="PAQ8" s="58"/>
      <c r="PAR8" s="58"/>
      <c r="PAS8" s="58"/>
      <c r="PAT8" s="58"/>
      <c r="PAU8" s="58"/>
      <c r="PAV8" s="58"/>
      <c r="PAW8" s="58"/>
      <c r="PAX8" s="58"/>
      <c r="PAY8" s="58"/>
      <c r="PAZ8" s="58"/>
      <c r="PBA8" s="58"/>
      <c r="PBB8" s="58"/>
      <c r="PBC8" s="58"/>
      <c r="PBD8" s="58"/>
      <c r="PBE8" s="58"/>
      <c r="PBF8" s="58"/>
      <c r="PBG8" s="58"/>
      <c r="PBH8" s="58"/>
      <c r="PBI8" s="58"/>
      <c r="PBJ8" s="58"/>
      <c r="PBK8" s="58"/>
      <c r="PBL8" s="58"/>
      <c r="PBM8" s="58"/>
      <c r="PBN8" s="58"/>
      <c r="PBO8" s="58"/>
      <c r="PBP8" s="58"/>
      <c r="PBQ8" s="58"/>
      <c r="PBR8" s="58"/>
      <c r="PBS8" s="58"/>
      <c r="PBT8" s="58"/>
      <c r="PBU8" s="58"/>
      <c r="PBV8" s="58"/>
      <c r="PBW8" s="58"/>
      <c r="PBX8" s="58"/>
      <c r="PBY8" s="58"/>
      <c r="PBZ8" s="58"/>
      <c r="PCA8" s="58"/>
      <c r="PCB8" s="58"/>
      <c r="PCC8" s="58"/>
      <c r="PCD8" s="58"/>
      <c r="PCE8" s="58"/>
      <c r="PCF8" s="58"/>
      <c r="PCG8" s="58"/>
      <c r="PCH8" s="58"/>
      <c r="PCI8" s="58"/>
      <c r="PCJ8" s="58"/>
      <c r="PCK8" s="58"/>
      <c r="PCL8" s="58"/>
      <c r="PCM8" s="58"/>
      <c r="PCN8" s="58"/>
      <c r="PCO8" s="58"/>
      <c r="PCP8" s="58"/>
      <c r="PCQ8" s="58"/>
      <c r="PCR8" s="58"/>
      <c r="PCS8" s="58"/>
      <c r="PCT8" s="58"/>
      <c r="PCU8" s="58"/>
      <c r="PCV8" s="58"/>
      <c r="PCW8" s="58"/>
      <c r="PCX8" s="58"/>
      <c r="PCY8" s="58"/>
      <c r="PCZ8" s="58"/>
      <c r="PDA8" s="58"/>
      <c r="PDB8" s="58"/>
      <c r="PDC8" s="58"/>
      <c r="PDD8" s="58"/>
      <c r="PDE8" s="58"/>
      <c r="PDF8" s="58"/>
      <c r="PDG8" s="58"/>
      <c r="PDH8" s="58"/>
      <c r="PDI8" s="58"/>
      <c r="PDJ8" s="58"/>
      <c r="PDK8" s="58"/>
      <c r="PDL8" s="58"/>
      <c r="PDM8" s="58"/>
      <c r="PDN8" s="58"/>
      <c r="PDO8" s="58"/>
      <c r="PDP8" s="58"/>
      <c r="PDQ8" s="58"/>
      <c r="PDR8" s="58"/>
      <c r="PDS8" s="58"/>
      <c r="PDT8" s="58"/>
      <c r="PDU8" s="58"/>
      <c r="PDV8" s="58"/>
      <c r="PDW8" s="58"/>
      <c r="PDX8" s="58"/>
      <c r="PDY8" s="58"/>
      <c r="PDZ8" s="58"/>
      <c r="PEA8" s="58"/>
      <c r="PEB8" s="58"/>
      <c r="PEC8" s="58"/>
      <c r="PED8" s="58"/>
      <c r="PEE8" s="58"/>
      <c r="PEF8" s="58"/>
      <c r="PEG8" s="58"/>
      <c r="PEH8" s="58"/>
      <c r="PEI8" s="58"/>
      <c r="PEJ8" s="58"/>
      <c r="PEK8" s="58"/>
      <c r="PEL8" s="58"/>
      <c r="PEM8" s="58"/>
      <c r="PEN8" s="58"/>
      <c r="PEO8" s="58"/>
      <c r="PEP8" s="58"/>
      <c r="PEQ8" s="58"/>
      <c r="PER8" s="58"/>
      <c r="PES8" s="58"/>
      <c r="PET8" s="58"/>
      <c r="PEU8" s="58"/>
      <c r="PEV8" s="58"/>
      <c r="PEW8" s="58"/>
      <c r="PEX8" s="58"/>
      <c r="PEY8" s="58"/>
      <c r="PEZ8" s="58"/>
      <c r="PFA8" s="58"/>
      <c r="PFB8" s="58"/>
      <c r="PFC8" s="58"/>
      <c r="PFD8" s="58"/>
      <c r="PFE8" s="58"/>
      <c r="PFF8" s="58"/>
      <c r="PFG8" s="58"/>
      <c r="PFH8" s="58"/>
      <c r="PFI8" s="58"/>
      <c r="PFJ8" s="58"/>
      <c r="PFK8" s="58"/>
      <c r="PFL8" s="58"/>
      <c r="PFM8" s="58"/>
      <c r="PFN8" s="58"/>
      <c r="PFO8" s="58"/>
      <c r="PFP8" s="58"/>
      <c r="PFQ8" s="58"/>
      <c r="PFR8" s="58"/>
      <c r="PFS8" s="58"/>
      <c r="PFT8" s="58"/>
      <c r="PFU8" s="58"/>
      <c r="PFV8" s="58"/>
      <c r="PFW8" s="58"/>
      <c r="PFX8" s="58"/>
      <c r="PFY8" s="58"/>
      <c r="PFZ8" s="58"/>
      <c r="PGA8" s="58"/>
      <c r="PGB8" s="58"/>
      <c r="PGC8" s="58"/>
      <c r="PGD8" s="58"/>
      <c r="PGE8" s="58"/>
      <c r="PGF8" s="58"/>
      <c r="PGG8" s="58"/>
      <c r="PGH8" s="58"/>
      <c r="PGI8" s="58"/>
      <c r="PGJ8" s="58"/>
      <c r="PGK8" s="58"/>
      <c r="PGL8" s="58"/>
      <c r="PGM8" s="58"/>
      <c r="PGN8" s="58"/>
      <c r="PGO8" s="58"/>
      <c r="PGP8" s="58"/>
      <c r="PGQ8" s="58"/>
      <c r="PGR8" s="58"/>
      <c r="PGS8" s="58"/>
      <c r="PGT8" s="58"/>
      <c r="PGU8" s="58"/>
      <c r="PGV8" s="58"/>
      <c r="PGW8" s="58"/>
      <c r="PGX8" s="58"/>
      <c r="PGY8" s="58"/>
      <c r="PGZ8" s="58"/>
      <c r="PHA8" s="58"/>
      <c r="PHB8" s="58"/>
      <c r="PHC8" s="58"/>
      <c r="PHD8" s="58"/>
      <c r="PHE8" s="58"/>
      <c r="PHF8" s="58"/>
      <c r="PHG8" s="58"/>
      <c r="PHH8" s="58"/>
      <c r="PHI8" s="58"/>
      <c r="PHJ8" s="58"/>
      <c r="PHK8" s="58"/>
      <c r="PHL8" s="58"/>
      <c r="PHM8" s="58"/>
      <c r="PHN8" s="58"/>
      <c r="PHO8" s="58"/>
      <c r="PHP8" s="58"/>
      <c r="PHQ8" s="58"/>
      <c r="PHR8" s="58"/>
      <c r="PHS8" s="58"/>
      <c r="PHT8" s="58"/>
      <c r="PHU8" s="58"/>
      <c r="PHV8" s="58"/>
      <c r="PHW8" s="58"/>
      <c r="PHX8" s="58"/>
      <c r="PHY8" s="58"/>
      <c r="PHZ8" s="58"/>
      <c r="PIA8" s="58"/>
      <c r="PIB8" s="58"/>
      <c r="PIC8" s="58"/>
      <c r="PID8" s="58"/>
      <c r="PIE8" s="58"/>
      <c r="PIF8" s="58"/>
      <c r="PIG8" s="58"/>
      <c r="PIH8" s="58"/>
      <c r="PII8" s="58"/>
      <c r="PIJ8" s="58"/>
      <c r="PIK8" s="58"/>
      <c r="PIL8" s="58"/>
      <c r="PIM8" s="58"/>
      <c r="PIN8" s="58"/>
      <c r="PIO8" s="58"/>
      <c r="PIP8" s="58"/>
      <c r="PIQ8" s="58"/>
      <c r="PIR8" s="58"/>
      <c r="PIS8" s="58"/>
      <c r="PIT8" s="58"/>
      <c r="PIU8" s="58"/>
      <c r="PIV8" s="58"/>
      <c r="PIW8" s="58"/>
      <c r="PIX8" s="58"/>
      <c r="PIY8" s="58"/>
      <c r="PIZ8" s="58"/>
      <c r="PJA8" s="58"/>
      <c r="PJB8" s="58"/>
      <c r="PJC8" s="58"/>
      <c r="PJD8" s="58"/>
      <c r="PJE8" s="58"/>
      <c r="PJF8" s="58"/>
      <c r="PJG8" s="58"/>
      <c r="PJH8" s="58"/>
      <c r="PJI8" s="58"/>
      <c r="PJJ8" s="58"/>
      <c r="PJK8" s="58"/>
      <c r="PJL8" s="58"/>
      <c r="PJM8" s="58"/>
      <c r="PJN8" s="58"/>
      <c r="PJO8" s="58"/>
      <c r="PJP8" s="58"/>
      <c r="PJQ8" s="58"/>
      <c r="PJR8" s="58"/>
      <c r="PJS8" s="58"/>
      <c r="PJT8" s="58"/>
      <c r="PJU8" s="58"/>
      <c r="PJV8" s="58"/>
      <c r="PJW8" s="58"/>
      <c r="PJX8" s="58"/>
      <c r="PJY8" s="58"/>
      <c r="PJZ8" s="58"/>
      <c r="PKA8" s="58"/>
      <c r="PKB8" s="58"/>
      <c r="PKC8" s="58"/>
      <c r="PKD8" s="58"/>
      <c r="PKE8" s="58"/>
      <c r="PKF8" s="58"/>
      <c r="PKG8" s="58"/>
      <c r="PKH8" s="58"/>
      <c r="PKI8" s="58"/>
      <c r="PKJ8" s="58"/>
      <c r="PKK8" s="58"/>
      <c r="PKL8" s="58"/>
      <c r="PKM8" s="58"/>
      <c r="PKN8" s="58"/>
      <c r="PKO8" s="58"/>
      <c r="PKP8" s="58"/>
      <c r="PKQ8" s="58"/>
      <c r="PKR8" s="58"/>
      <c r="PKS8" s="58"/>
      <c r="PKT8" s="58"/>
      <c r="PKU8" s="58"/>
      <c r="PKV8" s="58"/>
      <c r="PKW8" s="58"/>
      <c r="PKX8" s="58"/>
      <c r="PKY8" s="58"/>
      <c r="PKZ8" s="58"/>
      <c r="PLA8" s="58"/>
      <c r="PLB8" s="58"/>
      <c r="PLC8" s="58"/>
      <c r="PLD8" s="58"/>
      <c r="PLE8" s="58"/>
      <c r="PLF8" s="58"/>
      <c r="PLG8" s="58"/>
      <c r="PLH8" s="58"/>
      <c r="PLI8" s="58"/>
      <c r="PLJ8" s="58"/>
      <c r="PLK8" s="58"/>
      <c r="PLL8" s="58"/>
      <c r="PLM8" s="58"/>
      <c r="PLN8" s="58"/>
      <c r="PLO8" s="58"/>
      <c r="PLP8" s="58"/>
      <c r="PLQ8" s="58"/>
      <c r="PLR8" s="58"/>
      <c r="PLS8" s="58"/>
      <c r="PLT8" s="58"/>
      <c r="PLU8" s="58"/>
      <c r="PLV8" s="58"/>
      <c r="PLW8" s="58"/>
      <c r="PLX8" s="58"/>
      <c r="PLY8" s="58"/>
      <c r="PLZ8" s="58"/>
      <c r="PMA8" s="58"/>
      <c r="PMB8" s="58"/>
      <c r="PMC8" s="58"/>
      <c r="PMD8" s="58"/>
      <c r="PME8" s="58"/>
      <c r="PMF8" s="58"/>
      <c r="PMG8" s="58"/>
      <c r="PMH8" s="58"/>
      <c r="PMI8" s="58"/>
      <c r="PMJ8" s="58"/>
      <c r="PMK8" s="58"/>
      <c r="PML8" s="58"/>
      <c r="PMM8" s="58"/>
      <c r="PMN8" s="58"/>
      <c r="PMO8" s="58"/>
      <c r="PMP8" s="58"/>
      <c r="PMQ8" s="58"/>
      <c r="PMR8" s="58"/>
      <c r="PMS8" s="58"/>
      <c r="PMT8" s="58"/>
      <c r="PMU8" s="58"/>
      <c r="PMV8" s="58"/>
      <c r="PMW8" s="58"/>
      <c r="PMX8" s="58"/>
      <c r="PMY8" s="58"/>
      <c r="PMZ8" s="58"/>
      <c r="PNA8" s="58"/>
      <c r="PNB8" s="58"/>
      <c r="PNC8" s="58"/>
      <c r="PND8" s="58"/>
      <c r="PNE8" s="58"/>
      <c r="PNF8" s="58"/>
      <c r="PNG8" s="58"/>
      <c r="PNH8" s="58"/>
      <c r="PNI8" s="58"/>
      <c r="PNJ8" s="58"/>
      <c r="PNK8" s="58"/>
      <c r="PNL8" s="58"/>
      <c r="PNM8" s="58"/>
      <c r="PNN8" s="58"/>
      <c r="PNO8" s="58"/>
      <c r="PNP8" s="58"/>
      <c r="PNQ8" s="58"/>
      <c r="PNR8" s="58"/>
      <c r="PNS8" s="58"/>
      <c r="PNT8" s="58"/>
      <c r="PNU8" s="58"/>
      <c r="PNV8" s="58"/>
      <c r="PNW8" s="58"/>
      <c r="PNX8" s="58"/>
      <c r="PNY8" s="58"/>
      <c r="PNZ8" s="58"/>
      <c r="POA8" s="58"/>
      <c r="POB8" s="58"/>
      <c r="POC8" s="58"/>
      <c r="POD8" s="58"/>
      <c r="POE8" s="58"/>
      <c r="POF8" s="58"/>
      <c r="POG8" s="58"/>
      <c r="POH8" s="58"/>
      <c r="POI8" s="58"/>
      <c r="POJ8" s="58"/>
      <c r="POK8" s="58"/>
      <c r="POL8" s="58"/>
      <c r="POM8" s="58"/>
      <c r="PON8" s="58"/>
      <c r="POO8" s="58"/>
      <c r="POP8" s="58"/>
      <c r="POQ8" s="58"/>
      <c r="POR8" s="58"/>
      <c r="POS8" s="58"/>
      <c r="POT8" s="58"/>
      <c r="POU8" s="58"/>
      <c r="POV8" s="58"/>
      <c r="POW8" s="58"/>
      <c r="POX8" s="58"/>
      <c r="POY8" s="58"/>
      <c r="POZ8" s="58"/>
      <c r="PPA8" s="58"/>
      <c r="PPB8" s="58"/>
      <c r="PPC8" s="58"/>
      <c r="PPD8" s="58"/>
      <c r="PPE8" s="58"/>
      <c r="PPF8" s="58"/>
      <c r="PPG8" s="58"/>
      <c r="PPH8" s="58"/>
      <c r="PPI8" s="58"/>
      <c r="PPJ8" s="58"/>
      <c r="PPK8" s="58"/>
      <c r="PPL8" s="58"/>
      <c r="PPM8" s="58"/>
      <c r="PPN8" s="58"/>
      <c r="PPO8" s="58"/>
      <c r="PPP8" s="58"/>
      <c r="PPQ8" s="58"/>
      <c r="PPR8" s="58"/>
      <c r="PPS8" s="58"/>
      <c r="PPT8" s="58"/>
      <c r="PPU8" s="58"/>
      <c r="PPV8" s="58"/>
      <c r="PPW8" s="58"/>
      <c r="PPX8" s="58"/>
      <c r="PPY8" s="58"/>
      <c r="PPZ8" s="58"/>
      <c r="PQA8" s="58"/>
      <c r="PQB8" s="58"/>
      <c r="PQC8" s="58"/>
      <c r="PQD8" s="58"/>
      <c r="PQE8" s="58"/>
      <c r="PQF8" s="58"/>
      <c r="PQG8" s="58"/>
      <c r="PQH8" s="58"/>
      <c r="PQI8" s="58"/>
      <c r="PQJ8" s="58"/>
      <c r="PQK8" s="58"/>
      <c r="PQL8" s="58"/>
      <c r="PQM8" s="58"/>
      <c r="PQN8" s="58"/>
      <c r="PQO8" s="58"/>
      <c r="PQP8" s="58"/>
      <c r="PQQ8" s="58"/>
      <c r="PQR8" s="58"/>
      <c r="PQS8" s="58"/>
      <c r="PQT8" s="58"/>
      <c r="PQU8" s="58"/>
      <c r="PQV8" s="58"/>
      <c r="PQW8" s="58"/>
      <c r="PQX8" s="58"/>
      <c r="PQY8" s="58"/>
      <c r="PQZ8" s="58"/>
      <c r="PRA8" s="58"/>
      <c r="PRB8" s="58"/>
      <c r="PRC8" s="58"/>
      <c r="PRD8" s="58"/>
      <c r="PRE8" s="58"/>
      <c r="PRF8" s="58"/>
      <c r="PRG8" s="58"/>
      <c r="PRH8" s="58"/>
      <c r="PRI8" s="58"/>
      <c r="PRJ8" s="58"/>
      <c r="PRK8" s="58"/>
      <c r="PRL8" s="58"/>
      <c r="PRM8" s="58"/>
      <c r="PRN8" s="58"/>
      <c r="PRO8" s="58"/>
      <c r="PRP8" s="58"/>
      <c r="PRQ8" s="58"/>
      <c r="PRR8" s="58"/>
      <c r="PRS8" s="58"/>
      <c r="PRT8" s="58"/>
      <c r="PRU8" s="58"/>
      <c r="PRV8" s="58"/>
      <c r="PRW8" s="58"/>
      <c r="PRX8" s="58"/>
      <c r="PRY8" s="58"/>
      <c r="PRZ8" s="58"/>
      <c r="PSA8" s="58"/>
      <c r="PSB8" s="58"/>
      <c r="PSC8" s="58"/>
      <c r="PSD8" s="58"/>
      <c r="PSE8" s="58"/>
      <c r="PSF8" s="58"/>
      <c r="PSG8" s="58"/>
      <c r="PSH8" s="58"/>
      <c r="PSI8" s="58"/>
      <c r="PSJ8" s="58"/>
      <c r="PSK8" s="58"/>
      <c r="PSL8" s="58"/>
      <c r="PSM8" s="58"/>
      <c r="PSN8" s="58"/>
      <c r="PSO8" s="58"/>
      <c r="PSP8" s="58"/>
      <c r="PSQ8" s="58"/>
      <c r="PSR8" s="58"/>
      <c r="PSS8" s="58"/>
      <c r="PST8" s="58"/>
      <c r="PSU8" s="58"/>
      <c r="PSV8" s="58"/>
      <c r="PSW8" s="58"/>
      <c r="PSX8" s="58"/>
      <c r="PSY8" s="58"/>
      <c r="PSZ8" s="58"/>
      <c r="PTA8" s="58"/>
      <c r="PTB8" s="58"/>
      <c r="PTC8" s="58"/>
      <c r="PTD8" s="58"/>
      <c r="PTE8" s="58"/>
      <c r="PTF8" s="58"/>
      <c r="PTG8" s="58"/>
      <c r="PTH8" s="58"/>
      <c r="PTI8" s="58"/>
      <c r="PTJ8" s="58"/>
      <c r="PTK8" s="58"/>
      <c r="PTL8" s="58"/>
      <c r="PTM8" s="58"/>
      <c r="PTN8" s="58"/>
      <c r="PTO8" s="58"/>
      <c r="PTP8" s="58"/>
      <c r="PTQ8" s="58"/>
      <c r="PTR8" s="58"/>
      <c r="PTS8" s="58"/>
      <c r="PTT8" s="58"/>
      <c r="PTU8" s="58"/>
      <c r="PTV8" s="58"/>
      <c r="PTW8" s="58"/>
      <c r="PTX8" s="58"/>
      <c r="PTY8" s="58"/>
      <c r="PTZ8" s="58"/>
      <c r="PUA8" s="58"/>
      <c r="PUB8" s="58"/>
      <c r="PUC8" s="58"/>
      <c r="PUD8" s="58"/>
      <c r="PUE8" s="58"/>
      <c r="PUF8" s="58"/>
      <c r="PUG8" s="58"/>
      <c r="PUH8" s="58"/>
      <c r="PUI8" s="58"/>
      <c r="PUJ8" s="58"/>
      <c r="PUK8" s="58"/>
      <c r="PUL8" s="58"/>
      <c r="PUM8" s="58"/>
      <c r="PUN8" s="58"/>
      <c r="PUO8" s="58"/>
      <c r="PUP8" s="58"/>
      <c r="PUQ8" s="58"/>
      <c r="PUR8" s="58"/>
      <c r="PUS8" s="58"/>
      <c r="PUT8" s="58"/>
      <c r="PUU8" s="58"/>
      <c r="PUV8" s="58"/>
      <c r="PUW8" s="58"/>
      <c r="PUX8" s="58"/>
      <c r="PUY8" s="58"/>
      <c r="PUZ8" s="58"/>
      <c r="PVA8" s="58"/>
      <c r="PVB8" s="58"/>
      <c r="PVC8" s="58"/>
      <c r="PVD8" s="58"/>
      <c r="PVE8" s="58"/>
      <c r="PVF8" s="58"/>
      <c r="PVG8" s="58"/>
      <c r="PVH8" s="58"/>
      <c r="PVI8" s="58"/>
      <c r="PVJ8" s="58"/>
      <c r="PVK8" s="58"/>
      <c r="PVL8" s="58"/>
      <c r="PVM8" s="58"/>
      <c r="PVN8" s="58"/>
      <c r="PVO8" s="58"/>
      <c r="PVP8" s="58"/>
      <c r="PVQ8" s="58"/>
      <c r="PVR8" s="58"/>
      <c r="PVS8" s="58"/>
      <c r="PVT8" s="58"/>
      <c r="PVU8" s="58"/>
      <c r="PVV8" s="58"/>
      <c r="PVW8" s="58"/>
      <c r="PVX8" s="58"/>
      <c r="PVY8" s="58"/>
      <c r="PVZ8" s="58"/>
      <c r="PWA8" s="58"/>
      <c r="PWB8" s="58"/>
      <c r="PWC8" s="58"/>
      <c r="PWD8" s="58"/>
      <c r="PWE8" s="58"/>
      <c r="PWF8" s="58"/>
      <c r="PWG8" s="58"/>
      <c r="PWH8" s="58"/>
      <c r="PWI8" s="58"/>
      <c r="PWJ8" s="58"/>
      <c r="PWK8" s="58"/>
      <c r="PWL8" s="58"/>
      <c r="PWM8" s="58"/>
      <c r="PWN8" s="58"/>
      <c r="PWO8" s="58"/>
      <c r="PWP8" s="58"/>
      <c r="PWQ8" s="58"/>
      <c r="PWR8" s="58"/>
      <c r="PWS8" s="58"/>
      <c r="PWT8" s="58"/>
      <c r="PWU8" s="58"/>
      <c r="PWV8" s="58"/>
      <c r="PWW8" s="58"/>
      <c r="PWX8" s="58"/>
      <c r="PWY8" s="58"/>
      <c r="PWZ8" s="58"/>
      <c r="PXA8" s="58"/>
      <c r="PXB8" s="58"/>
      <c r="PXC8" s="58"/>
      <c r="PXD8" s="58"/>
      <c r="PXE8" s="58"/>
      <c r="PXF8" s="58"/>
      <c r="PXG8" s="58"/>
      <c r="PXH8" s="58"/>
      <c r="PXI8" s="58"/>
      <c r="PXJ8" s="58"/>
      <c r="PXK8" s="58"/>
      <c r="PXL8" s="58"/>
      <c r="PXM8" s="58"/>
      <c r="PXN8" s="58"/>
      <c r="PXO8" s="58"/>
      <c r="PXP8" s="58"/>
      <c r="PXQ8" s="58"/>
      <c r="PXR8" s="58"/>
      <c r="PXS8" s="58"/>
      <c r="PXT8" s="58"/>
      <c r="PXU8" s="58"/>
      <c r="PXV8" s="58"/>
      <c r="PXW8" s="58"/>
      <c r="PXX8" s="58"/>
      <c r="PXY8" s="58"/>
      <c r="PXZ8" s="58"/>
      <c r="PYA8" s="58"/>
      <c r="PYB8" s="58"/>
      <c r="PYC8" s="58"/>
      <c r="PYD8" s="58"/>
      <c r="PYE8" s="58"/>
      <c r="PYF8" s="58"/>
      <c r="PYG8" s="58"/>
      <c r="PYH8" s="58"/>
      <c r="PYI8" s="58"/>
      <c r="PYJ8" s="58"/>
      <c r="PYK8" s="58"/>
      <c r="PYL8" s="58"/>
      <c r="PYM8" s="58"/>
      <c r="PYN8" s="58"/>
      <c r="PYO8" s="58"/>
      <c r="PYP8" s="58"/>
      <c r="PYQ8" s="58"/>
      <c r="PYR8" s="58"/>
      <c r="PYS8" s="58"/>
      <c r="PYT8" s="58"/>
      <c r="PYU8" s="58"/>
      <c r="PYV8" s="58"/>
      <c r="PYW8" s="58"/>
      <c r="PYX8" s="58"/>
      <c r="PYY8" s="58"/>
      <c r="PYZ8" s="58"/>
      <c r="PZA8" s="58"/>
      <c r="PZB8" s="58"/>
      <c r="PZC8" s="58"/>
      <c r="PZD8" s="58"/>
      <c r="PZE8" s="58"/>
      <c r="PZF8" s="58"/>
      <c r="PZG8" s="58"/>
      <c r="PZH8" s="58"/>
      <c r="PZI8" s="58"/>
      <c r="PZJ8" s="58"/>
      <c r="PZK8" s="58"/>
      <c r="PZL8" s="58"/>
      <c r="PZM8" s="58"/>
      <c r="PZN8" s="58"/>
      <c r="PZO8" s="58"/>
      <c r="PZP8" s="58"/>
      <c r="PZQ8" s="58"/>
      <c r="PZR8" s="58"/>
      <c r="PZS8" s="58"/>
      <c r="PZT8" s="58"/>
      <c r="PZU8" s="58"/>
      <c r="PZV8" s="58"/>
      <c r="PZW8" s="58"/>
      <c r="PZX8" s="58"/>
      <c r="PZY8" s="58"/>
      <c r="PZZ8" s="58"/>
      <c r="QAA8" s="58"/>
      <c r="QAB8" s="58"/>
      <c r="QAC8" s="58"/>
      <c r="QAD8" s="58"/>
      <c r="QAE8" s="58"/>
      <c r="QAF8" s="58"/>
      <c r="QAG8" s="58"/>
      <c r="QAH8" s="58"/>
      <c r="QAI8" s="58"/>
      <c r="QAJ8" s="58"/>
      <c r="QAK8" s="58"/>
      <c r="QAL8" s="58"/>
      <c r="QAM8" s="58"/>
      <c r="QAN8" s="58"/>
      <c r="QAO8" s="58"/>
      <c r="QAP8" s="58"/>
      <c r="QAQ8" s="58"/>
      <c r="QAR8" s="58"/>
      <c r="QAS8" s="58"/>
      <c r="QAT8" s="58"/>
      <c r="QAU8" s="58"/>
      <c r="QAV8" s="58"/>
      <c r="QAW8" s="58"/>
      <c r="QAX8" s="58"/>
      <c r="QAY8" s="58"/>
      <c r="QAZ8" s="58"/>
      <c r="QBA8" s="58"/>
      <c r="QBB8" s="58"/>
      <c r="QBC8" s="58"/>
      <c r="QBD8" s="58"/>
      <c r="QBE8" s="58"/>
      <c r="QBF8" s="58"/>
      <c r="QBG8" s="58"/>
      <c r="QBH8" s="58"/>
      <c r="QBI8" s="58"/>
      <c r="QBJ8" s="58"/>
      <c r="QBK8" s="58"/>
      <c r="QBL8" s="58"/>
      <c r="QBM8" s="58"/>
      <c r="QBN8" s="58"/>
      <c r="QBO8" s="58"/>
      <c r="QBP8" s="58"/>
      <c r="QBQ8" s="58"/>
      <c r="QBR8" s="58"/>
      <c r="QBS8" s="58"/>
      <c r="QBT8" s="58"/>
      <c r="QBU8" s="58"/>
      <c r="QBV8" s="58"/>
      <c r="QBW8" s="58"/>
      <c r="QBX8" s="58"/>
      <c r="QBY8" s="58"/>
      <c r="QBZ8" s="58"/>
      <c r="QCA8" s="58"/>
      <c r="QCB8" s="58"/>
      <c r="QCC8" s="58"/>
      <c r="QCD8" s="58"/>
      <c r="QCE8" s="58"/>
      <c r="QCF8" s="58"/>
      <c r="QCG8" s="58"/>
      <c r="QCH8" s="58"/>
      <c r="QCI8" s="58"/>
      <c r="QCJ8" s="58"/>
      <c r="QCK8" s="58"/>
      <c r="QCL8" s="58"/>
      <c r="QCM8" s="58"/>
      <c r="QCN8" s="58"/>
      <c r="QCO8" s="58"/>
      <c r="QCP8" s="58"/>
      <c r="QCQ8" s="58"/>
      <c r="QCR8" s="58"/>
      <c r="QCS8" s="58"/>
      <c r="QCT8" s="58"/>
      <c r="QCU8" s="58"/>
      <c r="QCV8" s="58"/>
      <c r="QCW8" s="58"/>
      <c r="QCX8" s="58"/>
      <c r="QCY8" s="58"/>
      <c r="QCZ8" s="58"/>
      <c r="QDA8" s="58"/>
      <c r="QDB8" s="58"/>
      <c r="QDC8" s="58"/>
      <c r="QDD8" s="58"/>
      <c r="QDE8" s="58"/>
      <c r="QDF8" s="58"/>
      <c r="QDG8" s="58"/>
      <c r="QDH8" s="58"/>
      <c r="QDI8" s="58"/>
      <c r="QDJ8" s="58"/>
      <c r="QDK8" s="58"/>
      <c r="QDL8" s="58"/>
      <c r="QDM8" s="58"/>
      <c r="QDN8" s="58"/>
      <c r="QDO8" s="58"/>
      <c r="QDP8" s="58"/>
      <c r="QDQ8" s="58"/>
      <c r="QDR8" s="58"/>
      <c r="QDS8" s="58"/>
      <c r="QDT8" s="58"/>
      <c r="QDU8" s="58"/>
      <c r="QDV8" s="58"/>
      <c r="QDW8" s="58"/>
      <c r="QDX8" s="58"/>
      <c r="QDY8" s="58"/>
      <c r="QDZ8" s="58"/>
      <c r="QEA8" s="58"/>
      <c r="QEB8" s="58"/>
      <c r="QEC8" s="58"/>
      <c r="QED8" s="58"/>
      <c r="QEE8" s="58"/>
      <c r="QEF8" s="58"/>
      <c r="QEG8" s="58"/>
      <c r="QEH8" s="58"/>
      <c r="QEI8" s="58"/>
      <c r="QEJ8" s="58"/>
      <c r="QEK8" s="58"/>
      <c r="QEL8" s="58"/>
      <c r="QEM8" s="58"/>
      <c r="QEN8" s="58"/>
      <c r="QEO8" s="58"/>
      <c r="QEP8" s="58"/>
      <c r="QEQ8" s="58"/>
      <c r="QER8" s="58"/>
      <c r="QES8" s="58"/>
      <c r="QET8" s="58"/>
      <c r="QEU8" s="58"/>
      <c r="QEV8" s="58"/>
      <c r="QEW8" s="58"/>
      <c r="QEX8" s="58"/>
      <c r="QEY8" s="58"/>
      <c r="QEZ8" s="58"/>
      <c r="QFA8" s="58"/>
      <c r="QFB8" s="58"/>
      <c r="QFC8" s="58"/>
      <c r="QFD8" s="58"/>
      <c r="QFE8" s="58"/>
      <c r="QFF8" s="58"/>
      <c r="QFG8" s="58"/>
      <c r="QFH8" s="58"/>
      <c r="QFI8" s="58"/>
      <c r="QFJ8" s="58"/>
      <c r="QFK8" s="58"/>
      <c r="QFL8" s="58"/>
      <c r="QFM8" s="58"/>
      <c r="QFN8" s="58"/>
      <c r="QFO8" s="58"/>
      <c r="QFP8" s="58"/>
      <c r="QFQ8" s="58"/>
      <c r="QFR8" s="58"/>
      <c r="QFS8" s="58"/>
      <c r="QFT8" s="58"/>
      <c r="QFU8" s="58"/>
      <c r="QFV8" s="58"/>
      <c r="QFW8" s="58"/>
      <c r="QFX8" s="58"/>
      <c r="QFY8" s="58"/>
      <c r="QFZ8" s="58"/>
      <c r="QGA8" s="58"/>
      <c r="QGB8" s="58"/>
      <c r="QGC8" s="58"/>
      <c r="QGD8" s="58"/>
      <c r="QGE8" s="58"/>
      <c r="QGF8" s="58"/>
      <c r="QGG8" s="58"/>
      <c r="QGH8" s="58"/>
      <c r="QGI8" s="58"/>
      <c r="QGJ8" s="58"/>
      <c r="QGK8" s="58"/>
      <c r="QGL8" s="58"/>
      <c r="QGM8" s="58"/>
      <c r="QGN8" s="58"/>
      <c r="QGO8" s="58"/>
      <c r="QGP8" s="58"/>
      <c r="QGQ8" s="58"/>
      <c r="QGR8" s="58"/>
      <c r="QGS8" s="58"/>
      <c r="QGT8" s="58"/>
      <c r="QGU8" s="58"/>
      <c r="QGV8" s="58"/>
      <c r="QGW8" s="58"/>
      <c r="QGX8" s="58"/>
      <c r="QGY8" s="58"/>
      <c r="QGZ8" s="58"/>
      <c r="QHA8" s="58"/>
      <c r="QHB8" s="58"/>
      <c r="QHC8" s="58"/>
      <c r="QHD8" s="58"/>
      <c r="QHE8" s="58"/>
      <c r="QHF8" s="58"/>
      <c r="QHG8" s="58"/>
      <c r="QHH8" s="58"/>
      <c r="QHI8" s="58"/>
      <c r="QHJ8" s="58"/>
      <c r="QHK8" s="58"/>
      <c r="QHL8" s="58"/>
      <c r="QHM8" s="58"/>
      <c r="QHN8" s="58"/>
      <c r="QHO8" s="58"/>
      <c r="QHP8" s="58"/>
      <c r="QHQ8" s="58"/>
      <c r="QHR8" s="58"/>
      <c r="QHS8" s="58"/>
      <c r="QHT8" s="58"/>
      <c r="QHU8" s="58"/>
      <c r="QHV8" s="58"/>
      <c r="QHW8" s="58"/>
      <c r="QHX8" s="58"/>
      <c r="QHY8" s="58"/>
      <c r="QHZ8" s="58"/>
      <c r="QIA8" s="58"/>
      <c r="QIB8" s="58"/>
      <c r="QIC8" s="58"/>
      <c r="QID8" s="58"/>
      <c r="QIE8" s="58"/>
      <c r="QIF8" s="58"/>
      <c r="QIG8" s="58"/>
      <c r="QIH8" s="58"/>
      <c r="QII8" s="58"/>
      <c r="QIJ8" s="58"/>
      <c r="QIK8" s="58"/>
      <c r="QIL8" s="58"/>
      <c r="QIM8" s="58"/>
      <c r="QIN8" s="58"/>
      <c r="QIO8" s="58"/>
      <c r="QIP8" s="58"/>
      <c r="QIQ8" s="58"/>
      <c r="QIR8" s="58"/>
      <c r="QIS8" s="58"/>
      <c r="QIT8" s="58"/>
      <c r="QIU8" s="58"/>
      <c r="QIV8" s="58"/>
      <c r="QIW8" s="58"/>
      <c r="QIX8" s="58"/>
      <c r="QIY8" s="58"/>
      <c r="QIZ8" s="58"/>
      <c r="QJA8" s="58"/>
      <c r="QJB8" s="58"/>
      <c r="QJC8" s="58"/>
      <c r="QJD8" s="58"/>
      <c r="QJE8" s="58"/>
      <c r="QJF8" s="58"/>
      <c r="QJG8" s="58"/>
      <c r="QJH8" s="58"/>
      <c r="QJI8" s="58"/>
      <c r="QJJ8" s="58"/>
      <c r="QJK8" s="58"/>
      <c r="QJL8" s="58"/>
      <c r="QJM8" s="58"/>
      <c r="QJN8" s="58"/>
      <c r="QJO8" s="58"/>
      <c r="QJP8" s="58"/>
      <c r="QJQ8" s="58"/>
      <c r="QJR8" s="58"/>
      <c r="QJS8" s="58"/>
      <c r="QJT8" s="58"/>
      <c r="QJU8" s="58"/>
      <c r="QJV8" s="58"/>
      <c r="QJW8" s="58"/>
      <c r="QJX8" s="58"/>
      <c r="QJY8" s="58"/>
      <c r="QJZ8" s="58"/>
      <c r="QKA8" s="58"/>
      <c r="QKB8" s="58"/>
      <c r="QKC8" s="58"/>
      <c r="QKD8" s="58"/>
      <c r="QKE8" s="58"/>
      <c r="QKF8" s="58"/>
      <c r="QKG8" s="58"/>
      <c r="QKH8" s="58"/>
      <c r="QKI8" s="58"/>
      <c r="QKJ8" s="58"/>
      <c r="QKK8" s="58"/>
      <c r="QKL8" s="58"/>
      <c r="QKM8" s="58"/>
      <c r="QKN8" s="58"/>
      <c r="QKO8" s="58"/>
      <c r="QKP8" s="58"/>
      <c r="QKQ8" s="58"/>
      <c r="QKR8" s="58"/>
      <c r="QKS8" s="58"/>
      <c r="QKT8" s="58"/>
      <c r="QKU8" s="58"/>
      <c r="QKV8" s="58"/>
      <c r="QKW8" s="58"/>
      <c r="QKX8" s="58"/>
      <c r="QKY8" s="58"/>
      <c r="QKZ8" s="58"/>
      <c r="QLA8" s="58"/>
      <c r="QLB8" s="58"/>
      <c r="QLC8" s="58"/>
      <c r="QLD8" s="58"/>
      <c r="QLE8" s="58"/>
      <c r="QLF8" s="58"/>
      <c r="QLG8" s="58"/>
      <c r="QLH8" s="58"/>
      <c r="QLI8" s="58"/>
      <c r="QLJ8" s="58"/>
      <c r="QLK8" s="58"/>
      <c r="QLL8" s="58"/>
      <c r="QLM8" s="58"/>
      <c r="QLN8" s="58"/>
      <c r="QLO8" s="58"/>
      <c r="QLP8" s="58"/>
      <c r="QLQ8" s="58"/>
      <c r="QLR8" s="58"/>
      <c r="QLS8" s="58"/>
      <c r="QLT8" s="58"/>
      <c r="QLU8" s="58"/>
      <c r="QLV8" s="58"/>
      <c r="QLW8" s="58"/>
      <c r="QLX8" s="58"/>
      <c r="QLY8" s="58"/>
      <c r="QLZ8" s="58"/>
      <c r="QMA8" s="58"/>
      <c r="QMB8" s="58"/>
      <c r="QMC8" s="58"/>
      <c r="QMD8" s="58"/>
      <c r="QME8" s="58"/>
      <c r="QMF8" s="58"/>
      <c r="QMG8" s="58"/>
      <c r="QMH8" s="58"/>
      <c r="QMI8" s="58"/>
      <c r="QMJ8" s="58"/>
      <c r="QMK8" s="58"/>
      <c r="QML8" s="58"/>
      <c r="QMM8" s="58"/>
      <c r="QMN8" s="58"/>
      <c r="QMO8" s="58"/>
      <c r="QMP8" s="58"/>
      <c r="QMQ8" s="58"/>
      <c r="QMR8" s="58"/>
      <c r="QMS8" s="58"/>
      <c r="QMT8" s="58"/>
      <c r="QMU8" s="58"/>
      <c r="QMV8" s="58"/>
      <c r="QMW8" s="58"/>
      <c r="QMX8" s="58"/>
      <c r="QMY8" s="58"/>
      <c r="QMZ8" s="58"/>
      <c r="QNA8" s="58"/>
      <c r="QNB8" s="58"/>
      <c r="QNC8" s="58"/>
      <c r="QND8" s="58"/>
      <c r="QNE8" s="58"/>
      <c r="QNF8" s="58"/>
      <c r="QNG8" s="58"/>
      <c r="QNH8" s="58"/>
      <c r="QNI8" s="58"/>
      <c r="QNJ8" s="58"/>
      <c r="QNK8" s="58"/>
      <c r="QNL8" s="58"/>
      <c r="QNM8" s="58"/>
      <c r="QNN8" s="58"/>
      <c r="QNO8" s="58"/>
      <c r="QNP8" s="58"/>
      <c r="QNQ8" s="58"/>
      <c r="QNR8" s="58"/>
      <c r="QNS8" s="58"/>
      <c r="QNT8" s="58"/>
      <c r="QNU8" s="58"/>
      <c r="QNV8" s="58"/>
      <c r="QNW8" s="58"/>
      <c r="QNX8" s="58"/>
      <c r="QNY8" s="58"/>
      <c r="QNZ8" s="58"/>
      <c r="QOA8" s="58"/>
      <c r="QOB8" s="58"/>
      <c r="QOC8" s="58"/>
      <c r="QOD8" s="58"/>
      <c r="QOE8" s="58"/>
      <c r="QOF8" s="58"/>
      <c r="QOG8" s="58"/>
      <c r="QOH8" s="58"/>
      <c r="QOI8" s="58"/>
      <c r="QOJ8" s="58"/>
      <c r="QOK8" s="58"/>
      <c r="QOL8" s="58"/>
      <c r="QOM8" s="58"/>
      <c r="QON8" s="58"/>
      <c r="QOO8" s="58"/>
      <c r="QOP8" s="58"/>
      <c r="QOQ8" s="58"/>
      <c r="QOR8" s="58"/>
      <c r="QOS8" s="58"/>
      <c r="QOT8" s="58"/>
      <c r="QOU8" s="58"/>
      <c r="QOV8" s="58"/>
      <c r="QOW8" s="58"/>
      <c r="QOX8" s="58"/>
      <c r="QOY8" s="58"/>
      <c r="QOZ8" s="58"/>
      <c r="QPA8" s="58"/>
      <c r="QPB8" s="58"/>
      <c r="QPC8" s="58"/>
      <c r="QPD8" s="58"/>
      <c r="QPE8" s="58"/>
      <c r="QPF8" s="58"/>
      <c r="QPG8" s="58"/>
      <c r="QPH8" s="58"/>
      <c r="QPI8" s="58"/>
      <c r="QPJ8" s="58"/>
      <c r="QPK8" s="58"/>
      <c r="QPL8" s="58"/>
      <c r="QPM8" s="58"/>
      <c r="QPN8" s="58"/>
      <c r="QPO8" s="58"/>
      <c r="QPP8" s="58"/>
      <c r="QPQ8" s="58"/>
      <c r="QPR8" s="58"/>
      <c r="QPS8" s="58"/>
      <c r="QPT8" s="58"/>
      <c r="QPU8" s="58"/>
      <c r="QPV8" s="58"/>
      <c r="QPW8" s="58"/>
      <c r="QPX8" s="58"/>
      <c r="QPY8" s="58"/>
      <c r="QPZ8" s="58"/>
      <c r="QQA8" s="58"/>
      <c r="QQB8" s="58"/>
      <c r="QQC8" s="58"/>
      <c r="QQD8" s="58"/>
      <c r="QQE8" s="58"/>
      <c r="QQF8" s="58"/>
      <c r="QQG8" s="58"/>
      <c r="QQH8" s="58"/>
      <c r="QQI8" s="58"/>
      <c r="QQJ8" s="58"/>
      <c r="QQK8" s="58"/>
      <c r="QQL8" s="58"/>
      <c r="QQM8" s="58"/>
      <c r="QQN8" s="58"/>
      <c r="QQO8" s="58"/>
      <c r="QQP8" s="58"/>
      <c r="QQQ8" s="58"/>
      <c r="QQR8" s="58"/>
      <c r="QQS8" s="58"/>
      <c r="QQT8" s="58"/>
      <c r="QQU8" s="58"/>
      <c r="QQV8" s="58"/>
      <c r="QQW8" s="58"/>
      <c r="QQX8" s="58"/>
      <c r="QQY8" s="58"/>
      <c r="QQZ8" s="58"/>
      <c r="QRA8" s="58"/>
      <c r="QRB8" s="58"/>
      <c r="QRC8" s="58"/>
      <c r="QRD8" s="58"/>
      <c r="QRE8" s="58"/>
      <c r="QRF8" s="58"/>
      <c r="QRG8" s="58"/>
      <c r="QRH8" s="58"/>
      <c r="QRI8" s="58"/>
      <c r="QRJ8" s="58"/>
      <c r="QRK8" s="58"/>
      <c r="QRL8" s="58"/>
      <c r="QRM8" s="58"/>
      <c r="QRN8" s="58"/>
      <c r="QRO8" s="58"/>
      <c r="QRP8" s="58"/>
      <c r="QRQ8" s="58"/>
      <c r="QRR8" s="58"/>
      <c r="QRS8" s="58"/>
      <c r="QRT8" s="58"/>
      <c r="QRU8" s="58"/>
      <c r="QRV8" s="58"/>
      <c r="QRW8" s="58"/>
      <c r="QRX8" s="58"/>
      <c r="QRY8" s="58"/>
      <c r="QRZ8" s="58"/>
      <c r="QSA8" s="58"/>
      <c r="QSB8" s="58"/>
      <c r="QSC8" s="58"/>
      <c r="QSD8" s="58"/>
      <c r="QSE8" s="58"/>
      <c r="QSF8" s="58"/>
      <c r="QSG8" s="58"/>
      <c r="QSH8" s="58"/>
      <c r="QSI8" s="58"/>
      <c r="QSJ8" s="58"/>
      <c r="QSK8" s="58"/>
      <c r="QSL8" s="58"/>
      <c r="QSM8" s="58"/>
      <c r="QSN8" s="58"/>
      <c r="QSO8" s="58"/>
      <c r="QSP8" s="58"/>
      <c r="QSQ8" s="58"/>
      <c r="QSR8" s="58"/>
      <c r="QSS8" s="58"/>
      <c r="QST8" s="58"/>
      <c r="QSU8" s="58"/>
      <c r="QSV8" s="58"/>
      <c r="QSW8" s="58"/>
      <c r="QSX8" s="58"/>
      <c r="QSY8" s="58"/>
      <c r="QSZ8" s="58"/>
      <c r="QTA8" s="58"/>
      <c r="QTB8" s="58"/>
      <c r="QTC8" s="58"/>
      <c r="QTD8" s="58"/>
      <c r="QTE8" s="58"/>
      <c r="QTF8" s="58"/>
      <c r="QTG8" s="58"/>
      <c r="QTH8" s="58"/>
      <c r="QTI8" s="58"/>
      <c r="QTJ8" s="58"/>
      <c r="QTK8" s="58"/>
      <c r="QTL8" s="58"/>
      <c r="QTM8" s="58"/>
      <c r="QTN8" s="58"/>
      <c r="QTO8" s="58"/>
      <c r="QTP8" s="58"/>
      <c r="QTQ8" s="58"/>
      <c r="QTR8" s="58"/>
      <c r="QTS8" s="58"/>
      <c r="QTT8" s="58"/>
      <c r="QTU8" s="58"/>
      <c r="QTV8" s="58"/>
      <c r="QTW8" s="58"/>
      <c r="QTX8" s="58"/>
      <c r="QTY8" s="58"/>
      <c r="QTZ8" s="58"/>
      <c r="QUA8" s="58"/>
      <c r="QUB8" s="58"/>
      <c r="QUC8" s="58"/>
      <c r="QUD8" s="58"/>
      <c r="QUE8" s="58"/>
      <c r="QUF8" s="58"/>
      <c r="QUG8" s="58"/>
      <c r="QUH8" s="58"/>
      <c r="QUI8" s="58"/>
      <c r="QUJ8" s="58"/>
      <c r="QUK8" s="58"/>
      <c r="QUL8" s="58"/>
      <c r="QUM8" s="58"/>
      <c r="QUN8" s="58"/>
      <c r="QUO8" s="58"/>
      <c r="QUP8" s="58"/>
      <c r="QUQ8" s="58"/>
      <c r="QUR8" s="58"/>
      <c r="QUS8" s="58"/>
      <c r="QUT8" s="58"/>
      <c r="QUU8" s="58"/>
      <c r="QUV8" s="58"/>
      <c r="QUW8" s="58"/>
      <c r="QUX8" s="58"/>
      <c r="QUY8" s="58"/>
      <c r="QUZ8" s="58"/>
      <c r="QVA8" s="58"/>
      <c r="QVB8" s="58"/>
      <c r="QVC8" s="58"/>
      <c r="QVD8" s="58"/>
      <c r="QVE8" s="58"/>
      <c r="QVF8" s="58"/>
      <c r="QVG8" s="58"/>
      <c r="QVH8" s="58"/>
      <c r="QVI8" s="58"/>
      <c r="QVJ8" s="58"/>
      <c r="QVK8" s="58"/>
      <c r="QVL8" s="58"/>
      <c r="QVM8" s="58"/>
      <c r="QVN8" s="58"/>
      <c r="QVO8" s="58"/>
      <c r="QVP8" s="58"/>
      <c r="QVQ8" s="58"/>
      <c r="QVR8" s="58"/>
      <c r="QVS8" s="58"/>
      <c r="QVT8" s="58"/>
      <c r="QVU8" s="58"/>
      <c r="QVV8" s="58"/>
      <c r="QVW8" s="58"/>
      <c r="QVX8" s="58"/>
      <c r="QVY8" s="58"/>
      <c r="QVZ8" s="58"/>
      <c r="QWA8" s="58"/>
      <c r="QWB8" s="58"/>
      <c r="QWC8" s="58"/>
      <c r="QWD8" s="58"/>
      <c r="QWE8" s="58"/>
      <c r="QWF8" s="58"/>
      <c r="QWG8" s="58"/>
      <c r="QWH8" s="58"/>
      <c r="QWI8" s="58"/>
      <c r="QWJ8" s="58"/>
      <c r="QWK8" s="58"/>
      <c r="QWL8" s="58"/>
      <c r="QWM8" s="58"/>
      <c r="QWN8" s="58"/>
      <c r="QWO8" s="58"/>
      <c r="QWP8" s="58"/>
      <c r="QWQ8" s="58"/>
      <c r="QWR8" s="58"/>
      <c r="QWS8" s="58"/>
      <c r="QWT8" s="58"/>
      <c r="QWU8" s="58"/>
      <c r="QWV8" s="58"/>
      <c r="QWW8" s="58"/>
      <c r="QWX8" s="58"/>
      <c r="QWY8" s="58"/>
      <c r="QWZ8" s="58"/>
      <c r="QXA8" s="58"/>
      <c r="QXB8" s="58"/>
      <c r="QXC8" s="58"/>
      <c r="QXD8" s="58"/>
      <c r="QXE8" s="58"/>
      <c r="QXF8" s="58"/>
      <c r="QXG8" s="58"/>
      <c r="QXH8" s="58"/>
      <c r="QXI8" s="58"/>
      <c r="QXJ8" s="58"/>
      <c r="QXK8" s="58"/>
      <c r="QXL8" s="58"/>
      <c r="QXM8" s="58"/>
      <c r="QXN8" s="58"/>
      <c r="QXO8" s="58"/>
      <c r="QXP8" s="58"/>
      <c r="QXQ8" s="58"/>
      <c r="QXR8" s="58"/>
      <c r="QXS8" s="58"/>
      <c r="QXT8" s="58"/>
      <c r="QXU8" s="58"/>
      <c r="QXV8" s="58"/>
      <c r="QXW8" s="58"/>
      <c r="QXX8" s="58"/>
      <c r="QXY8" s="58"/>
      <c r="QXZ8" s="58"/>
      <c r="QYA8" s="58"/>
      <c r="QYB8" s="58"/>
      <c r="QYC8" s="58"/>
      <c r="QYD8" s="58"/>
      <c r="QYE8" s="58"/>
      <c r="QYF8" s="58"/>
      <c r="QYG8" s="58"/>
      <c r="QYH8" s="58"/>
      <c r="QYI8" s="58"/>
      <c r="QYJ8" s="58"/>
      <c r="QYK8" s="58"/>
      <c r="QYL8" s="58"/>
      <c r="QYM8" s="58"/>
      <c r="QYN8" s="58"/>
      <c r="QYO8" s="58"/>
      <c r="QYP8" s="58"/>
      <c r="QYQ8" s="58"/>
      <c r="QYR8" s="58"/>
      <c r="QYS8" s="58"/>
      <c r="QYT8" s="58"/>
      <c r="QYU8" s="58"/>
      <c r="QYV8" s="58"/>
      <c r="QYW8" s="58"/>
      <c r="QYX8" s="58"/>
      <c r="QYY8" s="58"/>
      <c r="QYZ8" s="58"/>
      <c r="QZA8" s="58"/>
      <c r="QZB8" s="58"/>
      <c r="QZC8" s="58"/>
      <c r="QZD8" s="58"/>
      <c r="QZE8" s="58"/>
      <c r="QZF8" s="58"/>
      <c r="QZG8" s="58"/>
      <c r="QZH8" s="58"/>
      <c r="QZI8" s="58"/>
      <c r="QZJ8" s="58"/>
      <c r="QZK8" s="58"/>
      <c r="QZL8" s="58"/>
      <c r="QZM8" s="58"/>
      <c r="QZN8" s="58"/>
      <c r="QZO8" s="58"/>
      <c r="QZP8" s="58"/>
      <c r="QZQ8" s="58"/>
      <c r="QZR8" s="58"/>
      <c r="QZS8" s="58"/>
      <c r="QZT8" s="58"/>
      <c r="QZU8" s="58"/>
      <c r="QZV8" s="58"/>
      <c r="QZW8" s="58"/>
      <c r="QZX8" s="58"/>
      <c r="QZY8" s="58"/>
      <c r="QZZ8" s="58"/>
      <c r="RAA8" s="58"/>
      <c r="RAB8" s="58"/>
      <c r="RAC8" s="58"/>
      <c r="RAD8" s="58"/>
      <c r="RAE8" s="58"/>
      <c r="RAF8" s="58"/>
      <c r="RAG8" s="58"/>
      <c r="RAH8" s="58"/>
      <c r="RAI8" s="58"/>
      <c r="RAJ8" s="58"/>
      <c r="RAK8" s="58"/>
      <c r="RAL8" s="58"/>
      <c r="RAM8" s="58"/>
      <c r="RAN8" s="58"/>
      <c r="RAO8" s="58"/>
      <c r="RAP8" s="58"/>
      <c r="RAQ8" s="58"/>
      <c r="RAR8" s="58"/>
      <c r="RAS8" s="58"/>
      <c r="RAT8" s="58"/>
      <c r="RAU8" s="58"/>
      <c r="RAV8" s="58"/>
      <c r="RAW8" s="58"/>
      <c r="RAX8" s="58"/>
      <c r="RAY8" s="58"/>
      <c r="RAZ8" s="58"/>
      <c r="RBA8" s="58"/>
      <c r="RBB8" s="58"/>
      <c r="RBC8" s="58"/>
      <c r="RBD8" s="58"/>
      <c r="RBE8" s="58"/>
      <c r="RBF8" s="58"/>
      <c r="RBG8" s="58"/>
      <c r="RBH8" s="58"/>
      <c r="RBI8" s="58"/>
      <c r="RBJ8" s="58"/>
      <c r="RBK8" s="58"/>
      <c r="RBL8" s="58"/>
      <c r="RBM8" s="58"/>
      <c r="RBN8" s="58"/>
      <c r="RBO8" s="58"/>
      <c r="RBP8" s="58"/>
      <c r="RBQ8" s="58"/>
      <c r="RBR8" s="58"/>
      <c r="RBS8" s="58"/>
      <c r="RBT8" s="58"/>
      <c r="RBU8" s="58"/>
      <c r="RBV8" s="58"/>
      <c r="RBW8" s="58"/>
      <c r="RBX8" s="58"/>
      <c r="RBY8" s="58"/>
      <c r="RBZ8" s="58"/>
      <c r="RCA8" s="58"/>
      <c r="RCB8" s="58"/>
      <c r="RCC8" s="58"/>
      <c r="RCD8" s="58"/>
      <c r="RCE8" s="58"/>
      <c r="RCF8" s="58"/>
      <c r="RCG8" s="58"/>
      <c r="RCH8" s="58"/>
      <c r="RCI8" s="58"/>
      <c r="RCJ8" s="58"/>
      <c r="RCK8" s="58"/>
      <c r="RCL8" s="58"/>
      <c r="RCM8" s="58"/>
      <c r="RCN8" s="58"/>
      <c r="RCO8" s="58"/>
      <c r="RCP8" s="58"/>
      <c r="RCQ8" s="58"/>
      <c r="RCR8" s="58"/>
      <c r="RCS8" s="58"/>
      <c r="RCT8" s="58"/>
      <c r="RCU8" s="58"/>
      <c r="RCV8" s="58"/>
      <c r="RCW8" s="58"/>
      <c r="RCX8" s="58"/>
      <c r="RCY8" s="58"/>
      <c r="RCZ8" s="58"/>
      <c r="RDA8" s="58"/>
      <c r="RDB8" s="58"/>
      <c r="RDC8" s="58"/>
      <c r="RDD8" s="58"/>
      <c r="RDE8" s="58"/>
      <c r="RDF8" s="58"/>
      <c r="RDG8" s="58"/>
      <c r="RDH8" s="58"/>
      <c r="RDI8" s="58"/>
      <c r="RDJ8" s="58"/>
      <c r="RDK8" s="58"/>
      <c r="RDL8" s="58"/>
      <c r="RDM8" s="58"/>
      <c r="RDN8" s="58"/>
      <c r="RDO8" s="58"/>
      <c r="RDP8" s="58"/>
      <c r="RDQ8" s="58"/>
      <c r="RDR8" s="58"/>
      <c r="RDS8" s="58"/>
      <c r="RDT8" s="58"/>
      <c r="RDU8" s="58"/>
      <c r="RDV8" s="58"/>
      <c r="RDW8" s="58"/>
      <c r="RDX8" s="58"/>
      <c r="RDY8" s="58"/>
      <c r="RDZ8" s="58"/>
      <c r="REA8" s="58"/>
      <c r="REB8" s="58"/>
      <c r="REC8" s="58"/>
      <c r="RED8" s="58"/>
      <c r="REE8" s="58"/>
      <c r="REF8" s="58"/>
      <c r="REG8" s="58"/>
      <c r="REH8" s="58"/>
      <c r="REI8" s="58"/>
      <c r="REJ8" s="58"/>
      <c r="REK8" s="58"/>
      <c r="REL8" s="58"/>
      <c r="REM8" s="58"/>
      <c r="REN8" s="58"/>
      <c r="REO8" s="58"/>
      <c r="REP8" s="58"/>
      <c r="REQ8" s="58"/>
      <c r="RER8" s="58"/>
      <c r="RES8" s="58"/>
      <c r="RET8" s="58"/>
      <c r="REU8" s="58"/>
      <c r="REV8" s="58"/>
      <c r="REW8" s="58"/>
      <c r="REX8" s="58"/>
      <c r="REY8" s="58"/>
      <c r="REZ8" s="58"/>
      <c r="RFA8" s="58"/>
      <c r="RFB8" s="58"/>
      <c r="RFC8" s="58"/>
      <c r="RFD8" s="58"/>
      <c r="RFE8" s="58"/>
      <c r="RFF8" s="58"/>
      <c r="RFG8" s="58"/>
      <c r="RFH8" s="58"/>
      <c r="RFI8" s="58"/>
      <c r="RFJ8" s="58"/>
      <c r="RFK8" s="58"/>
      <c r="RFL8" s="58"/>
      <c r="RFM8" s="58"/>
      <c r="RFN8" s="58"/>
      <c r="RFO8" s="58"/>
      <c r="RFP8" s="58"/>
      <c r="RFQ8" s="58"/>
      <c r="RFR8" s="58"/>
      <c r="RFS8" s="58"/>
      <c r="RFT8" s="58"/>
      <c r="RFU8" s="58"/>
      <c r="RFV8" s="58"/>
      <c r="RFW8" s="58"/>
      <c r="RFX8" s="58"/>
      <c r="RFY8" s="58"/>
      <c r="RFZ8" s="58"/>
      <c r="RGA8" s="58"/>
      <c r="RGB8" s="58"/>
      <c r="RGC8" s="58"/>
      <c r="RGD8" s="58"/>
      <c r="RGE8" s="58"/>
      <c r="RGF8" s="58"/>
      <c r="RGG8" s="58"/>
      <c r="RGH8" s="58"/>
      <c r="RGI8" s="58"/>
      <c r="RGJ8" s="58"/>
      <c r="RGK8" s="58"/>
      <c r="RGL8" s="58"/>
      <c r="RGM8" s="58"/>
      <c r="RGN8" s="58"/>
      <c r="RGO8" s="58"/>
      <c r="RGP8" s="58"/>
      <c r="RGQ8" s="58"/>
      <c r="RGR8" s="58"/>
      <c r="RGS8" s="58"/>
      <c r="RGT8" s="58"/>
      <c r="RGU8" s="58"/>
      <c r="RGV8" s="58"/>
      <c r="RGW8" s="58"/>
      <c r="RGX8" s="58"/>
      <c r="RGY8" s="58"/>
      <c r="RGZ8" s="58"/>
      <c r="RHA8" s="58"/>
      <c r="RHB8" s="58"/>
      <c r="RHC8" s="58"/>
      <c r="RHD8" s="58"/>
      <c r="RHE8" s="58"/>
      <c r="RHF8" s="58"/>
      <c r="RHG8" s="58"/>
      <c r="RHH8" s="58"/>
      <c r="RHI8" s="58"/>
      <c r="RHJ8" s="58"/>
      <c r="RHK8" s="58"/>
      <c r="RHL8" s="58"/>
      <c r="RHM8" s="58"/>
      <c r="RHN8" s="58"/>
      <c r="RHO8" s="58"/>
      <c r="RHP8" s="58"/>
      <c r="RHQ8" s="58"/>
      <c r="RHR8" s="58"/>
      <c r="RHS8" s="58"/>
      <c r="RHT8" s="58"/>
      <c r="RHU8" s="58"/>
      <c r="RHV8" s="58"/>
      <c r="RHW8" s="58"/>
      <c r="RHX8" s="58"/>
      <c r="RHY8" s="58"/>
      <c r="RHZ8" s="58"/>
      <c r="RIA8" s="58"/>
      <c r="RIB8" s="58"/>
      <c r="RIC8" s="58"/>
      <c r="RID8" s="58"/>
      <c r="RIE8" s="58"/>
      <c r="RIF8" s="58"/>
      <c r="RIG8" s="58"/>
      <c r="RIH8" s="58"/>
      <c r="RII8" s="58"/>
      <c r="RIJ8" s="58"/>
      <c r="RIK8" s="58"/>
      <c r="RIL8" s="58"/>
      <c r="RIM8" s="58"/>
      <c r="RIN8" s="58"/>
      <c r="RIO8" s="58"/>
      <c r="RIP8" s="58"/>
      <c r="RIQ8" s="58"/>
      <c r="RIR8" s="58"/>
      <c r="RIS8" s="58"/>
      <c r="RIT8" s="58"/>
      <c r="RIU8" s="58"/>
      <c r="RIV8" s="58"/>
      <c r="RIW8" s="58"/>
      <c r="RIX8" s="58"/>
      <c r="RIY8" s="58"/>
      <c r="RIZ8" s="58"/>
      <c r="RJA8" s="58"/>
      <c r="RJB8" s="58"/>
      <c r="RJC8" s="58"/>
      <c r="RJD8" s="58"/>
      <c r="RJE8" s="58"/>
      <c r="RJF8" s="58"/>
      <c r="RJG8" s="58"/>
      <c r="RJH8" s="58"/>
      <c r="RJI8" s="58"/>
      <c r="RJJ8" s="58"/>
      <c r="RJK8" s="58"/>
      <c r="RJL8" s="58"/>
      <c r="RJM8" s="58"/>
      <c r="RJN8" s="58"/>
      <c r="RJO8" s="58"/>
      <c r="RJP8" s="58"/>
      <c r="RJQ8" s="58"/>
      <c r="RJR8" s="58"/>
      <c r="RJS8" s="58"/>
      <c r="RJT8" s="58"/>
      <c r="RJU8" s="58"/>
      <c r="RJV8" s="58"/>
      <c r="RJW8" s="58"/>
      <c r="RJX8" s="58"/>
      <c r="RJY8" s="58"/>
      <c r="RJZ8" s="58"/>
      <c r="RKA8" s="58"/>
      <c r="RKB8" s="58"/>
      <c r="RKC8" s="58"/>
      <c r="RKD8" s="58"/>
      <c r="RKE8" s="58"/>
      <c r="RKF8" s="58"/>
      <c r="RKG8" s="58"/>
      <c r="RKH8" s="58"/>
      <c r="RKI8" s="58"/>
      <c r="RKJ8" s="58"/>
      <c r="RKK8" s="58"/>
      <c r="RKL8" s="58"/>
      <c r="RKM8" s="58"/>
      <c r="RKN8" s="58"/>
      <c r="RKO8" s="58"/>
      <c r="RKP8" s="58"/>
      <c r="RKQ8" s="58"/>
      <c r="RKR8" s="58"/>
      <c r="RKS8" s="58"/>
      <c r="RKT8" s="58"/>
      <c r="RKU8" s="58"/>
      <c r="RKV8" s="58"/>
      <c r="RKW8" s="58"/>
      <c r="RKX8" s="58"/>
      <c r="RKY8" s="58"/>
      <c r="RKZ8" s="58"/>
      <c r="RLA8" s="58"/>
      <c r="RLB8" s="58"/>
      <c r="RLC8" s="58"/>
      <c r="RLD8" s="58"/>
      <c r="RLE8" s="58"/>
      <c r="RLF8" s="58"/>
      <c r="RLG8" s="58"/>
      <c r="RLH8" s="58"/>
      <c r="RLI8" s="58"/>
      <c r="RLJ8" s="58"/>
      <c r="RLK8" s="58"/>
      <c r="RLL8" s="58"/>
      <c r="RLM8" s="58"/>
      <c r="RLN8" s="58"/>
      <c r="RLO8" s="58"/>
      <c r="RLP8" s="58"/>
      <c r="RLQ8" s="58"/>
      <c r="RLR8" s="58"/>
      <c r="RLS8" s="58"/>
      <c r="RLT8" s="58"/>
      <c r="RLU8" s="58"/>
      <c r="RLV8" s="58"/>
      <c r="RLW8" s="58"/>
      <c r="RLX8" s="58"/>
      <c r="RLY8" s="58"/>
      <c r="RLZ8" s="58"/>
      <c r="RMA8" s="58"/>
      <c r="RMB8" s="58"/>
      <c r="RMC8" s="58"/>
      <c r="RMD8" s="58"/>
      <c r="RME8" s="58"/>
      <c r="RMF8" s="58"/>
      <c r="RMG8" s="58"/>
      <c r="RMH8" s="58"/>
      <c r="RMI8" s="58"/>
      <c r="RMJ8" s="58"/>
      <c r="RMK8" s="58"/>
      <c r="RML8" s="58"/>
      <c r="RMM8" s="58"/>
      <c r="RMN8" s="58"/>
      <c r="RMO8" s="58"/>
      <c r="RMP8" s="58"/>
      <c r="RMQ8" s="58"/>
      <c r="RMR8" s="58"/>
      <c r="RMS8" s="58"/>
      <c r="RMT8" s="58"/>
      <c r="RMU8" s="58"/>
      <c r="RMV8" s="58"/>
      <c r="RMW8" s="58"/>
      <c r="RMX8" s="58"/>
      <c r="RMY8" s="58"/>
      <c r="RMZ8" s="58"/>
      <c r="RNA8" s="58"/>
      <c r="RNB8" s="58"/>
      <c r="RNC8" s="58"/>
      <c r="RND8" s="58"/>
      <c r="RNE8" s="58"/>
      <c r="RNF8" s="58"/>
      <c r="RNG8" s="58"/>
      <c r="RNH8" s="58"/>
      <c r="RNI8" s="58"/>
      <c r="RNJ8" s="58"/>
      <c r="RNK8" s="58"/>
      <c r="RNL8" s="58"/>
      <c r="RNM8" s="58"/>
      <c r="RNN8" s="58"/>
      <c r="RNO8" s="58"/>
      <c r="RNP8" s="58"/>
      <c r="RNQ8" s="58"/>
      <c r="RNR8" s="58"/>
      <c r="RNS8" s="58"/>
      <c r="RNT8" s="58"/>
      <c r="RNU8" s="58"/>
      <c r="RNV8" s="58"/>
      <c r="RNW8" s="58"/>
      <c r="RNX8" s="58"/>
      <c r="RNY8" s="58"/>
      <c r="RNZ8" s="58"/>
      <c r="ROA8" s="58"/>
      <c r="ROB8" s="58"/>
      <c r="ROC8" s="58"/>
      <c r="ROD8" s="58"/>
      <c r="ROE8" s="58"/>
      <c r="ROF8" s="58"/>
      <c r="ROG8" s="58"/>
      <c r="ROH8" s="58"/>
      <c r="ROI8" s="58"/>
      <c r="ROJ8" s="58"/>
      <c r="ROK8" s="58"/>
      <c r="ROL8" s="58"/>
      <c r="ROM8" s="58"/>
      <c r="RON8" s="58"/>
      <c r="ROO8" s="58"/>
      <c r="ROP8" s="58"/>
      <c r="ROQ8" s="58"/>
      <c r="ROR8" s="58"/>
      <c r="ROS8" s="58"/>
      <c r="ROT8" s="58"/>
      <c r="ROU8" s="58"/>
      <c r="ROV8" s="58"/>
      <c r="ROW8" s="58"/>
      <c r="ROX8" s="58"/>
      <c r="ROY8" s="58"/>
      <c r="ROZ8" s="58"/>
      <c r="RPA8" s="58"/>
      <c r="RPB8" s="58"/>
      <c r="RPC8" s="58"/>
      <c r="RPD8" s="58"/>
      <c r="RPE8" s="58"/>
      <c r="RPF8" s="58"/>
      <c r="RPG8" s="58"/>
      <c r="RPH8" s="58"/>
      <c r="RPI8" s="58"/>
      <c r="RPJ8" s="58"/>
      <c r="RPK8" s="58"/>
      <c r="RPL8" s="58"/>
      <c r="RPM8" s="58"/>
      <c r="RPN8" s="58"/>
      <c r="RPO8" s="58"/>
      <c r="RPP8" s="58"/>
      <c r="RPQ8" s="58"/>
      <c r="RPR8" s="58"/>
      <c r="RPS8" s="58"/>
      <c r="RPT8" s="58"/>
      <c r="RPU8" s="58"/>
      <c r="RPV8" s="58"/>
      <c r="RPW8" s="58"/>
      <c r="RPX8" s="58"/>
      <c r="RPY8" s="58"/>
      <c r="RPZ8" s="58"/>
      <c r="RQA8" s="58"/>
      <c r="RQB8" s="58"/>
      <c r="RQC8" s="58"/>
      <c r="RQD8" s="58"/>
      <c r="RQE8" s="58"/>
      <c r="RQF8" s="58"/>
      <c r="RQG8" s="58"/>
      <c r="RQH8" s="58"/>
      <c r="RQI8" s="58"/>
      <c r="RQJ8" s="58"/>
      <c r="RQK8" s="58"/>
      <c r="RQL8" s="58"/>
      <c r="RQM8" s="58"/>
      <c r="RQN8" s="58"/>
      <c r="RQO8" s="58"/>
      <c r="RQP8" s="58"/>
      <c r="RQQ8" s="58"/>
      <c r="RQR8" s="58"/>
      <c r="RQS8" s="58"/>
      <c r="RQT8" s="58"/>
      <c r="RQU8" s="58"/>
      <c r="RQV8" s="58"/>
      <c r="RQW8" s="58"/>
      <c r="RQX8" s="58"/>
      <c r="RQY8" s="58"/>
      <c r="RQZ8" s="58"/>
      <c r="RRA8" s="58"/>
      <c r="RRB8" s="58"/>
      <c r="RRC8" s="58"/>
      <c r="RRD8" s="58"/>
      <c r="RRE8" s="58"/>
      <c r="RRF8" s="58"/>
      <c r="RRG8" s="58"/>
      <c r="RRH8" s="58"/>
      <c r="RRI8" s="58"/>
      <c r="RRJ8" s="58"/>
      <c r="RRK8" s="58"/>
      <c r="RRL8" s="58"/>
      <c r="RRM8" s="58"/>
      <c r="RRN8" s="58"/>
      <c r="RRO8" s="58"/>
      <c r="RRP8" s="58"/>
      <c r="RRQ8" s="58"/>
      <c r="RRR8" s="58"/>
      <c r="RRS8" s="58"/>
      <c r="RRT8" s="58"/>
      <c r="RRU8" s="58"/>
      <c r="RRV8" s="58"/>
      <c r="RRW8" s="58"/>
      <c r="RRX8" s="58"/>
      <c r="RRY8" s="58"/>
      <c r="RRZ8" s="58"/>
      <c r="RSA8" s="58"/>
      <c r="RSB8" s="58"/>
      <c r="RSC8" s="58"/>
      <c r="RSD8" s="58"/>
      <c r="RSE8" s="58"/>
      <c r="RSF8" s="58"/>
      <c r="RSG8" s="58"/>
      <c r="RSH8" s="58"/>
      <c r="RSI8" s="58"/>
      <c r="RSJ8" s="58"/>
      <c r="RSK8" s="58"/>
      <c r="RSL8" s="58"/>
      <c r="RSM8" s="58"/>
      <c r="RSN8" s="58"/>
      <c r="RSO8" s="58"/>
      <c r="RSP8" s="58"/>
      <c r="RSQ8" s="58"/>
      <c r="RSR8" s="58"/>
      <c r="RSS8" s="58"/>
      <c r="RST8" s="58"/>
      <c r="RSU8" s="58"/>
      <c r="RSV8" s="58"/>
      <c r="RSW8" s="58"/>
      <c r="RSX8" s="58"/>
      <c r="RSY8" s="58"/>
      <c r="RSZ8" s="58"/>
      <c r="RTA8" s="58"/>
      <c r="RTB8" s="58"/>
      <c r="RTC8" s="58"/>
      <c r="RTD8" s="58"/>
      <c r="RTE8" s="58"/>
      <c r="RTF8" s="58"/>
      <c r="RTG8" s="58"/>
      <c r="RTH8" s="58"/>
      <c r="RTI8" s="58"/>
      <c r="RTJ8" s="58"/>
      <c r="RTK8" s="58"/>
      <c r="RTL8" s="58"/>
      <c r="RTM8" s="58"/>
      <c r="RTN8" s="58"/>
      <c r="RTO8" s="58"/>
      <c r="RTP8" s="58"/>
      <c r="RTQ8" s="58"/>
      <c r="RTR8" s="58"/>
      <c r="RTS8" s="58"/>
      <c r="RTT8" s="58"/>
      <c r="RTU8" s="58"/>
      <c r="RTV8" s="58"/>
      <c r="RTW8" s="58"/>
      <c r="RTX8" s="58"/>
      <c r="RTY8" s="58"/>
      <c r="RTZ8" s="58"/>
      <c r="RUA8" s="58"/>
      <c r="RUB8" s="58"/>
      <c r="RUC8" s="58"/>
      <c r="RUD8" s="58"/>
      <c r="RUE8" s="58"/>
      <c r="RUF8" s="58"/>
      <c r="RUG8" s="58"/>
      <c r="RUH8" s="58"/>
      <c r="RUI8" s="58"/>
      <c r="RUJ8" s="58"/>
      <c r="RUK8" s="58"/>
      <c r="RUL8" s="58"/>
      <c r="RUM8" s="58"/>
      <c r="RUN8" s="58"/>
      <c r="RUO8" s="58"/>
      <c r="RUP8" s="58"/>
      <c r="RUQ8" s="58"/>
      <c r="RUR8" s="58"/>
      <c r="RUS8" s="58"/>
      <c r="RUT8" s="58"/>
      <c r="RUU8" s="58"/>
      <c r="RUV8" s="58"/>
      <c r="RUW8" s="58"/>
      <c r="RUX8" s="58"/>
      <c r="RUY8" s="58"/>
      <c r="RUZ8" s="58"/>
      <c r="RVA8" s="58"/>
      <c r="RVB8" s="58"/>
      <c r="RVC8" s="58"/>
      <c r="RVD8" s="58"/>
      <c r="RVE8" s="58"/>
      <c r="RVF8" s="58"/>
      <c r="RVG8" s="58"/>
      <c r="RVH8" s="58"/>
      <c r="RVI8" s="58"/>
      <c r="RVJ8" s="58"/>
      <c r="RVK8" s="58"/>
      <c r="RVL8" s="58"/>
      <c r="RVM8" s="58"/>
      <c r="RVN8" s="58"/>
      <c r="RVO8" s="58"/>
      <c r="RVP8" s="58"/>
      <c r="RVQ8" s="58"/>
      <c r="RVR8" s="58"/>
      <c r="RVS8" s="58"/>
      <c r="RVT8" s="58"/>
      <c r="RVU8" s="58"/>
      <c r="RVV8" s="58"/>
      <c r="RVW8" s="58"/>
      <c r="RVX8" s="58"/>
      <c r="RVY8" s="58"/>
      <c r="RVZ8" s="58"/>
      <c r="RWA8" s="58"/>
      <c r="RWB8" s="58"/>
      <c r="RWC8" s="58"/>
      <c r="RWD8" s="58"/>
      <c r="RWE8" s="58"/>
      <c r="RWF8" s="58"/>
      <c r="RWG8" s="58"/>
      <c r="RWH8" s="58"/>
      <c r="RWI8" s="58"/>
      <c r="RWJ8" s="58"/>
      <c r="RWK8" s="58"/>
      <c r="RWL8" s="58"/>
      <c r="RWM8" s="58"/>
      <c r="RWN8" s="58"/>
      <c r="RWO8" s="58"/>
      <c r="RWP8" s="58"/>
      <c r="RWQ8" s="58"/>
      <c r="RWR8" s="58"/>
      <c r="RWS8" s="58"/>
      <c r="RWT8" s="58"/>
      <c r="RWU8" s="58"/>
      <c r="RWV8" s="58"/>
      <c r="RWW8" s="58"/>
      <c r="RWX8" s="58"/>
      <c r="RWY8" s="58"/>
      <c r="RWZ8" s="58"/>
      <c r="RXA8" s="58"/>
      <c r="RXB8" s="58"/>
      <c r="RXC8" s="58"/>
      <c r="RXD8" s="58"/>
      <c r="RXE8" s="58"/>
      <c r="RXF8" s="58"/>
      <c r="RXG8" s="58"/>
      <c r="RXH8" s="58"/>
      <c r="RXI8" s="58"/>
      <c r="RXJ8" s="58"/>
      <c r="RXK8" s="58"/>
      <c r="RXL8" s="58"/>
      <c r="RXM8" s="58"/>
      <c r="RXN8" s="58"/>
      <c r="RXO8" s="58"/>
      <c r="RXP8" s="58"/>
      <c r="RXQ8" s="58"/>
      <c r="RXR8" s="58"/>
      <c r="RXS8" s="58"/>
      <c r="RXT8" s="58"/>
      <c r="RXU8" s="58"/>
      <c r="RXV8" s="58"/>
      <c r="RXW8" s="58"/>
      <c r="RXX8" s="58"/>
      <c r="RXY8" s="58"/>
      <c r="RXZ8" s="58"/>
      <c r="RYA8" s="58"/>
      <c r="RYB8" s="58"/>
      <c r="RYC8" s="58"/>
      <c r="RYD8" s="58"/>
      <c r="RYE8" s="58"/>
      <c r="RYF8" s="58"/>
      <c r="RYG8" s="58"/>
      <c r="RYH8" s="58"/>
      <c r="RYI8" s="58"/>
      <c r="RYJ8" s="58"/>
      <c r="RYK8" s="58"/>
      <c r="RYL8" s="58"/>
      <c r="RYM8" s="58"/>
      <c r="RYN8" s="58"/>
      <c r="RYO8" s="58"/>
      <c r="RYP8" s="58"/>
      <c r="RYQ8" s="58"/>
      <c r="RYR8" s="58"/>
      <c r="RYS8" s="58"/>
      <c r="RYT8" s="58"/>
      <c r="RYU8" s="58"/>
      <c r="RYV8" s="58"/>
      <c r="RYW8" s="58"/>
      <c r="RYX8" s="58"/>
      <c r="RYY8" s="58"/>
      <c r="RYZ8" s="58"/>
      <c r="RZA8" s="58"/>
      <c r="RZB8" s="58"/>
      <c r="RZC8" s="58"/>
      <c r="RZD8" s="58"/>
      <c r="RZE8" s="58"/>
      <c r="RZF8" s="58"/>
      <c r="RZG8" s="58"/>
      <c r="RZH8" s="58"/>
      <c r="RZI8" s="58"/>
      <c r="RZJ8" s="58"/>
      <c r="RZK8" s="58"/>
      <c r="RZL8" s="58"/>
      <c r="RZM8" s="58"/>
      <c r="RZN8" s="58"/>
      <c r="RZO8" s="58"/>
      <c r="RZP8" s="58"/>
      <c r="RZQ8" s="58"/>
      <c r="RZR8" s="58"/>
      <c r="RZS8" s="58"/>
      <c r="RZT8" s="58"/>
      <c r="RZU8" s="58"/>
      <c r="RZV8" s="58"/>
      <c r="RZW8" s="58"/>
      <c r="RZX8" s="58"/>
      <c r="RZY8" s="58"/>
      <c r="RZZ8" s="58"/>
      <c r="SAA8" s="58"/>
      <c r="SAB8" s="58"/>
      <c r="SAC8" s="58"/>
      <c r="SAD8" s="58"/>
      <c r="SAE8" s="58"/>
      <c r="SAF8" s="58"/>
      <c r="SAG8" s="58"/>
      <c r="SAH8" s="58"/>
      <c r="SAI8" s="58"/>
      <c r="SAJ8" s="58"/>
      <c r="SAK8" s="58"/>
      <c r="SAL8" s="58"/>
      <c r="SAM8" s="58"/>
      <c r="SAN8" s="58"/>
      <c r="SAO8" s="58"/>
      <c r="SAP8" s="58"/>
      <c r="SAQ8" s="58"/>
      <c r="SAR8" s="58"/>
      <c r="SAS8" s="58"/>
      <c r="SAT8" s="58"/>
      <c r="SAU8" s="58"/>
      <c r="SAV8" s="58"/>
      <c r="SAW8" s="58"/>
      <c r="SAX8" s="58"/>
      <c r="SAY8" s="58"/>
      <c r="SAZ8" s="58"/>
      <c r="SBA8" s="58"/>
      <c r="SBB8" s="58"/>
      <c r="SBC8" s="58"/>
      <c r="SBD8" s="58"/>
      <c r="SBE8" s="58"/>
      <c r="SBF8" s="58"/>
      <c r="SBG8" s="58"/>
      <c r="SBH8" s="58"/>
      <c r="SBI8" s="58"/>
      <c r="SBJ8" s="58"/>
      <c r="SBK8" s="58"/>
      <c r="SBL8" s="58"/>
      <c r="SBM8" s="58"/>
      <c r="SBN8" s="58"/>
      <c r="SBO8" s="58"/>
      <c r="SBP8" s="58"/>
      <c r="SBQ8" s="58"/>
      <c r="SBR8" s="58"/>
      <c r="SBS8" s="58"/>
      <c r="SBT8" s="58"/>
      <c r="SBU8" s="58"/>
      <c r="SBV8" s="58"/>
      <c r="SBW8" s="58"/>
      <c r="SBX8" s="58"/>
      <c r="SBY8" s="58"/>
      <c r="SBZ8" s="58"/>
      <c r="SCA8" s="58"/>
      <c r="SCB8" s="58"/>
      <c r="SCC8" s="58"/>
      <c r="SCD8" s="58"/>
      <c r="SCE8" s="58"/>
      <c r="SCF8" s="58"/>
      <c r="SCG8" s="58"/>
      <c r="SCH8" s="58"/>
      <c r="SCI8" s="58"/>
      <c r="SCJ8" s="58"/>
      <c r="SCK8" s="58"/>
      <c r="SCL8" s="58"/>
      <c r="SCM8" s="58"/>
      <c r="SCN8" s="58"/>
      <c r="SCO8" s="58"/>
      <c r="SCP8" s="58"/>
      <c r="SCQ8" s="58"/>
      <c r="SCR8" s="58"/>
      <c r="SCS8" s="58"/>
      <c r="SCT8" s="58"/>
      <c r="SCU8" s="58"/>
      <c r="SCV8" s="58"/>
      <c r="SCW8" s="58"/>
      <c r="SCX8" s="58"/>
      <c r="SCY8" s="58"/>
      <c r="SCZ8" s="58"/>
      <c r="SDA8" s="58"/>
      <c r="SDB8" s="58"/>
      <c r="SDC8" s="58"/>
      <c r="SDD8" s="58"/>
      <c r="SDE8" s="58"/>
      <c r="SDF8" s="58"/>
      <c r="SDG8" s="58"/>
      <c r="SDH8" s="58"/>
      <c r="SDI8" s="58"/>
      <c r="SDJ8" s="58"/>
      <c r="SDK8" s="58"/>
      <c r="SDL8" s="58"/>
      <c r="SDM8" s="58"/>
      <c r="SDN8" s="58"/>
      <c r="SDO8" s="58"/>
      <c r="SDP8" s="58"/>
      <c r="SDQ8" s="58"/>
      <c r="SDR8" s="58"/>
      <c r="SDS8" s="58"/>
      <c r="SDT8" s="58"/>
      <c r="SDU8" s="58"/>
      <c r="SDV8" s="58"/>
      <c r="SDW8" s="58"/>
      <c r="SDX8" s="58"/>
      <c r="SDY8" s="58"/>
      <c r="SDZ8" s="58"/>
      <c r="SEA8" s="58"/>
      <c r="SEB8" s="58"/>
      <c r="SEC8" s="58"/>
      <c r="SED8" s="58"/>
      <c r="SEE8" s="58"/>
      <c r="SEF8" s="58"/>
      <c r="SEG8" s="58"/>
      <c r="SEH8" s="58"/>
      <c r="SEI8" s="58"/>
      <c r="SEJ8" s="58"/>
      <c r="SEK8" s="58"/>
      <c r="SEL8" s="58"/>
      <c r="SEM8" s="58"/>
      <c r="SEN8" s="58"/>
      <c r="SEO8" s="58"/>
      <c r="SEP8" s="58"/>
      <c r="SEQ8" s="58"/>
      <c r="SER8" s="58"/>
      <c r="SES8" s="58"/>
      <c r="SET8" s="58"/>
      <c r="SEU8" s="58"/>
      <c r="SEV8" s="58"/>
      <c r="SEW8" s="58"/>
      <c r="SEX8" s="58"/>
      <c r="SEY8" s="58"/>
      <c r="SEZ8" s="58"/>
      <c r="SFA8" s="58"/>
      <c r="SFB8" s="58"/>
      <c r="SFC8" s="58"/>
      <c r="SFD8" s="58"/>
      <c r="SFE8" s="58"/>
      <c r="SFF8" s="58"/>
      <c r="SFG8" s="58"/>
      <c r="SFH8" s="58"/>
      <c r="SFI8" s="58"/>
      <c r="SFJ8" s="58"/>
      <c r="SFK8" s="58"/>
      <c r="SFL8" s="58"/>
      <c r="SFM8" s="58"/>
      <c r="SFN8" s="58"/>
      <c r="SFO8" s="58"/>
      <c r="SFP8" s="58"/>
      <c r="SFQ8" s="58"/>
      <c r="SFR8" s="58"/>
      <c r="SFS8" s="58"/>
      <c r="SFT8" s="58"/>
      <c r="SFU8" s="58"/>
      <c r="SFV8" s="58"/>
      <c r="SFW8" s="58"/>
      <c r="SFX8" s="58"/>
      <c r="SFY8" s="58"/>
      <c r="SFZ8" s="58"/>
      <c r="SGA8" s="58"/>
      <c r="SGB8" s="58"/>
      <c r="SGC8" s="58"/>
      <c r="SGD8" s="58"/>
      <c r="SGE8" s="58"/>
      <c r="SGF8" s="58"/>
      <c r="SGG8" s="58"/>
      <c r="SGH8" s="58"/>
      <c r="SGI8" s="58"/>
      <c r="SGJ8" s="58"/>
      <c r="SGK8" s="58"/>
      <c r="SGL8" s="58"/>
      <c r="SGM8" s="58"/>
      <c r="SGN8" s="58"/>
      <c r="SGO8" s="58"/>
      <c r="SGP8" s="58"/>
      <c r="SGQ8" s="58"/>
      <c r="SGR8" s="58"/>
      <c r="SGS8" s="58"/>
      <c r="SGT8" s="58"/>
      <c r="SGU8" s="58"/>
      <c r="SGV8" s="58"/>
      <c r="SGW8" s="58"/>
      <c r="SGX8" s="58"/>
      <c r="SGY8" s="58"/>
      <c r="SGZ8" s="58"/>
      <c r="SHA8" s="58"/>
      <c r="SHB8" s="58"/>
      <c r="SHC8" s="58"/>
      <c r="SHD8" s="58"/>
      <c r="SHE8" s="58"/>
      <c r="SHF8" s="58"/>
      <c r="SHG8" s="58"/>
      <c r="SHH8" s="58"/>
      <c r="SHI8" s="58"/>
      <c r="SHJ8" s="58"/>
      <c r="SHK8" s="58"/>
      <c r="SHL8" s="58"/>
      <c r="SHM8" s="58"/>
      <c r="SHN8" s="58"/>
      <c r="SHO8" s="58"/>
      <c r="SHP8" s="58"/>
      <c r="SHQ8" s="58"/>
      <c r="SHR8" s="58"/>
      <c r="SHS8" s="58"/>
      <c r="SHT8" s="58"/>
      <c r="SHU8" s="58"/>
      <c r="SHV8" s="58"/>
      <c r="SHW8" s="58"/>
      <c r="SHX8" s="58"/>
      <c r="SHY8" s="58"/>
      <c r="SHZ8" s="58"/>
      <c r="SIA8" s="58"/>
      <c r="SIB8" s="58"/>
      <c r="SIC8" s="58"/>
      <c r="SID8" s="58"/>
      <c r="SIE8" s="58"/>
      <c r="SIF8" s="58"/>
      <c r="SIG8" s="58"/>
      <c r="SIH8" s="58"/>
      <c r="SII8" s="58"/>
      <c r="SIJ8" s="58"/>
      <c r="SIK8" s="58"/>
      <c r="SIL8" s="58"/>
      <c r="SIM8" s="58"/>
      <c r="SIN8" s="58"/>
      <c r="SIO8" s="58"/>
      <c r="SIP8" s="58"/>
      <c r="SIQ8" s="58"/>
      <c r="SIR8" s="58"/>
      <c r="SIS8" s="58"/>
      <c r="SIT8" s="58"/>
      <c r="SIU8" s="58"/>
      <c r="SIV8" s="58"/>
      <c r="SIW8" s="58"/>
      <c r="SIX8" s="58"/>
      <c r="SIY8" s="58"/>
      <c r="SIZ8" s="58"/>
      <c r="SJA8" s="58"/>
      <c r="SJB8" s="58"/>
      <c r="SJC8" s="58"/>
      <c r="SJD8" s="58"/>
      <c r="SJE8" s="58"/>
      <c r="SJF8" s="58"/>
      <c r="SJG8" s="58"/>
      <c r="SJH8" s="58"/>
      <c r="SJI8" s="58"/>
      <c r="SJJ8" s="58"/>
      <c r="SJK8" s="58"/>
      <c r="SJL8" s="58"/>
      <c r="SJM8" s="58"/>
      <c r="SJN8" s="58"/>
      <c r="SJO8" s="58"/>
      <c r="SJP8" s="58"/>
      <c r="SJQ8" s="58"/>
      <c r="SJR8" s="58"/>
      <c r="SJS8" s="58"/>
      <c r="SJT8" s="58"/>
      <c r="SJU8" s="58"/>
      <c r="SJV8" s="58"/>
      <c r="SJW8" s="58"/>
      <c r="SJX8" s="58"/>
      <c r="SJY8" s="58"/>
      <c r="SJZ8" s="58"/>
      <c r="SKA8" s="58"/>
      <c r="SKB8" s="58"/>
      <c r="SKC8" s="58"/>
      <c r="SKD8" s="58"/>
      <c r="SKE8" s="58"/>
      <c r="SKF8" s="58"/>
      <c r="SKG8" s="58"/>
      <c r="SKH8" s="58"/>
      <c r="SKI8" s="58"/>
      <c r="SKJ8" s="58"/>
      <c r="SKK8" s="58"/>
      <c r="SKL8" s="58"/>
      <c r="SKM8" s="58"/>
      <c r="SKN8" s="58"/>
      <c r="SKO8" s="58"/>
      <c r="SKP8" s="58"/>
      <c r="SKQ8" s="58"/>
      <c r="SKR8" s="58"/>
      <c r="SKS8" s="58"/>
      <c r="SKT8" s="58"/>
      <c r="SKU8" s="58"/>
      <c r="SKV8" s="58"/>
      <c r="SKW8" s="58"/>
      <c r="SKX8" s="58"/>
      <c r="SKY8" s="58"/>
      <c r="SKZ8" s="58"/>
      <c r="SLA8" s="58"/>
      <c r="SLB8" s="58"/>
      <c r="SLC8" s="58"/>
      <c r="SLD8" s="58"/>
      <c r="SLE8" s="58"/>
      <c r="SLF8" s="58"/>
      <c r="SLG8" s="58"/>
      <c r="SLH8" s="58"/>
      <c r="SLI8" s="58"/>
      <c r="SLJ8" s="58"/>
      <c r="SLK8" s="58"/>
      <c r="SLL8" s="58"/>
      <c r="SLM8" s="58"/>
      <c r="SLN8" s="58"/>
      <c r="SLO8" s="58"/>
      <c r="SLP8" s="58"/>
      <c r="SLQ8" s="58"/>
      <c r="SLR8" s="58"/>
      <c r="SLS8" s="58"/>
      <c r="SLT8" s="58"/>
      <c r="SLU8" s="58"/>
      <c r="SLV8" s="58"/>
      <c r="SLW8" s="58"/>
      <c r="SLX8" s="58"/>
      <c r="SLY8" s="58"/>
      <c r="SLZ8" s="58"/>
      <c r="SMA8" s="58"/>
      <c r="SMB8" s="58"/>
      <c r="SMC8" s="58"/>
      <c r="SMD8" s="58"/>
      <c r="SME8" s="58"/>
      <c r="SMF8" s="58"/>
      <c r="SMG8" s="58"/>
      <c r="SMH8" s="58"/>
      <c r="SMI8" s="58"/>
      <c r="SMJ8" s="58"/>
      <c r="SMK8" s="58"/>
      <c r="SML8" s="58"/>
      <c r="SMM8" s="58"/>
      <c r="SMN8" s="58"/>
      <c r="SMO8" s="58"/>
      <c r="SMP8" s="58"/>
      <c r="SMQ8" s="58"/>
      <c r="SMR8" s="58"/>
      <c r="SMS8" s="58"/>
      <c r="SMT8" s="58"/>
      <c r="SMU8" s="58"/>
      <c r="SMV8" s="58"/>
      <c r="SMW8" s="58"/>
      <c r="SMX8" s="58"/>
      <c r="SMY8" s="58"/>
      <c r="SMZ8" s="58"/>
      <c r="SNA8" s="58"/>
      <c r="SNB8" s="58"/>
      <c r="SNC8" s="58"/>
      <c r="SND8" s="58"/>
      <c r="SNE8" s="58"/>
      <c r="SNF8" s="58"/>
      <c r="SNG8" s="58"/>
      <c r="SNH8" s="58"/>
      <c r="SNI8" s="58"/>
      <c r="SNJ8" s="58"/>
      <c r="SNK8" s="58"/>
      <c r="SNL8" s="58"/>
      <c r="SNM8" s="58"/>
      <c r="SNN8" s="58"/>
      <c r="SNO8" s="58"/>
      <c r="SNP8" s="58"/>
      <c r="SNQ8" s="58"/>
      <c r="SNR8" s="58"/>
      <c r="SNS8" s="58"/>
      <c r="SNT8" s="58"/>
      <c r="SNU8" s="58"/>
      <c r="SNV8" s="58"/>
      <c r="SNW8" s="58"/>
      <c r="SNX8" s="58"/>
      <c r="SNY8" s="58"/>
      <c r="SNZ8" s="58"/>
      <c r="SOA8" s="58"/>
      <c r="SOB8" s="58"/>
      <c r="SOC8" s="58"/>
      <c r="SOD8" s="58"/>
      <c r="SOE8" s="58"/>
      <c r="SOF8" s="58"/>
      <c r="SOG8" s="58"/>
      <c r="SOH8" s="58"/>
      <c r="SOI8" s="58"/>
      <c r="SOJ8" s="58"/>
      <c r="SOK8" s="58"/>
      <c r="SOL8" s="58"/>
      <c r="SOM8" s="58"/>
      <c r="SON8" s="58"/>
      <c r="SOO8" s="58"/>
      <c r="SOP8" s="58"/>
      <c r="SOQ8" s="58"/>
      <c r="SOR8" s="58"/>
      <c r="SOS8" s="58"/>
      <c r="SOT8" s="58"/>
      <c r="SOU8" s="58"/>
      <c r="SOV8" s="58"/>
      <c r="SOW8" s="58"/>
      <c r="SOX8" s="58"/>
      <c r="SOY8" s="58"/>
      <c r="SOZ8" s="58"/>
      <c r="SPA8" s="58"/>
      <c r="SPB8" s="58"/>
      <c r="SPC8" s="58"/>
      <c r="SPD8" s="58"/>
      <c r="SPE8" s="58"/>
      <c r="SPF8" s="58"/>
      <c r="SPG8" s="58"/>
      <c r="SPH8" s="58"/>
      <c r="SPI8" s="58"/>
      <c r="SPJ8" s="58"/>
      <c r="SPK8" s="58"/>
      <c r="SPL8" s="58"/>
      <c r="SPM8" s="58"/>
      <c r="SPN8" s="58"/>
      <c r="SPO8" s="58"/>
      <c r="SPP8" s="58"/>
      <c r="SPQ8" s="58"/>
      <c r="SPR8" s="58"/>
      <c r="SPS8" s="58"/>
      <c r="SPT8" s="58"/>
      <c r="SPU8" s="58"/>
      <c r="SPV8" s="58"/>
      <c r="SPW8" s="58"/>
      <c r="SPX8" s="58"/>
      <c r="SPY8" s="58"/>
      <c r="SPZ8" s="58"/>
      <c r="SQA8" s="58"/>
      <c r="SQB8" s="58"/>
      <c r="SQC8" s="58"/>
      <c r="SQD8" s="58"/>
      <c r="SQE8" s="58"/>
      <c r="SQF8" s="58"/>
      <c r="SQG8" s="58"/>
      <c r="SQH8" s="58"/>
      <c r="SQI8" s="58"/>
      <c r="SQJ8" s="58"/>
      <c r="SQK8" s="58"/>
      <c r="SQL8" s="58"/>
      <c r="SQM8" s="58"/>
      <c r="SQN8" s="58"/>
      <c r="SQO8" s="58"/>
      <c r="SQP8" s="58"/>
      <c r="SQQ8" s="58"/>
      <c r="SQR8" s="58"/>
      <c r="SQS8" s="58"/>
      <c r="SQT8" s="58"/>
      <c r="SQU8" s="58"/>
      <c r="SQV8" s="58"/>
      <c r="SQW8" s="58"/>
      <c r="SQX8" s="58"/>
      <c r="SQY8" s="58"/>
      <c r="SQZ8" s="58"/>
      <c r="SRA8" s="58"/>
      <c r="SRB8" s="58"/>
      <c r="SRC8" s="58"/>
      <c r="SRD8" s="58"/>
      <c r="SRE8" s="58"/>
      <c r="SRF8" s="58"/>
      <c r="SRG8" s="58"/>
      <c r="SRH8" s="58"/>
      <c r="SRI8" s="58"/>
      <c r="SRJ8" s="58"/>
      <c r="SRK8" s="58"/>
      <c r="SRL8" s="58"/>
      <c r="SRM8" s="58"/>
      <c r="SRN8" s="58"/>
      <c r="SRO8" s="58"/>
      <c r="SRP8" s="58"/>
      <c r="SRQ8" s="58"/>
      <c r="SRR8" s="58"/>
      <c r="SRS8" s="58"/>
      <c r="SRT8" s="58"/>
      <c r="SRU8" s="58"/>
      <c r="SRV8" s="58"/>
      <c r="SRW8" s="58"/>
      <c r="SRX8" s="58"/>
      <c r="SRY8" s="58"/>
      <c r="SRZ8" s="58"/>
      <c r="SSA8" s="58"/>
      <c r="SSB8" s="58"/>
      <c r="SSC8" s="58"/>
      <c r="SSD8" s="58"/>
      <c r="SSE8" s="58"/>
      <c r="SSF8" s="58"/>
      <c r="SSG8" s="58"/>
      <c r="SSH8" s="58"/>
      <c r="SSI8" s="58"/>
      <c r="SSJ8" s="58"/>
      <c r="SSK8" s="58"/>
      <c r="SSL8" s="58"/>
      <c r="SSM8" s="58"/>
      <c r="SSN8" s="58"/>
      <c r="SSO8" s="58"/>
      <c r="SSP8" s="58"/>
      <c r="SSQ8" s="58"/>
      <c r="SSR8" s="58"/>
      <c r="SSS8" s="58"/>
      <c r="SST8" s="58"/>
      <c r="SSU8" s="58"/>
      <c r="SSV8" s="58"/>
      <c r="SSW8" s="58"/>
      <c r="SSX8" s="58"/>
      <c r="SSY8" s="58"/>
      <c r="SSZ8" s="58"/>
      <c r="STA8" s="58"/>
      <c r="STB8" s="58"/>
      <c r="STC8" s="58"/>
      <c r="STD8" s="58"/>
      <c r="STE8" s="58"/>
      <c r="STF8" s="58"/>
      <c r="STG8" s="58"/>
      <c r="STH8" s="58"/>
      <c r="STI8" s="58"/>
      <c r="STJ8" s="58"/>
      <c r="STK8" s="58"/>
      <c r="STL8" s="58"/>
      <c r="STM8" s="58"/>
      <c r="STN8" s="58"/>
      <c r="STO8" s="58"/>
      <c r="STP8" s="58"/>
      <c r="STQ8" s="58"/>
      <c r="STR8" s="58"/>
      <c r="STS8" s="58"/>
      <c r="STT8" s="58"/>
      <c r="STU8" s="58"/>
      <c r="STV8" s="58"/>
      <c r="STW8" s="58"/>
      <c r="STX8" s="58"/>
      <c r="STY8" s="58"/>
      <c r="STZ8" s="58"/>
      <c r="SUA8" s="58"/>
      <c r="SUB8" s="58"/>
      <c r="SUC8" s="58"/>
      <c r="SUD8" s="58"/>
      <c r="SUE8" s="58"/>
      <c r="SUF8" s="58"/>
      <c r="SUG8" s="58"/>
      <c r="SUH8" s="58"/>
      <c r="SUI8" s="58"/>
      <c r="SUJ8" s="58"/>
      <c r="SUK8" s="58"/>
      <c r="SUL8" s="58"/>
      <c r="SUM8" s="58"/>
      <c r="SUN8" s="58"/>
      <c r="SUO8" s="58"/>
      <c r="SUP8" s="58"/>
      <c r="SUQ8" s="58"/>
      <c r="SUR8" s="58"/>
      <c r="SUS8" s="58"/>
      <c r="SUT8" s="58"/>
      <c r="SUU8" s="58"/>
      <c r="SUV8" s="58"/>
      <c r="SUW8" s="58"/>
      <c r="SUX8" s="58"/>
      <c r="SUY8" s="58"/>
      <c r="SUZ8" s="58"/>
      <c r="SVA8" s="58"/>
      <c r="SVB8" s="58"/>
      <c r="SVC8" s="58"/>
      <c r="SVD8" s="58"/>
      <c r="SVE8" s="58"/>
      <c r="SVF8" s="58"/>
      <c r="SVG8" s="58"/>
      <c r="SVH8" s="58"/>
      <c r="SVI8" s="58"/>
      <c r="SVJ8" s="58"/>
      <c r="SVK8" s="58"/>
      <c r="SVL8" s="58"/>
      <c r="SVM8" s="58"/>
      <c r="SVN8" s="58"/>
      <c r="SVO8" s="58"/>
      <c r="SVP8" s="58"/>
      <c r="SVQ8" s="58"/>
      <c r="SVR8" s="58"/>
      <c r="SVS8" s="58"/>
      <c r="SVT8" s="58"/>
      <c r="SVU8" s="58"/>
      <c r="SVV8" s="58"/>
      <c r="SVW8" s="58"/>
      <c r="SVX8" s="58"/>
      <c r="SVY8" s="58"/>
      <c r="SVZ8" s="58"/>
      <c r="SWA8" s="58"/>
      <c r="SWB8" s="58"/>
      <c r="SWC8" s="58"/>
      <c r="SWD8" s="58"/>
      <c r="SWE8" s="58"/>
      <c r="SWF8" s="58"/>
      <c r="SWG8" s="58"/>
      <c r="SWH8" s="58"/>
      <c r="SWI8" s="58"/>
      <c r="SWJ8" s="58"/>
      <c r="SWK8" s="58"/>
      <c r="SWL8" s="58"/>
      <c r="SWM8" s="58"/>
      <c r="SWN8" s="58"/>
      <c r="SWO8" s="58"/>
      <c r="SWP8" s="58"/>
      <c r="SWQ8" s="58"/>
      <c r="SWR8" s="58"/>
      <c r="SWS8" s="58"/>
      <c r="SWT8" s="58"/>
      <c r="SWU8" s="58"/>
      <c r="SWV8" s="58"/>
      <c r="SWW8" s="58"/>
      <c r="SWX8" s="58"/>
      <c r="SWY8" s="58"/>
      <c r="SWZ8" s="58"/>
      <c r="SXA8" s="58"/>
      <c r="SXB8" s="58"/>
      <c r="SXC8" s="58"/>
      <c r="SXD8" s="58"/>
      <c r="SXE8" s="58"/>
      <c r="SXF8" s="58"/>
      <c r="SXG8" s="58"/>
      <c r="SXH8" s="58"/>
      <c r="SXI8" s="58"/>
      <c r="SXJ8" s="58"/>
      <c r="SXK8" s="58"/>
      <c r="SXL8" s="58"/>
      <c r="SXM8" s="58"/>
      <c r="SXN8" s="58"/>
      <c r="SXO8" s="58"/>
      <c r="SXP8" s="58"/>
      <c r="SXQ8" s="58"/>
      <c r="SXR8" s="58"/>
      <c r="SXS8" s="58"/>
      <c r="SXT8" s="58"/>
      <c r="SXU8" s="58"/>
      <c r="SXV8" s="58"/>
      <c r="SXW8" s="58"/>
      <c r="SXX8" s="58"/>
      <c r="SXY8" s="58"/>
      <c r="SXZ8" s="58"/>
      <c r="SYA8" s="58"/>
      <c r="SYB8" s="58"/>
      <c r="SYC8" s="58"/>
      <c r="SYD8" s="58"/>
      <c r="SYE8" s="58"/>
      <c r="SYF8" s="58"/>
      <c r="SYG8" s="58"/>
      <c r="SYH8" s="58"/>
      <c r="SYI8" s="58"/>
      <c r="SYJ8" s="58"/>
      <c r="SYK8" s="58"/>
      <c r="SYL8" s="58"/>
      <c r="SYM8" s="58"/>
      <c r="SYN8" s="58"/>
      <c r="SYO8" s="58"/>
      <c r="SYP8" s="58"/>
      <c r="SYQ8" s="58"/>
      <c r="SYR8" s="58"/>
      <c r="SYS8" s="58"/>
      <c r="SYT8" s="58"/>
      <c r="SYU8" s="58"/>
      <c r="SYV8" s="58"/>
      <c r="SYW8" s="58"/>
      <c r="SYX8" s="58"/>
      <c r="SYY8" s="58"/>
      <c r="SYZ8" s="58"/>
      <c r="SZA8" s="58"/>
      <c r="SZB8" s="58"/>
      <c r="SZC8" s="58"/>
      <c r="SZD8" s="58"/>
      <c r="SZE8" s="58"/>
      <c r="SZF8" s="58"/>
      <c r="SZG8" s="58"/>
      <c r="SZH8" s="58"/>
      <c r="SZI8" s="58"/>
      <c r="SZJ8" s="58"/>
      <c r="SZK8" s="58"/>
      <c r="SZL8" s="58"/>
      <c r="SZM8" s="58"/>
      <c r="SZN8" s="58"/>
      <c r="SZO8" s="58"/>
      <c r="SZP8" s="58"/>
      <c r="SZQ8" s="58"/>
      <c r="SZR8" s="58"/>
      <c r="SZS8" s="58"/>
      <c r="SZT8" s="58"/>
      <c r="SZU8" s="58"/>
      <c r="SZV8" s="58"/>
      <c r="SZW8" s="58"/>
      <c r="SZX8" s="58"/>
      <c r="SZY8" s="58"/>
      <c r="SZZ8" s="58"/>
      <c r="TAA8" s="58"/>
      <c r="TAB8" s="58"/>
      <c r="TAC8" s="58"/>
      <c r="TAD8" s="58"/>
      <c r="TAE8" s="58"/>
      <c r="TAF8" s="58"/>
      <c r="TAG8" s="58"/>
      <c r="TAH8" s="58"/>
      <c r="TAI8" s="58"/>
      <c r="TAJ8" s="58"/>
      <c r="TAK8" s="58"/>
      <c r="TAL8" s="58"/>
      <c r="TAM8" s="58"/>
      <c r="TAN8" s="58"/>
      <c r="TAO8" s="58"/>
      <c r="TAP8" s="58"/>
      <c r="TAQ8" s="58"/>
      <c r="TAR8" s="58"/>
      <c r="TAS8" s="58"/>
      <c r="TAT8" s="58"/>
      <c r="TAU8" s="58"/>
      <c r="TAV8" s="58"/>
      <c r="TAW8" s="58"/>
      <c r="TAX8" s="58"/>
      <c r="TAY8" s="58"/>
      <c r="TAZ8" s="58"/>
      <c r="TBA8" s="58"/>
      <c r="TBB8" s="58"/>
      <c r="TBC8" s="58"/>
      <c r="TBD8" s="58"/>
      <c r="TBE8" s="58"/>
      <c r="TBF8" s="58"/>
      <c r="TBG8" s="58"/>
      <c r="TBH8" s="58"/>
      <c r="TBI8" s="58"/>
      <c r="TBJ8" s="58"/>
      <c r="TBK8" s="58"/>
      <c r="TBL8" s="58"/>
      <c r="TBM8" s="58"/>
      <c r="TBN8" s="58"/>
      <c r="TBO8" s="58"/>
      <c r="TBP8" s="58"/>
      <c r="TBQ8" s="58"/>
      <c r="TBR8" s="58"/>
      <c r="TBS8" s="58"/>
      <c r="TBT8" s="58"/>
      <c r="TBU8" s="58"/>
      <c r="TBV8" s="58"/>
      <c r="TBW8" s="58"/>
      <c r="TBX8" s="58"/>
      <c r="TBY8" s="58"/>
      <c r="TBZ8" s="58"/>
      <c r="TCA8" s="58"/>
      <c r="TCB8" s="58"/>
      <c r="TCC8" s="58"/>
      <c r="TCD8" s="58"/>
      <c r="TCE8" s="58"/>
      <c r="TCF8" s="58"/>
      <c r="TCG8" s="58"/>
      <c r="TCH8" s="58"/>
      <c r="TCI8" s="58"/>
      <c r="TCJ8" s="58"/>
      <c r="TCK8" s="58"/>
      <c r="TCL8" s="58"/>
      <c r="TCM8" s="58"/>
      <c r="TCN8" s="58"/>
      <c r="TCO8" s="58"/>
      <c r="TCP8" s="58"/>
      <c r="TCQ8" s="58"/>
      <c r="TCR8" s="58"/>
      <c r="TCS8" s="58"/>
      <c r="TCT8" s="58"/>
      <c r="TCU8" s="58"/>
      <c r="TCV8" s="58"/>
      <c r="TCW8" s="58"/>
      <c r="TCX8" s="58"/>
      <c r="TCY8" s="58"/>
      <c r="TCZ8" s="58"/>
      <c r="TDA8" s="58"/>
      <c r="TDB8" s="58"/>
      <c r="TDC8" s="58"/>
      <c r="TDD8" s="58"/>
      <c r="TDE8" s="58"/>
      <c r="TDF8" s="58"/>
      <c r="TDG8" s="58"/>
      <c r="TDH8" s="58"/>
      <c r="TDI8" s="58"/>
      <c r="TDJ8" s="58"/>
      <c r="TDK8" s="58"/>
      <c r="TDL8" s="58"/>
      <c r="TDM8" s="58"/>
      <c r="TDN8" s="58"/>
      <c r="TDO8" s="58"/>
      <c r="TDP8" s="58"/>
      <c r="TDQ8" s="58"/>
      <c r="TDR8" s="58"/>
      <c r="TDS8" s="58"/>
      <c r="TDT8" s="58"/>
      <c r="TDU8" s="58"/>
      <c r="TDV8" s="58"/>
      <c r="TDW8" s="58"/>
      <c r="TDX8" s="58"/>
      <c r="TDY8" s="58"/>
      <c r="TDZ8" s="58"/>
      <c r="TEA8" s="58"/>
      <c r="TEB8" s="58"/>
      <c r="TEC8" s="58"/>
      <c r="TED8" s="58"/>
      <c r="TEE8" s="58"/>
      <c r="TEF8" s="58"/>
      <c r="TEG8" s="58"/>
      <c r="TEH8" s="58"/>
      <c r="TEI8" s="58"/>
      <c r="TEJ8" s="58"/>
      <c r="TEK8" s="58"/>
      <c r="TEL8" s="58"/>
      <c r="TEM8" s="58"/>
      <c r="TEN8" s="58"/>
      <c r="TEO8" s="58"/>
      <c r="TEP8" s="58"/>
      <c r="TEQ8" s="58"/>
      <c r="TER8" s="58"/>
      <c r="TES8" s="58"/>
      <c r="TET8" s="58"/>
      <c r="TEU8" s="58"/>
      <c r="TEV8" s="58"/>
      <c r="TEW8" s="58"/>
      <c r="TEX8" s="58"/>
      <c r="TEY8" s="58"/>
      <c r="TEZ8" s="58"/>
      <c r="TFA8" s="58"/>
      <c r="TFB8" s="58"/>
      <c r="TFC8" s="58"/>
      <c r="TFD8" s="58"/>
      <c r="TFE8" s="58"/>
      <c r="TFF8" s="58"/>
      <c r="TFG8" s="58"/>
      <c r="TFH8" s="58"/>
      <c r="TFI8" s="58"/>
      <c r="TFJ8" s="58"/>
      <c r="TFK8" s="58"/>
      <c r="TFL8" s="58"/>
      <c r="TFM8" s="58"/>
      <c r="TFN8" s="58"/>
      <c r="TFO8" s="58"/>
      <c r="TFP8" s="58"/>
      <c r="TFQ8" s="58"/>
      <c r="TFR8" s="58"/>
      <c r="TFS8" s="58"/>
      <c r="TFT8" s="58"/>
      <c r="TFU8" s="58"/>
      <c r="TFV8" s="58"/>
      <c r="TFW8" s="58"/>
      <c r="TFX8" s="58"/>
      <c r="TFY8" s="58"/>
      <c r="TFZ8" s="58"/>
      <c r="TGA8" s="58"/>
      <c r="TGB8" s="58"/>
      <c r="TGC8" s="58"/>
      <c r="TGD8" s="58"/>
      <c r="TGE8" s="58"/>
      <c r="TGF8" s="58"/>
      <c r="TGG8" s="58"/>
      <c r="TGH8" s="58"/>
      <c r="TGI8" s="58"/>
      <c r="TGJ8" s="58"/>
      <c r="TGK8" s="58"/>
      <c r="TGL8" s="58"/>
      <c r="TGM8" s="58"/>
      <c r="TGN8" s="58"/>
      <c r="TGO8" s="58"/>
      <c r="TGP8" s="58"/>
      <c r="TGQ8" s="58"/>
      <c r="TGR8" s="58"/>
      <c r="TGS8" s="58"/>
      <c r="TGT8" s="58"/>
      <c r="TGU8" s="58"/>
      <c r="TGV8" s="58"/>
      <c r="TGW8" s="58"/>
      <c r="TGX8" s="58"/>
      <c r="TGY8" s="58"/>
      <c r="TGZ8" s="58"/>
      <c r="THA8" s="58"/>
      <c r="THB8" s="58"/>
      <c r="THC8" s="58"/>
      <c r="THD8" s="58"/>
      <c r="THE8" s="58"/>
      <c r="THF8" s="58"/>
      <c r="THG8" s="58"/>
      <c r="THH8" s="58"/>
      <c r="THI8" s="58"/>
      <c r="THJ8" s="58"/>
      <c r="THK8" s="58"/>
      <c r="THL8" s="58"/>
      <c r="THM8" s="58"/>
      <c r="THN8" s="58"/>
      <c r="THO8" s="58"/>
      <c r="THP8" s="58"/>
      <c r="THQ8" s="58"/>
      <c r="THR8" s="58"/>
      <c r="THS8" s="58"/>
      <c r="THT8" s="58"/>
      <c r="THU8" s="58"/>
      <c r="THV8" s="58"/>
      <c r="THW8" s="58"/>
      <c r="THX8" s="58"/>
      <c r="THY8" s="58"/>
      <c r="THZ8" s="58"/>
      <c r="TIA8" s="58"/>
      <c r="TIB8" s="58"/>
      <c r="TIC8" s="58"/>
      <c r="TID8" s="58"/>
      <c r="TIE8" s="58"/>
      <c r="TIF8" s="58"/>
      <c r="TIG8" s="58"/>
      <c r="TIH8" s="58"/>
      <c r="TII8" s="58"/>
      <c r="TIJ8" s="58"/>
      <c r="TIK8" s="58"/>
      <c r="TIL8" s="58"/>
      <c r="TIM8" s="58"/>
      <c r="TIN8" s="58"/>
      <c r="TIO8" s="58"/>
      <c r="TIP8" s="58"/>
      <c r="TIQ8" s="58"/>
      <c r="TIR8" s="58"/>
      <c r="TIS8" s="58"/>
      <c r="TIT8" s="58"/>
      <c r="TIU8" s="58"/>
      <c r="TIV8" s="58"/>
      <c r="TIW8" s="58"/>
      <c r="TIX8" s="58"/>
      <c r="TIY8" s="58"/>
      <c r="TIZ8" s="58"/>
      <c r="TJA8" s="58"/>
      <c r="TJB8" s="58"/>
      <c r="TJC8" s="58"/>
      <c r="TJD8" s="58"/>
      <c r="TJE8" s="58"/>
      <c r="TJF8" s="58"/>
      <c r="TJG8" s="58"/>
      <c r="TJH8" s="58"/>
      <c r="TJI8" s="58"/>
      <c r="TJJ8" s="58"/>
      <c r="TJK8" s="58"/>
      <c r="TJL8" s="58"/>
      <c r="TJM8" s="58"/>
      <c r="TJN8" s="58"/>
      <c r="TJO8" s="58"/>
      <c r="TJP8" s="58"/>
      <c r="TJQ8" s="58"/>
      <c r="TJR8" s="58"/>
      <c r="TJS8" s="58"/>
      <c r="TJT8" s="58"/>
      <c r="TJU8" s="58"/>
      <c r="TJV8" s="58"/>
      <c r="TJW8" s="58"/>
      <c r="TJX8" s="58"/>
      <c r="TJY8" s="58"/>
      <c r="TJZ8" s="58"/>
      <c r="TKA8" s="58"/>
      <c r="TKB8" s="58"/>
      <c r="TKC8" s="58"/>
      <c r="TKD8" s="58"/>
      <c r="TKE8" s="58"/>
      <c r="TKF8" s="58"/>
      <c r="TKG8" s="58"/>
      <c r="TKH8" s="58"/>
      <c r="TKI8" s="58"/>
      <c r="TKJ8" s="58"/>
      <c r="TKK8" s="58"/>
      <c r="TKL8" s="58"/>
      <c r="TKM8" s="58"/>
      <c r="TKN8" s="58"/>
      <c r="TKO8" s="58"/>
      <c r="TKP8" s="58"/>
      <c r="TKQ8" s="58"/>
      <c r="TKR8" s="58"/>
      <c r="TKS8" s="58"/>
      <c r="TKT8" s="58"/>
      <c r="TKU8" s="58"/>
      <c r="TKV8" s="58"/>
      <c r="TKW8" s="58"/>
      <c r="TKX8" s="58"/>
      <c r="TKY8" s="58"/>
      <c r="TKZ8" s="58"/>
      <c r="TLA8" s="58"/>
      <c r="TLB8" s="58"/>
      <c r="TLC8" s="58"/>
      <c r="TLD8" s="58"/>
      <c r="TLE8" s="58"/>
      <c r="TLF8" s="58"/>
      <c r="TLG8" s="58"/>
      <c r="TLH8" s="58"/>
      <c r="TLI8" s="58"/>
      <c r="TLJ8" s="58"/>
      <c r="TLK8" s="58"/>
      <c r="TLL8" s="58"/>
      <c r="TLM8" s="58"/>
      <c r="TLN8" s="58"/>
      <c r="TLO8" s="58"/>
      <c r="TLP8" s="58"/>
      <c r="TLQ8" s="58"/>
      <c r="TLR8" s="58"/>
      <c r="TLS8" s="58"/>
      <c r="TLT8" s="58"/>
      <c r="TLU8" s="58"/>
      <c r="TLV8" s="58"/>
      <c r="TLW8" s="58"/>
      <c r="TLX8" s="58"/>
      <c r="TLY8" s="58"/>
      <c r="TLZ8" s="58"/>
      <c r="TMA8" s="58"/>
      <c r="TMB8" s="58"/>
      <c r="TMC8" s="58"/>
      <c r="TMD8" s="58"/>
      <c r="TME8" s="58"/>
      <c r="TMF8" s="58"/>
      <c r="TMG8" s="58"/>
      <c r="TMH8" s="58"/>
      <c r="TMI8" s="58"/>
      <c r="TMJ8" s="58"/>
      <c r="TMK8" s="58"/>
      <c r="TML8" s="58"/>
      <c r="TMM8" s="58"/>
      <c r="TMN8" s="58"/>
      <c r="TMO8" s="58"/>
      <c r="TMP8" s="58"/>
      <c r="TMQ8" s="58"/>
      <c r="TMR8" s="58"/>
      <c r="TMS8" s="58"/>
      <c r="TMT8" s="58"/>
      <c r="TMU8" s="58"/>
      <c r="TMV8" s="58"/>
      <c r="TMW8" s="58"/>
      <c r="TMX8" s="58"/>
      <c r="TMY8" s="58"/>
      <c r="TMZ8" s="58"/>
      <c r="TNA8" s="58"/>
      <c r="TNB8" s="58"/>
      <c r="TNC8" s="58"/>
      <c r="TND8" s="58"/>
      <c r="TNE8" s="58"/>
      <c r="TNF8" s="58"/>
      <c r="TNG8" s="58"/>
      <c r="TNH8" s="58"/>
      <c r="TNI8" s="58"/>
      <c r="TNJ8" s="58"/>
      <c r="TNK8" s="58"/>
      <c r="TNL8" s="58"/>
      <c r="TNM8" s="58"/>
      <c r="TNN8" s="58"/>
      <c r="TNO8" s="58"/>
      <c r="TNP8" s="58"/>
      <c r="TNQ8" s="58"/>
      <c r="TNR8" s="58"/>
      <c r="TNS8" s="58"/>
      <c r="TNT8" s="58"/>
      <c r="TNU8" s="58"/>
      <c r="TNV8" s="58"/>
      <c r="TNW8" s="58"/>
      <c r="TNX8" s="58"/>
      <c r="TNY8" s="58"/>
      <c r="TNZ8" s="58"/>
      <c r="TOA8" s="58"/>
      <c r="TOB8" s="58"/>
      <c r="TOC8" s="58"/>
      <c r="TOD8" s="58"/>
      <c r="TOE8" s="58"/>
      <c r="TOF8" s="58"/>
      <c r="TOG8" s="58"/>
      <c r="TOH8" s="58"/>
      <c r="TOI8" s="58"/>
      <c r="TOJ8" s="58"/>
      <c r="TOK8" s="58"/>
      <c r="TOL8" s="58"/>
      <c r="TOM8" s="58"/>
      <c r="TON8" s="58"/>
      <c r="TOO8" s="58"/>
      <c r="TOP8" s="58"/>
      <c r="TOQ8" s="58"/>
      <c r="TOR8" s="58"/>
      <c r="TOS8" s="58"/>
      <c r="TOT8" s="58"/>
      <c r="TOU8" s="58"/>
      <c r="TOV8" s="58"/>
      <c r="TOW8" s="58"/>
      <c r="TOX8" s="58"/>
      <c r="TOY8" s="58"/>
      <c r="TOZ8" s="58"/>
      <c r="TPA8" s="58"/>
      <c r="TPB8" s="58"/>
      <c r="TPC8" s="58"/>
      <c r="TPD8" s="58"/>
      <c r="TPE8" s="58"/>
      <c r="TPF8" s="58"/>
      <c r="TPG8" s="58"/>
      <c r="TPH8" s="58"/>
      <c r="TPI8" s="58"/>
      <c r="TPJ8" s="58"/>
      <c r="TPK8" s="58"/>
      <c r="TPL8" s="58"/>
      <c r="TPM8" s="58"/>
      <c r="TPN8" s="58"/>
      <c r="TPO8" s="58"/>
      <c r="TPP8" s="58"/>
      <c r="TPQ8" s="58"/>
      <c r="TPR8" s="58"/>
      <c r="TPS8" s="58"/>
      <c r="TPT8" s="58"/>
      <c r="TPU8" s="58"/>
      <c r="TPV8" s="58"/>
      <c r="TPW8" s="58"/>
      <c r="TPX8" s="58"/>
      <c r="TPY8" s="58"/>
      <c r="TPZ8" s="58"/>
      <c r="TQA8" s="58"/>
      <c r="TQB8" s="58"/>
      <c r="TQC8" s="58"/>
      <c r="TQD8" s="58"/>
      <c r="TQE8" s="58"/>
      <c r="TQF8" s="58"/>
      <c r="TQG8" s="58"/>
      <c r="TQH8" s="58"/>
      <c r="TQI8" s="58"/>
      <c r="TQJ8" s="58"/>
      <c r="TQK8" s="58"/>
      <c r="TQL8" s="58"/>
      <c r="TQM8" s="58"/>
      <c r="TQN8" s="58"/>
      <c r="TQO8" s="58"/>
      <c r="TQP8" s="58"/>
      <c r="TQQ8" s="58"/>
      <c r="TQR8" s="58"/>
      <c r="TQS8" s="58"/>
      <c r="TQT8" s="58"/>
      <c r="TQU8" s="58"/>
      <c r="TQV8" s="58"/>
      <c r="TQW8" s="58"/>
      <c r="TQX8" s="58"/>
      <c r="TQY8" s="58"/>
      <c r="TQZ8" s="58"/>
      <c r="TRA8" s="58"/>
      <c r="TRB8" s="58"/>
      <c r="TRC8" s="58"/>
      <c r="TRD8" s="58"/>
      <c r="TRE8" s="58"/>
      <c r="TRF8" s="58"/>
      <c r="TRG8" s="58"/>
      <c r="TRH8" s="58"/>
      <c r="TRI8" s="58"/>
      <c r="TRJ8" s="58"/>
      <c r="TRK8" s="58"/>
      <c r="TRL8" s="58"/>
      <c r="TRM8" s="58"/>
      <c r="TRN8" s="58"/>
      <c r="TRO8" s="58"/>
      <c r="TRP8" s="58"/>
      <c r="TRQ8" s="58"/>
      <c r="TRR8" s="58"/>
      <c r="TRS8" s="58"/>
      <c r="TRT8" s="58"/>
      <c r="TRU8" s="58"/>
      <c r="TRV8" s="58"/>
      <c r="TRW8" s="58"/>
      <c r="TRX8" s="58"/>
      <c r="TRY8" s="58"/>
      <c r="TRZ8" s="58"/>
      <c r="TSA8" s="58"/>
      <c r="TSB8" s="58"/>
      <c r="TSC8" s="58"/>
      <c r="TSD8" s="58"/>
      <c r="TSE8" s="58"/>
      <c r="TSF8" s="58"/>
      <c r="TSG8" s="58"/>
      <c r="TSH8" s="58"/>
      <c r="TSI8" s="58"/>
      <c r="TSJ8" s="58"/>
      <c r="TSK8" s="58"/>
      <c r="TSL8" s="58"/>
      <c r="TSM8" s="58"/>
      <c r="TSN8" s="58"/>
      <c r="TSO8" s="58"/>
      <c r="TSP8" s="58"/>
      <c r="TSQ8" s="58"/>
      <c r="TSR8" s="58"/>
      <c r="TSS8" s="58"/>
      <c r="TST8" s="58"/>
      <c r="TSU8" s="58"/>
      <c r="TSV8" s="58"/>
      <c r="TSW8" s="58"/>
      <c r="TSX8" s="58"/>
      <c r="TSY8" s="58"/>
      <c r="TSZ8" s="58"/>
      <c r="TTA8" s="58"/>
      <c r="TTB8" s="58"/>
      <c r="TTC8" s="58"/>
      <c r="TTD8" s="58"/>
      <c r="TTE8" s="58"/>
      <c r="TTF8" s="58"/>
      <c r="TTG8" s="58"/>
      <c r="TTH8" s="58"/>
      <c r="TTI8" s="58"/>
      <c r="TTJ8" s="58"/>
      <c r="TTK8" s="58"/>
      <c r="TTL8" s="58"/>
      <c r="TTM8" s="58"/>
      <c r="TTN8" s="58"/>
      <c r="TTO8" s="58"/>
      <c r="TTP8" s="58"/>
      <c r="TTQ8" s="58"/>
      <c r="TTR8" s="58"/>
      <c r="TTS8" s="58"/>
      <c r="TTT8" s="58"/>
      <c r="TTU8" s="58"/>
      <c r="TTV8" s="58"/>
      <c r="TTW8" s="58"/>
      <c r="TTX8" s="58"/>
      <c r="TTY8" s="58"/>
      <c r="TTZ8" s="58"/>
      <c r="TUA8" s="58"/>
      <c r="TUB8" s="58"/>
      <c r="TUC8" s="58"/>
      <c r="TUD8" s="58"/>
      <c r="TUE8" s="58"/>
      <c r="TUF8" s="58"/>
      <c r="TUG8" s="58"/>
      <c r="TUH8" s="58"/>
      <c r="TUI8" s="58"/>
      <c r="TUJ8" s="58"/>
      <c r="TUK8" s="58"/>
      <c r="TUL8" s="58"/>
      <c r="TUM8" s="58"/>
      <c r="TUN8" s="58"/>
      <c r="TUO8" s="58"/>
      <c r="TUP8" s="58"/>
      <c r="TUQ8" s="58"/>
      <c r="TUR8" s="58"/>
      <c r="TUS8" s="58"/>
      <c r="TUT8" s="58"/>
      <c r="TUU8" s="58"/>
      <c r="TUV8" s="58"/>
      <c r="TUW8" s="58"/>
      <c r="TUX8" s="58"/>
      <c r="TUY8" s="58"/>
      <c r="TUZ8" s="58"/>
      <c r="TVA8" s="58"/>
      <c r="TVB8" s="58"/>
      <c r="TVC8" s="58"/>
      <c r="TVD8" s="58"/>
      <c r="TVE8" s="58"/>
      <c r="TVF8" s="58"/>
      <c r="TVG8" s="58"/>
      <c r="TVH8" s="58"/>
      <c r="TVI8" s="58"/>
      <c r="TVJ8" s="58"/>
      <c r="TVK8" s="58"/>
      <c r="TVL8" s="58"/>
      <c r="TVM8" s="58"/>
      <c r="TVN8" s="58"/>
      <c r="TVO8" s="58"/>
      <c r="TVP8" s="58"/>
      <c r="TVQ8" s="58"/>
      <c r="TVR8" s="58"/>
      <c r="TVS8" s="58"/>
      <c r="TVT8" s="58"/>
      <c r="TVU8" s="58"/>
      <c r="TVV8" s="58"/>
      <c r="TVW8" s="58"/>
      <c r="TVX8" s="58"/>
      <c r="TVY8" s="58"/>
      <c r="TVZ8" s="58"/>
      <c r="TWA8" s="58"/>
      <c r="TWB8" s="58"/>
      <c r="TWC8" s="58"/>
      <c r="TWD8" s="58"/>
      <c r="TWE8" s="58"/>
      <c r="TWF8" s="58"/>
      <c r="TWG8" s="58"/>
      <c r="TWH8" s="58"/>
      <c r="TWI8" s="58"/>
      <c r="TWJ8" s="58"/>
      <c r="TWK8" s="58"/>
      <c r="TWL8" s="58"/>
      <c r="TWM8" s="58"/>
      <c r="TWN8" s="58"/>
      <c r="TWO8" s="58"/>
      <c r="TWP8" s="58"/>
      <c r="TWQ8" s="58"/>
      <c r="TWR8" s="58"/>
      <c r="TWS8" s="58"/>
      <c r="TWT8" s="58"/>
      <c r="TWU8" s="58"/>
      <c r="TWV8" s="58"/>
      <c r="TWW8" s="58"/>
      <c r="TWX8" s="58"/>
      <c r="TWY8" s="58"/>
      <c r="TWZ8" s="58"/>
      <c r="TXA8" s="58"/>
      <c r="TXB8" s="58"/>
      <c r="TXC8" s="58"/>
      <c r="TXD8" s="58"/>
      <c r="TXE8" s="58"/>
      <c r="TXF8" s="58"/>
      <c r="TXG8" s="58"/>
      <c r="TXH8" s="58"/>
      <c r="TXI8" s="58"/>
      <c r="TXJ8" s="58"/>
      <c r="TXK8" s="58"/>
      <c r="TXL8" s="58"/>
      <c r="TXM8" s="58"/>
      <c r="TXN8" s="58"/>
      <c r="TXO8" s="58"/>
      <c r="TXP8" s="58"/>
      <c r="TXQ8" s="58"/>
      <c r="TXR8" s="58"/>
      <c r="TXS8" s="58"/>
      <c r="TXT8" s="58"/>
      <c r="TXU8" s="58"/>
      <c r="TXV8" s="58"/>
      <c r="TXW8" s="58"/>
      <c r="TXX8" s="58"/>
      <c r="TXY8" s="58"/>
      <c r="TXZ8" s="58"/>
      <c r="TYA8" s="58"/>
      <c r="TYB8" s="58"/>
      <c r="TYC8" s="58"/>
      <c r="TYD8" s="58"/>
      <c r="TYE8" s="58"/>
      <c r="TYF8" s="58"/>
      <c r="TYG8" s="58"/>
      <c r="TYH8" s="58"/>
      <c r="TYI8" s="58"/>
      <c r="TYJ8" s="58"/>
      <c r="TYK8" s="58"/>
      <c r="TYL8" s="58"/>
      <c r="TYM8" s="58"/>
      <c r="TYN8" s="58"/>
      <c r="TYO8" s="58"/>
      <c r="TYP8" s="58"/>
      <c r="TYQ8" s="58"/>
      <c r="TYR8" s="58"/>
      <c r="TYS8" s="58"/>
      <c r="TYT8" s="58"/>
      <c r="TYU8" s="58"/>
      <c r="TYV8" s="58"/>
      <c r="TYW8" s="58"/>
      <c r="TYX8" s="58"/>
      <c r="TYY8" s="58"/>
      <c r="TYZ8" s="58"/>
      <c r="TZA8" s="58"/>
      <c r="TZB8" s="58"/>
      <c r="TZC8" s="58"/>
      <c r="TZD8" s="58"/>
      <c r="TZE8" s="58"/>
      <c r="TZF8" s="58"/>
      <c r="TZG8" s="58"/>
      <c r="TZH8" s="58"/>
      <c r="TZI8" s="58"/>
      <c r="TZJ8" s="58"/>
      <c r="TZK8" s="58"/>
      <c r="TZL8" s="58"/>
      <c r="TZM8" s="58"/>
      <c r="TZN8" s="58"/>
      <c r="TZO8" s="58"/>
      <c r="TZP8" s="58"/>
      <c r="TZQ8" s="58"/>
      <c r="TZR8" s="58"/>
      <c r="TZS8" s="58"/>
      <c r="TZT8" s="58"/>
      <c r="TZU8" s="58"/>
      <c r="TZV8" s="58"/>
      <c r="TZW8" s="58"/>
      <c r="TZX8" s="58"/>
      <c r="TZY8" s="58"/>
      <c r="TZZ8" s="58"/>
      <c r="UAA8" s="58"/>
      <c r="UAB8" s="58"/>
      <c r="UAC8" s="58"/>
      <c r="UAD8" s="58"/>
      <c r="UAE8" s="58"/>
      <c r="UAF8" s="58"/>
      <c r="UAG8" s="58"/>
      <c r="UAH8" s="58"/>
      <c r="UAI8" s="58"/>
      <c r="UAJ8" s="58"/>
      <c r="UAK8" s="58"/>
      <c r="UAL8" s="58"/>
      <c r="UAM8" s="58"/>
      <c r="UAN8" s="58"/>
      <c r="UAO8" s="58"/>
      <c r="UAP8" s="58"/>
      <c r="UAQ8" s="58"/>
      <c r="UAR8" s="58"/>
      <c r="UAS8" s="58"/>
      <c r="UAT8" s="58"/>
      <c r="UAU8" s="58"/>
      <c r="UAV8" s="58"/>
      <c r="UAW8" s="58"/>
      <c r="UAX8" s="58"/>
      <c r="UAY8" s="58"/>
      <c r="UAZ8" s="58"/>
      <c r="UBA8" s="58"/>
      <c r="UBB8" s="58"/>
      <c r="UBC8" s="58"/>
      <c r="UBD8" s="58"/>
      <c r="UBE8" s="58"/>
      <c r="UBF8" s="58"/>
      <c r="UBG8" s="58"/>
      <c r="UBH8" s="58"/>
      <c r="UBI8" s="58"/>
      <c r="UBJ8" s="58"/>
      <c r="UBK8" s="58"/>
      <c r="UBL8" s="58"/>
      <c r="UBM8" s="58"/>
      <c r="UBN8" s="58"/>
      <c r="UBO8" s="58"/>
      <c r="UBP8" s="58"/>
      <c r="UBQ8" s="58"/>
      <c r="UBR8" s="58"/>
      <c r="UBS8" s="58"/>
      <c r="UBT8" s="58"/>
      <c r="UBU8" s="58"/>
      <c r="UBV8" s="58"/>
      <c r="UBW8" s="58"/>
      <c r="UBX8" s="58"/>
      <c r="UBY8" s="58"/>
      <c r="UBZ8" s="58"/>
      <c r="UCA8" s="58"/>
      <c r="UCB8" s="58"/>
      <c r="UCC8" s="58"/>
      <c r="UCD8" s="58"/>
      <c r="UCE8" s="58"/>
      <c r="UCF8" s="58"/>
      <c r="UCG8" s="58"/>
      <c r="UCH8" s="58"/>
      <c r="UCI8" s="58"/>
      <c r="UCJ8" s="58"/>
      <c r="UCK8" s="58"/>
      <c r="UCL8" s="58"/>
      <c r="UCM8" s="58"/>
      <c r="UCN8" s="58"/>
      <c r="UCO8" s="58"/>
      <c r="UCP8" s="58"/>
      <c r="UCQ8" s="58"/>
      <c r="UCR8" s="58"/>
      <c r="UCS8" s="58"/>
      <c r="UCT8" s="58"/>
      <c r="UCU8" s="58"/>
      <c r="UCV8" s="58"/>
      <c r="UCW8" s="58"/>
      <c r="UCX8" s="58"/>
      <c r="UCY8" s="58"/>
      <c r="UCZ8" s="58"/>
      <c r="UDA8" s="58"/>
      <c r="UDB8" s="58"/>
      <c r="UDC8" s="58"/>
      <c r="UDD8" s="58"/>
      <c r="UDE8" s="58"/>
      <c r="UDF8" s="58"/>
      <c r="UDG8" s="58"/>
      <c r="UDH8" s="58"/>
      <c r="UDI8" s="58"/>
      <c r="UDJ8" s="58"/>
      <c r="UDK8" s="58"/>
      <c r="UDL8" s="58"/>
      <c r="UDM8" s="58"/>
      <c r="UDN8" s="58"/>
      <c r="UDO8" s="58"/>
      <c r="UDP8" s="58"/>
      <c r="UDQ8" s="58"/>
      <c r="UDR8" s="58"/>
      <c r="UDS8" s="58"/>
      <c r="UDT8" s="58"/>
      <c r="UDU8" s="58"/>
      <c r="UDV8" s="58"/>
      <c r="UDW8" s="58"/>
      <c r="UDX8" s="58"/>
      <c r="UDY8" s="58"/>
      <c r="UDZ8" s="58"/>
      <c r="UEA8" s="58"/>
      <c r="UEB8" s="58"/>
      <c r="UEC8" s="58"/>
      <c r="UED8" s="58"/>
      <c r="UEE8" s="58"/>
      <c r="UEF8" s="58"/>
      <c r="UEG8" s="58"/>
      <c r="UEH8" s="58"/>
      <c r="UEI8" s="58"/>
      <c r="UEJ8" s="58"/>
      <c r="UEK8" s="58"/>
      <c r="UEL8" s="58"/>
      <c r="UEM8" s="58"/>
      <c r="UEN8" s="58"/>
      <c r="UEO8" s="58"/>
      <c r="UEP8" s="58"/>
      <c r="UEQ8" s="58"/>
      <c r="UER8" s="58"/>
      <c r="UES8" s="58"/>
      <c r="UET8" s="58"/>
      <c r="UEU8" s="58"/>
      <c r="UEV8" s="58"/>
      <c r="UEW8" s="58"/>
      <c r="UEX8" s="58"/>
      <c r="UEY8" s="58"/>
      <c r="UEZ8" s="58"/>
      <c r="UFA8" s="58"/>
      <c r="UFB8" s="58"/>
      <c r="UFC8" s="58"/>
      <c r="UFD8" s="58"/>
      <c r="UFE8" s="58"/>
      <c r="UFF8" s="58"/>
      <c r="UFG8" s="58"/>
      <c r="UFH8" s="58"/>
      <c r="UFI8" s="58"/>
      <c r="UFJ8" s="58"/>
      <c r="UFK8" s="58"/>
      <c r="UFL8" s="58"/>
      <c r="UFM8" s="58"/>
      <c r="UFN8" s="58"/>
      <c r="UFO8" s="58"/>
      <c r="UFP8" s="58"/>
      <c r="UFQ8" s="58"/>
      <c r="UFR8" s="58"/>
      <c r="UFS8" s="58"/>
      <c r="UFT8" s="58"/>
      <c r="UFU8" s="58"/>
      <c r="UFV8" s="58"/>
      <c r="UFW8" s="58"/>
      <c r="UFX8" s="58"/>
      <c r="UFY8" s="58"/>
      <c r="UFZ8" s="58"/>
      <c r="UGA8" s="58"/>
      <c r="UGB8" s="58"/>
      <c r="UGC8" s="58"/>
      <c r="UGD8" s="58"/>
      <c r="UGE8" s="58"/>
      <c r="UGF8" s="58"/>
      <c r="UGG8" s="58"/>
      <c r="UGH8" s="58"/>
      <c r="UGI8" s="58"/>
      <c r="UGJ8" s="58"/>
      <c r="UGK8" s="58"/>
      <c r="UGL8" s="58"/>
      <c r="UGM8" s="58"/>
      <c r="UGN8" s="58"/>
      <c r="UGO8" s="58"/>
      <c r="UGP8" s="58"/>
      <c r="UGQ8" s="58"/>
      <c r="UGR8" s="58"/>
      <c r="UGS8" s="58"/>
      <c r="UGT8" s="58"/>
      <c r="UGU8" s="58"/>
      <c r="UGV8" s="58"/>
      <c r="UGW8" s="58"/>
      <c r="UGX8" s="58"/>
      <c r="UGY8" s="58"/>
      <c r="UGZ8" s="58"/>
      <c r="UHA8" s="58"/>
      <c r="UHB8" s="58"/>
      <c r="UHC8" s="58"/>
      <c r="UHD8" s="58"/>
      <c r="UHE8" s="58"/>
      <c r="UHF8" s="58"/>
      <c r="UHG8" s="58"/>
      <c r="UHH8" s="58"/>
      <c r="UHI8" s="58"/>
      <c r="UHJ8" s="58"/>
      <c r="UHK8" s="58"/>
      <c r="UHL8" s="58"/>
      <c r="UHM8" s="58"/>
      <c r="UHN8" s="58"/>
      <c r="UHO8" s="58"/>
      <c r="UHP8" s="58"/>
      <c r="UHQ8" s="58"/>
      <c r="UHR8" s="58"/>
      <c r="UHS8" s="58"/>
      <c r="UHT8" s="58"/>
      <c r="UHU8" s="58"/>
      <c r="UHV8" s="58"/>
      <c r="UHW8" s="58"/>
      <c r="UHX8" s="58"/>
      <c r="UHY8" s="58"/>
      <c r="UHZ8" s="58"/>
      <c r="UIA8" s="58"/>
      <c r="UIB8" s="58"/>
      <c r="UIC8" s="58"/>
      <c r="UID8" s="58"/>
      <c r="UIE8" s="58"/>
      <c r="UIF8" s="58"/>
      <c r="UIG8" s="58"/>
      <c r="UIH8" s="58"/>
      <c r="UII8" s="58"/>
      <c r="UIJ8" s="58"/>
      <c r="UIK8" s="58"/>
      <c r="UIL8" s="58"/>
      <c r="UIM8" s="58"/>
      <c r="UIN8" s="58"/>
      <c r="UIO8" s="58"/>
      <c r="UIP8" s="58"/>
      <c r="UIQ8" s="58"/>
      <c r="UIR8" s="58"/>
      <c r="UIS8" s="58"/>
      <c r="UIT8" s="58"/>
      <c r="UIU8" s="58"/>
      <c r="UIV8" s="58"/>
      <c r="UIW8" s="58"/>
      <c r="UIX8" s="58"/>
      <c r="UIY8" s="58"/>
      <c r="UIZ8" s="58"/>
      <c r="UJA8" s="58"/>
      <c r="UJB8" s="58"/>
      <c r="UJC8" s="58"/>
      <c r="UJD8" s="58"/>
      <c r="UJE8" s="58"/>
      <c r="UJF8" s="58"/>
      <c r="UJG8" s="58"/>
      <c r="UJH8" s="58"/>
      <c r="UJI8" s="58"/>
      <c r="UJJ8" s="58"/>
      <c r="UJK8" s="58"/>
      <c r="UJL8" s="58"/>
      <c r="UJM8" s="58"/>
      <c r="UJN8" s="58"/>
      <c r="UJO8" s="58"/>
      <c r="UJP8" s="58"/>
      <c r="UJQ8" s="58"/>
      <c r="UJR8" s="58"/>
      <c r="UJS8" s="58"/>
      <c r="UJT8" s="58"/>
      <c r="UJU8" s="58"/>
      <c r="UJV8" s="58"/>
      <c r="UJW8" s="58"/>
      <c r="UJX8" s="58"/>
      <c r="UJY8" s="58"/>
      <c r="UJZ8" s="58"/>
      <c r="UKA8" s="58"/>
      <c r="UKB8" s="58"/>
      <c r="UKC8" s="58"/>
      <c r="UKD8" s="58"/>
      <c r="UKE8" s="58"/>
      <c r="UKF8" s="58"/>
      <c r="UKG8" s="58"/>
      <c r="UKH8" s="58"/>
      <c r="UKI8" s="58"/>
      <c r="UKJ8" s="58"/>
      <c r="UKK8" s="58"/>
      <c r="UKL8" s="58"/>
      <c r="UKM8" s="58"/>
      <c r="UKN8" s="58"/>
      <c r="UKO8" s="58"/>
      <c r="UKP8" s="58"/>
      <c r="UKQ8" s="58"/>
      <c r="UKR8" s="58"/>
      <c r="UKS8" s="58"/>
      <c r="UKT8" s="58"/>
      <c r="UKU8" s="58"/>
      <c r="UKV8" s="58"/>
      <c r="UKW8" s="58"/>
      <c r="UKX8" s="58"/>
      <c r="UKY8" s="58"/>
      <c r="UKZ8" s="58"/>
      <c r="ULA8" s="58"/>
      <c r="ULB8" s="58"/>
      <c r="ULC8" s="58"/>
      <c r="ULD8" s="58"/>
      <c r="ULE8" s="58"/>
      <c r="ULF8" s="58"/>
      <c r="ULG8" s="58"/>
      <c r="ULH8" s="58"/>
      <c r="ULI8" s="58"/>
      <c r="ULJ8" s="58"/>
      <c r="ULK8" s="58"/>
      <c r="ULL8" s="58"/>
      <c r="ULM8" s="58"/>
      <c r="ULN8" s="58"/>
      <c r="ULO8" s="58"/>
      <c r="ULP8" s="58"/>
      <c r="ULQ8" s="58"/>
      <c r="ULR8" s="58"/>
      <c r="ULS8" s="58"/>
      <c r="ULT8" s="58"/>
      <c r="ULU8" s="58"/>
      <c r="ULV8" s="58"/>
      <c r="ULW8" s="58"/>
      <c r="ULX8" s="58"/>
      <c r="ULY8" s="58"/>
      <c r="ULZ8" s="58"/>
      <c r="UMA8" s="58"/>
      <c r="UMB8" s="58"/>
      <c r="UMC8" s="58"/>
      <c r="UMD8" s="58"/>
      <c r="UME8" s="58"/>
      <c r="UMF8" s="58"/>
      <c r="UMG8" s="58"/>
      <c r="UMH8" s="58"/>
      <c r="UMI8" s="58"/>
      <c r="UMJ8" s="58"/>
      <c r="UMK8" s="58"/>
      <c r="UML8" s="58"/>
      <c r="UMM8" s="58"/>
      <c r="UMN8" s="58"/>
      <c r="UMO8" s="58"/>
      <c r="UMP8" s="58"/>
      <c r="UMQ8" s="58"/>
      <c r="UMR8" s="58"/>
      <c r="UMS8" s="58"/>
      <c r="UMT8" s="58"/>
      <c r="UMU8" s="58"/>
      <c r="UMV8" s="58"/>
      <c r="UMW8" s="58"/>
      <c r="UMX8" s="58"/>
      <c r="UMY8" s="58"/>
      <c r="UMZ8" s="58"/>
      <c r="UNA8" s="58"/>
      <c r="UNB8" s="58"/>
      <c r="UNC8" s="58"/>
      <c r="UND8" s="58"/>
      <c r="UNE8" s="58"/>
      <c r="UNF8" s="58"/>
      <c r="UNG8" s="58"/>
      <c r="UNH8" s="58"/>
      <c r="UNI8" s="58"/>
      <c r="UNJ8" s="58"/>
      <c r="UNK8" s="58"/>
      <c r="UNL8" s="58"/>
      <c r="UNM8" s="58"/>
      <c r="UNN8" s="58"/>
      <c r="UNO8" s="58"/>
      <c r="UNP8" s="58"/>
      <c r="UNQ8" s="58"/>
      <c r="UNR8" s="58"/>
      <c r="UNS8" s="58"/>
      <c r="UNT8" s="58"/>
      <c r="UNU8" s="58"/>
      <c r="UNV8" s="58"/>
      <c r="UNW8" s="58"/>
      <c r="UNX8" s="58"/>
      <c r="UNY8" s="58"/>
      <c r="UNZ8" s="58"/>
      <c r="UOA8" s="58"/>
      <c r="UOB8" s="58"/>
      <c r="UOC8" s="58"/>
      <c r="UOD8" s="58"/>
      <c r="UOE8" s="58"/>
      <c r="UOF8" s="58"/>
      <c r="UOG8" s="58"/>
      <c r="UOH8" s="58"/>
      <c r="UOI8" s="58"/>
      <c r="UOJ8" s="58"/>
      <c r="UOK8" s="58"/>
      <c r="UOL8" s="58"/>
      <c r="UOM8" s="58"/>
      <c r="UON8" s="58"/>
      <c r="UOO8" s="58"/>
      <c r="UOP8" s="58"/>
      <c r="UOQ8" s="58"/>
      <c r="UOR8" s="58"/>
      <c r="UOS8" s="58"/>
      <c r="UOT8" s="58"/>
      <c r="UOU8" s="58"/>
      <c r="UOV8" s="58"/>
      <c r="UOW8" s="58"/>
      <c r="UOX8" s="58"/>
      <c r="UOY8" s="58"/>
      <c r="UOZ8" s="58"/>
      <c r="UPA8" s="58"/>
      <c r="UPB8" s="58"/>
      <c r="UPC8" s="58"/>
      <c r="UPD8" s="58"/>
      <c r="UPE8" s="58"/>
      <c r="UPF8" s="58"/>
      <c r="UPG8" s="58"/>
      <c r="UPH8" s="58"/>
      <c r="UPI8" s="58"/>
      <c r="UPJ8" s="58"/>
      <c r="UPK8" s="58"/>
      <c r="UPL8" s="58"/>
      <c r="UPM8" s="58"/>
      <c r="UPN8" s="58"/>
      <c r="UPO8" s="58"/>
      <c r="UPP8" s="58"/>
      <c r="UPQ8" s="58"/>
      <c r="UPR8" s="58"/>
      <c r="UPS8" s="58"/>
      <c r="UPT8" s="58"/>
      <c r="UPU8" s="58"/>
      <c r="UPV8" s="58"/>
      <c r="UPW8" s="58"/>
      <c r="UPX8" s="58"/>
      <c r="UPY8" s="58"/>
      <c r="UPZ8" s="58"/>
      <c r="UQA8" s="58"/>
      <c r="UQB8" s="58"/>
      <c r="UQC8" s="58"/>
      <c r="UQD8" s="58"/>
      <c r="UQE8" s="58"/>
      <c r="UQF8" s="58"/>
      <c r="UQG8" s="58"/>
      <c r="UQH8" s="58"/>
      <c r="UQI8" s="58"/>
      <c r="UQJ8" s="58"/>
      <c r="UQK8" s="58"/>
      <c r="UQL8" s="58"/>
      <c r="UQM8" s="58"/>
      <c r="UQN8" s="58"/>
      <c r="UQO8" s="58"/>
      <c r="UQP8" s="58"/>
      <c r="UQQ8" s="58"/>
      <c r="UQR8" s="58"/>
      <c r="UQS8" s="58"/>
      <c r="UQT8" s="58"/>
      <c r="UQU8" s="58"/>
      <c r="UQV8" s="58"/>
      <c r="UQW8" s="58"/>
      <c r="UQX8" s="58"/>
      <c r="UQY8" s="58"/>
      <c r="UQZ8" s="58"/>
      <c r="URA8" s="58"/>
      <c r="URB8" s="58"/>
      <c r="URC8" s="58"/>
      <c r="URD8" s="58"/>
      <c r="URE8" s="58"/>
      <c r="URF8" s="58"/>
      <c r="URG8" s="58"/>
      <c r="URH8" s="58"/>
      <c r="URI8" s="58"/>
      <c r="URJ8" s="58"/>
      <c r="URK8" s="58"/>
      <c r="URL8" s="58"/>
      <c r="URM8" s="58"/>
      <c r="URN8" s="58"/>
      <c r="URO8" s="58"/>
      <c r="URP8" s="58"/>
      <c r="URQ8" s="58"/>
      <c r="URR8" s="58"/>
      <c r="URS8" s="58"/>
      <c r="URT8" s="58"/>
      <c r="URU8" s="58"/>
      <c r="URV8" s="58"/>
      <c r="URW8" s="58"/>
      <c r="URX8" s="58"/>
      <c r="URY8" s="58"/>
      <c r="URZ8" s="58"/>
      <c r="USA8" s="58"/>
      <c r="USB8" s="58"/>
      <c r="USC8" s="58"/>
      <c r="USD8" s="58"/>
      <c r="USE8" s="58"/>
      <c r="USF8" s="58"/>
      <c r="USG8" s="58"/>
      <c r="USH8" s="58"/>
      <c r="USI8" s="58"/>
      <c r="USJ8" s="58"/>
      <c r="USK8" s="58"/>
      <c r="USL8" s="58"/>
      <c r="USM8" s="58"/>
      <c r="USN8" s="58"/>
      <c r="USO8" s="58"/>
      <c r="USP8" s="58"/>
      <c r="USQ8" s="58"/>
      <c r="USR8" s="58"/>
      <c r="USS8" s="58"/>
      <c r="UST8" s="58"/>
      <c r="USU8" s="58"/>
      <c r="USV8" s="58"/>
      <c r="USW8" s="58"/>
      <c r="USX8" s="58"/>
      <c r="USY8" s="58"/>
      <c r="USZ8" s="58"/>
      <c r="UTA8" s="58"/>
      <c r="UTB8" s="58"/>
      <c r="UTC8" s="58"/>
      <c r="UTD8" s="58"/>
      <c r="UTE8" s="58"/>
      <c r="UTF8" s="58"/>
      <c r="UTG8" s="58"/>
      <c r="UTH8" s="58"/>
      <c r="UTI8" s="58"/>
      <c r="UTJ8" s="58"/>
      <c r="UTK8" s="58"/>
      <c r="UTL8" s="58"/>
      <c r="UTM8" s="58"/>
      <c r="UTN8" s="58"/>
      <c r="UTO8" s="58"/>
      <c r="UTP8" s="58"/>
      <c r="UTQ8" s="58"/>
      <c r="UTR8" s="58"/>
      <c r="UTS8" s="58"/>
      <c r="UTT8" s="58"/>
      <c r="UTU8" s="58"/>
      <c r="UTV8" s="58"/>
      <c r="UTW8" s="58"/>
      <c r="UTX8" s="58"/>
      <c r="UTY8" s="58"/>
      <c r="UTZ8" s="58"/>
      <c r="UUA8" s="58"/>
      <c r="UUB8" s="58"/>
      <c r="UUC8" s="58"/>
      <c r="UUD8" s="58"/>
      <c r="UUE8" s="58"/>
      <c r="UUF8" s="58"/>
      <c r="UUG8" s="58"/>
      <c r="UUH8" s="58"/>
      <c r="UUI8" s="58"/>
      <c r="UUJ8" s="58"/>
      <c r="UUK8" s="58"/>
      <c r="UUL8" s="58"/>
      <c r="UUM8" s="58"/>
      <c r="UUN8" s="58"/>
      <c r="UUO8" s="58"/>
      <c r="UUP8" s="58"/>
      <c r="UUQ8" s="58"/>
      <c r="UUR8" s="58"/>
      <c r="UUS8" s="58"/>
      <c r="UUT8" s="58"/>
      <c r="UUU8" s="58"/>
      <c r="UUV8" s="58"/>
      <c r="UUW8" s="58"/>
      <c r="UUX8" s="58"/>
      <c r="UUY8" s="58"/>
      <c r="UUZ8" s="58"/>
      <c r="UVA8" s="58"/>
      <c r="UVB8" s="58"/>
      <c r="UVC8" s="58"/>
      <c r="UVD8" s="58"/>
      <c r="UVE8" s="58"/>
      <c r="UVF8" s="58"/>
      <c r="UVG8" s="58"/>
      <c r="UVH8" s="58"/>
      <c r="UVI8" s="58"/>
      <c r="UVJ8" s="58"/>
      <c r="UVK8" s="58"/>
      <c r="UVL8" s="58"/>
      <c r="UVM8" s="58"/>
      <c r="UVN8" s="58"/>
      <c r="UVO8" s="58"/>
      <c r="UVP8" s="58"/>
      <c r="UVQ8" s="58"/>
      <c r="UVR8" s="58"/>
      <c r="UVS8" s="58"/>
      <c r="UVT8" s="58"/>
      <c r="UVU8" s="58"/>
      <c r="UVV8" s="58"/>
      <c r="UVW8" s="58"/>
      <c r="UVX8" s="58"/>
      <c r="UVY8" s="58"/>
      <c r="UVZ8" s="58"/>
      <c r="UWA8" s="58"/>
      <c r="UWB8" s="58"/>
      <c r="UWC8" s="58"/>
      <c r="UWD8" s="58"/>
      <c r="UWE8" s="58"/>
      <c r="UWF8" s="58"/>
      <c r="UWG8" s="58"/>
      <c r="UWH8" s="58"/>
      <c r="UWI8" s="58"/>
      <c r="UWJ8" s="58"/>
      <c r="UWK8" s="58"/>
      <c r="UWL8" s="58"/>
      <c r="UWM8" s="58"/>
      <c r="UWN8" s="58"/>
      <c r="UWO8" s="58"/>
      <c r="UWP8" s="58"/>
      <c r="UWQ8" s="58"/>
      <c r="UWR8" s="58"/>
      <c r="UWS8" s="58"/>
      <c r="UWT8" s="58"/>
      <c r="UWU8" s="58"/>
      <c r="UWV8" s="58"/>
      <c r="UWW8" s="58"/>
      <c r="UWX8" s="58"/>
      <c r="UWY8" s="58"/>
      <c r="UWZ8" s="58"/>
      <c r="UXA8" s="58"/>
      <c r="UXB8" s="58"/>
      <c r="UXC8" s="58"/>
      <c r="UXD8" s="58"/>
      <c r="UXE8" s="58"/>
      <c r="UXF8" s="58"/>
      <c r="UXG8" s="58"/>
      <c r="UXH8" s="58"/>
      <c r="UXI8" s="58"/>
      <c r="UXJ8" s="58"/>
      <c r="UXK8" s="58"/>
      <c r="UXL8" s="58"/>
      <c r="UXM8" s="58"/>
      <c r="UXN8" s="58"/>
      <c r="UXO8" s="58"/>
      <c r="UXP8" s="58"/>
      <c r="UXQ8" s="58"/>
      <c r="UXR8" s="58"/>
      <c r="UXS8" s="58"/>
      <c r="UXT8" s="58"/>
      <c r="UXU8" s="58"/>
      <c r="UXV8" s="58"/>
      <c r="UXW8" s="58"/>
      <c r="UXX8" s="58"/>
      <c r="UXY8" s="58"/>
      <c r="UXZ8" s="58"/>
      <c r="UYA8" s="58"/>
      <c r="UYB8" s="58"/>
      <c r="UYC8" s="58"/>
      <c r="UYD8" s="58"/>
      <c r="UYE8" s="58"/>
      <c r="UYF8" s="58"/>
      <c r="UYG8" s="58"/>
      <c r="UYH8" s="58"/>
      <c r="UYI8" s="58"/>
      <c r="UYJ8" s="58"/>
      <c r="UYK8" s="58"/>
      <c r="UYL8" s="58"/>
      <c r="UYM8" s="58"/>
      <c r="UYN8" s="58"/>
      <c r="UYO8" s="58"/>
      <c r="UYP8" s="58"/>
      <c r="UYQ8" s="58"/>
      <c r="UYR8" s="58"/>
      <c r="UYS8" s="58"/>
      <c r="UYT8" s="58"/>
      <c r="UYU8" s="58"/>
      <c r="UYV8" s="58"/>
      <c r="UYW8" s="58"/>
      <c r="UYX8" s="58"/>
      <c r="UYY8" s="58"/>
      <c r="UYZ8" s="58"/>
      <c r="UZA8" s="58"/>
      <c r="UZB8" s="58"/>
      <c r="UZC8" s="58"/>
      <c r="UZD8" s="58"/>
      <c r="UZE8" s="58"/>
      <c r="UZF8" s="58"/>
      <c r="UZG8" s="58"/>
      <c r="UZH8" s="58"/>
      <c r="UZI8" s="58"/>
      <c r="UZJ8" s="58"/>
      <c r="UZK8" s="58"/>
      <c r="UZL8" s="58"/>
      <c r="UZM8" s="58"/>
      <c r="UZN8" s="58"/>
      <c r="UZO8" s="58"/>
      <c r="UZP8" s="58"/>
      <c r="UZQ8" s="58"/>
      <c r="UZR8" s="58"/>
      <c r="UZS8" s="58"/>
      <c r="UZT8" s="58"/>
      <c r="UZU8" s="58"/>
      <c r="UZV8" s="58"/>
      <c r="UZW8" s="58"/>
      <c r="UZX8" s="58"/>
      <c r="UZY8" s="58"/>
      <c r="UZZ8" s="58"/>
      <c r="VAA8" s="58"/>
      <c r="VAB8" s="58"/>
      <c r="VAC8" s="58"/>
      <c r="VAD8" s="58"/>
      <c r="VAE8" s="58"/>
      <c r="VAF8" s="58"/>
      <c r="VAG8" s="58"/>
      <c r="VAH8" s="58"/>
      <c r="VAI8" s="58"/>
      <c r="VAJ8" s="58"/>
      <c r="VAK8" s="58"/>
      <c r="VAL8" s="58"/>
      <c r="VAM8" s="58"/>
      <c r="VAN8" s="58"/>
      <c r="VAO8" s="58"/>
      <c r="VAP8" s="58"/>
      <c r="VAQ8" s="58"/>
      <c r="VAR8" s="58"/>
      <c r="VAS8" s="58"/>
      <c r="VAT8" s="58"/>
      <c r="VAU8" s="58"/>
      <c r="VAV8" s="58"/>
      <c r="VAW8" s="58"/>
      <c r="VAX8" s="58"/>
      <c r="VAY8" s="58"/>
      <c r="VAZ8" s="58"/>
      <c r="VBA8" s="58"/>
      <c r="VBB8" s="58"/>
      <c r="VBC8" s="58"/>
      <c r="VBD8" s="58"/>
      <c r="VBE8" s="58"/>
      <c r="VBF8" s="58"/>
      <c r="VBG8" s="58"/>
      <c r="VBH8" s="58"/>
      <c r="VBI8" s="58"/>
      <c r="VBJ8" s="58"/>
      <c r="VBK8" s="58"/>
      <c r="VBL8" s="58"/>
      <c r="VBM8" s="58"/>
      <c r="VBN8" s="58"/>
      <c r="VBO8" s="58"/>
      <c r="VBP8" s="58"/>
      <c r="VBQ8" s="58"/>
      <c r="VBR8" s="58"/>
      <c r="VBS8" s="58"/>
      <c r="VBT8" s="58"/>
      <c r="VBU8" s="58"/>
      <c r="VBV8" s="58"/>
      <c r="VBW8" s="58"/>
      <c r="VBX8" s="58"/>
      <c r="VBY8" s="58"/>
      <c r="VBZ8" s="58"/>
      <c r="VCA8" s="58"/>
      <c r="VCB8" s="58"/>
      <c r="VCC8" s="58"/>
      <c r="VCD8" s="58"/>
      <c r="VCE8" s="58"/>
      <c r="VCF8" s="58"/>
      <c r="VCG8" s="58"/>
      <c r="VCH8" s="58"/>
      <c r="VCI8" s="58"/>
      <c r="VCJ8" s="58"/>
      <c r="VCK8" s="58"/>
      <c r="VCL8" s="58"/>
      <c r="VCM8" s="58"/>
      <c r="VCN8" s="58"/>
      <c r="VCO8" s="58"/>
      <c r="VCP8" s="58"/>
      <c r="VCQ8" s="58"/>
      <c r="VCR8" s="58"/>
      <c r="VCS8" s="58"/>
      <c r="VCT8" s="58"/>
      <c r="VCU8" s="58"/>
      <c r="VCV8" s="58"/>
      <c r="VCW8" s="58"/>
      <c r="VCX8" s="58"/>
      <c r="VCY8" s="58"/>
      <c r="VCZ8" s="58"/>
      <c r="VDA8" s="58"/>
      <c r="VDB8" s="58"/>
      <c r="VDC8" s="58"/>
      <c r="VDD8" s="58"/>
      <c r="VDE8" s="58"/>
      <c r="VDF8" s="58"/>
      <c r="VDG8" s="58"/>
      <c r="VDH8" s="58"/>
      <c r="VDI8" s="58"/>
      <c r="VDJ8" s="58"/>
      <c r="VDK8" s="58"/>
      <c r="VDL8" s="58"/>
      <c r="VDM8" s="58"/>
      <c r="VDN8" s="58"/>
      <c r="VDO8" s="58"/>
      <c r="VDP8" s="58"/>
      <c r="VDQ8" s="58"/>
      <c r="VDR8" s="58"/>
      <c r="VDS8" s="58"/>
      <c r="VDT8" s="58"/>
      <c r="VDU8" s="58"/>
      <c r="VDV8" s="58"/>
      <c r="VDW8" s="58"/>
      <c r="VDX8" s="58"/>
      <c r="VDY8" s="58"/>
      <c r="VDZ8" s="58"/>
      <c r="VEA8" s="58"/>
      <c r="VEB8" s="58"/>
      <c r="VEC8" s="58"/>
      <c r="VED8" s="58"/>
      <c r="VEE8" s="58"/>
      <c r="VEF8" s="58"/>
      <c r="VEG8" s="58"/>
      <c r="VEH8" s="58"/>
      <c r="VEI8" s="58"/>
      <c r="VEJ8" s="58"/>
      <c r="VEK8" s="58"/>
      <c r="VEL8" s="58"/>
      <c r="VEM8" s="58"/>
      <c r="VEN8" s="58"/>
      <c r="VEO8" s="58"/>
      <c r="VEP8" s="58"/>
      <c r="VEQ8" s="58"/>
      <c r="VER8" s="58"/>
      <c r="VES8" s="58"/>
      <c r="VET8" s="58"/>
      <c r="VEU8" s="58"/>
      <c r="VEV8" s="58"/>
      <c r="VEW8" s="58"/>
      <c r="VEX8" s="58"/>
      <c r="VEY8" s="58"/>
      <c r="VEZ8" s="58"/>
      <c r="VFA8" s="58"/>
      <c r="VFB8" s="58"/>
      <c r="VFC8" s="58"/>
      <c r="VFD8" s="58"/>
      <c r="VFE8" s="58"/>
      <c r="VFF8" s="58"/>
      <c r="VFG8" s="58"/>
      <c r="VFH8" s="58"/>
      <c r="VFI8" s="58"/>
      <c r="VFJ8" s="58"/>
      <c r="VFK8" s="58"/>
      <c r="VFL8" s="58"/>
      <c r="VFM8" s="58"/>
      <c r="VFN8" s="58"/>
      <c r="VFO8" s="58"/>
      <c r="VFP8" s="58"/>
      <c r="VFQ8" s="58"/>
      <c r="VFR8" s="58"/>
      <c r="VFS8" s="58"/>
      <c r="VFT8" s="58"/>
      <c r="VFU8" s="58"/>
      <c r="VFV8" s="58"/>
      <c r="VFW8" s="58"/>
      <c r="VFX8" s="58"/>
      <c r="VFY8" s="58"/>
      <c r="VFZ8" s="58"/>
      <c r="VGA8" s="58"/>
      <c r="VGB8" s="58"/>
      <c r="VGC8" s="58"/>
      <c r="VGD8" s="58"/>
      <c r="VGE8" s="58"/>
      <c r="VGF8" s="58"/>
      <c r="VGG8" s="58"/>
      <c r="VGH8" s="58"/>
      <c r="VGI8" s="58"/>
      <c r="VGJ8" s="58"/>
      <c r="VGK8" s="58"/>
      <c r="VGL8" s="58"/>
      <c r="VGM8" s="58"/>
      <c r="VGN8" s="58"/>
      <c r="VGO8" s="58"/>
      <c r="VGP8" s="58"/>
      <c r="VGQ8" s="58"/>
      <c r="VGR8" s="58"/>
      <c r="VGS8" s="58"/>
      <c r="VGT8" s="58"/>
      <c r="VGU8" s="58"/>
      <c r="VGV8" s="58"/>
      <c r="VGW8" s="58"/>
      <c r="VGX8" s="58"/>
      <c r="VGY8" s="58"/>
      <c r="VGZ8" s="58"/>
      <c r="VHA8" s="58"/>
      <c r="VHB8" s="58"/>
      <c r="VHC8" s="58"/>
      <c r="VHD8" s="58"/>
      <c r="VHE8" s="58"/>
      <c r="VHF8" s="58"/>
      <c r="VHG8" s="58"/>
      <c r="VHH8" s="58"/>
      <c r="VHI8" s="58"/>
      <c r="VHJ8" s="58"/>
      <c r="VHK8" s="58"/>
      <c r="VHL8" s="58"/>
      <c r="VHM8" s="58"/>
      <c r="VHN8" s="58"/>
      <c r="VHO8" s="58"/>
      <c r="VHP8" s="58"/>
      <c r="VHQ8" s="58"/>
      <c r="VHR8" s="58"/>
      <c r="VHS8" s="58"/>
      <c r="VHT8" s="58"/>
      <c r="VHU8" s="58"/>
      <c r="VHV8" s="58"/>
      <c r="VHW8" s="58"/>
      <c r="VHX8" s="58"/>
      <c r="VHY8" s="58"/>
      <c r="VHZ8" s="58"/>
      <c r="VIA8" s="58"/>
      <c r="VIB8" s="58"/>
      <c r="VIC8" s="58"/>
      <c r="VID8" s="58"/>
      <c r="VIE8" s="58"/>
      <c r="VIF8" s="58"/>
      <c r="VIG8" s="58"/>
      <c r="VIH8" s="58"/>
      <c r="VII8" s="58"/>
      <c r="VIJ8" s="58"/>
      <c r="VIK8" s="58"/>
      <c r="VIL8" s="58"/>
      <c r="VIM8" s="58"/>
      <c r="VIN8" s="58"/>
      <c r="VIO8" s="58"/>
      <c r="VIP8" s="58"/>
      <c r="VIQ8" s="58"/>
      <c r="VIR8" s="58"/>
      <c r="VIS8" s="58"/>
      <c r="VIT8" s="58"/>
      <c r="VIU8" s="58"/>
      <c r="VIV8" s="58"/>
      <c r="VIW8" s="58"/>
      <c r="VIX8" s="58"/>
      <c r="VIY8" s="58"/>
      <c r="VIZ8" s="58"/>
      <c r="VJA8" s="58"/>
      <c r="VJB8" s="58"/>
      <c r="VJC8" s="58"/>
      <c r="VJD8" s="58"/>
      <c r="VJE8" s="58"/>
      <c r="VJF8" s="58"/>
      <c r="VJG8" s="58"/>
      <c r="VJH8" s="58"/>
      <c r="VJI8" s="58"/>
      <c r="VJJ8" s="58"/>
      <c r="VJK8" s="58"/>
      <c r="VJL8" s="58"/>
      <c r="VJM8" s="58"/>
      <c r="VJN8" s="58"/>
      <c r="VJO8" s="58"/>
      <c r="VJP8" s="58"/>
      <c r="VJQ8" s="58"/>
      <c r="VJR8" s="58"/>
      <c r="VJS8" s="58"/>
      <c r="VJT8" s="58"/>
      <c r="VJU8" s="58"/>
      <c r="VJV8" s="58"/>
      <c r="VJW8" s="58"/>
      <c r="VJX8" s="58"/>
      <c r="VJY8" s="58"/>
      <c r="VJZ8" s="58"/>
      <c r="VKA8" s="58"/>
      <c r="VKB8" s="58"/>
      <c r="VKC8" s="58"/>
      <c r="VKD8" s="58"/>
      <c r="VKE8" s="58"/>
      <c r="VKF8" s="58"/>
      <c r="VKG8" s="58"/>
      <c r="VKH8" s="58"/>
      <c r="VKI8" s="58"/>
      <c r="VKJ8" s="58"/>
      <c r="VKK8" s="58"/>
      <c r="VKL8" s="58"/>
      <c r="VKM8" s="58"/>
      <c r="VKN8" s="58"/>
      <c r="VKO8" s="58"/>
      <c r="VKP8" s="58"/>
      <c r="VKQ8" s="58"/>
      <c r="VKR8" s="58"/>
      <c r="VKS8" s="58"/>
      <c r="VKT8" s="58"/>
      <c r="VKU8" s="58"/>
      <c r="VKV8" s="58"/>
      <c r="VKW8" s="58"/>
      <c r="VKX8" s="58"/>
      <c r="VKY8" s="58"/>
      <c r="VKZ8" s="58"/>
      <c r="VLA8" s="58"/>
      <c r="VLB8" s="58"/>
      <c r="VLC8" s="58"/>
      <c r="VLD8" s="58"/>
      <c r="VLE8" s="58"/>
      <c r="VLF8" s="58"/>
      <c r="VLG8" s="58"/>
      <c r="VLH8" s="58"/>
      <c r="VLI8" s="58"/>
      <c r="VLJ8" s="58"/>
      <c r="VLK8" s="58"/>
      <c r="VLL8" s="58"/>
      <c r="VLM8" s="58"/>
      <c r="VLN8" s="58"/>
      <c r="VLO8" s="58"/>
      <c r="VLP8" s="58"/>
      <c r="VLQ8" s="58"/>
      <c r="VLR8" s="58"/>
      <c r="VLS8" s="58"/>
      <c r="VLT8" s="58"/>
      <c r="VLU8" s="58"/>
      <c r="VLV8" s="58"/>
      <c r="VLW8" s="58"/>
      <c r="VLX8" s="58"/>
      <c r="VLY8" s="58"/>
      <c r="VLZ8" s="58"/>
      <c r="VMA8" s="58"/>
      <c r="VMB8" s="58"/>
      <c r="VMC8" s="58"/>
      <c r="VMD8" s="58"/>
      <c r="VME8" s="58"/>
      <c r="VMF8" s="58"/>
      <c r="VMG8" s="58"/>
      <c r="VMH8" s="58"/>
      <c r="VMI8" s="58"/>
      <c r="VMJ8" s="58"/>
      <c r="VMK8" s="58"/>
      <c r="VML8" s="58"/>
      <c r="VMM8" s="58"/>
      <c r="VMN8" s="58"/>
      <c r="VMO8" s="58"/>
      <c r="VMP8" s="58"/>
      <c r="VMQ8" s="58"/>
      <c r="VMR8" s="58"/>
      <c r="VMS8" s="58"/>
      <c r="VMT8" s="58"/>
      <c r="VMU8" s="58"/>
      <c r="VMV8" s="58"/>
      <c r="VMW8" s="58"/>
      <c r="VMX8" s="58"/>
      <c r="VMY8" s="58"/>
      <c r="VMZ8" s="58"/>
      <c r="VNA8" s="58"/>
      <c r="VNB8" s="58"/>
      <c r="VNC8" s="58"/>
      <c r="VND8" s="58"/>
      <c r="VNE8" s="58"/>
      <c r="VNF8" s="58"/>
      <c r="VNG8" s="58"/>
      <c r="VNH8" s="58"/>
      <c r="VNI8" s="58"/>
      <c r="VNJ8" s="58"/>
      <c r="VNK8" s="58"/>
      <c r="VNL8" s="58"/>
      <c r="VNM8" s="58"/>
      <c r="VNN8" s="58"/>
      <c r="VNO8" s="58"/>
      <c r="VNP8" s="58"/>
      <c r="VNQ8" s="58"/>
      <c r="VNR8" s="58"/>
      <c r="VNS8" s="58"/>
      <c r="VNT8" s="58"/>
      <c r="VNU8" s="58"/>
      <c r="VNV8" s="58"/>
      <c r="VNW8" s="58"/>
      <c r="VNX8" s="58"/>
      <c r="VNY8" s="58"/>
      <c r="VNZ8" s="58"/>
      <c r="VOA8" s="58"/>
      <c r="VOB8" s="58"/>
      <c r="VOC8" s="58"/>
      <c r="VOD8" s="58"/>
      <c r="VOE8" s="58"/>
      <c r="VOF8" s="58"/>
      <c r="VOG8" s="58"/>
      <c r="VOH8" s="58"/>
      <c r="VOI8" s="58"/>
      <c r="VOJ8" s="58"/>
      <c r="VOK8" s="58"/>
      <c r="VOL8" s="58"/>
      <c r="VOM8" s="58"/>
      <c r="VON8" s="58"/>
      <c r="VOO8" s="58"/>
      <c r="VOP8" s="58"/>
      <c r="VOQ8" s="58"/>
      <c r="VOR8" s="58"/>
      <c r="VOS8" s="58"/>
      <c r="VOT8" s="58"/>
      <c r="VOU8" s="58"/>
      <c r="VOV8" s="58"/>
      <c r="VOW8" s="58"/>
      <c r="VOX8" s="58"/>
      <c r="VOY8" s="58"/>
      <c r="VOZ8" s="58"/>
      <c r="VPA8" s="58"/>
      <c r="VPB8" s="58"/>
      <c r="VPC8" s="58"/>
      <c r="VPD8" s="58"/>
      <c r="VPE8" s="58"/>
      <c r="VPF8" s="58"/>
      <c r="VPG8" s="58"/>
      <c r="VPH8" s="58"/>
      <c r="VPI8" s="58"/>
      <c r="VPJ8" s="58"/>
      <c r="VPK8" s="58"/>
      <c r="VPL8" s="58"/>
      <c r="VPM8" s="58"/>
      <c r="VPN8" s="58"/>
      <c r="VPO8" s="58"/>
      <c r="VPP8" s="58"/>
      <c r="VPQ8" s="58"/>
      <c r="VPR8" s="58"/>
      <c r="VPS8" s="58"/>
      <c r="VPT8" s="58"/>
      <c r="VPU8" s="58"/>
      <c r="VPV8" s="58"/>
      <c r="VPW8" s="58"/>
      <c r="VPX8" s="58"/>
      <c r="VPY8" s="58"/>
      <c r="VPZ8" s="58"/>
      <c r="VQA8" s="58"/>
      <c r="VQB8" s="58"/>
      <c r="VQC8" s="58"/>
      <c r="VQD8" s="58"/>
      <c r="VQE8" s="58"/>
      <c r="VQF8" s="58"/>
      <c r="VQG8" s="58"/>
      <c r="VQH8" s="58"/>
      <c r="VQI8" s="58"/>
      <c r="VQJ8" s="58"/>
      <c r="VQK8" s="58"/>
      <c r="VQL8" s="58"/>
      <c r="VQM8" s="58"/>
      <c r="VQN8" s="58"/>
      <c r="VQO8" s="58"/>
      <c r="VQP8" s="58"/>
      <c r="VQQ8" s="58"/>
      <c r="VQR8" s="58"/>
      <c r="VQS8" s="58"/>
      <c r="VQT8" s="58"/>
      <c r="VQU8" s="58"/>
      <c r="VQV8" s="58"/>
      <c r="VQW8" s="58"/>
      <c r="VQX8" s="58"/>
      <c r="VQY8" s="58"/>
      <c r="VQZ8" s="58"/>
      <c r="VRA8" s="58"/>
      <c r="VRB8" s="58"/>
      <c r="VRC8" s="58"/>
      <c r="VRD8" s="58"/>
      <c r="VRE8" s="58"/>
      <c r="VRF8" s="58"/>
      <c r="VRG8" s="58"/>
      <c r="VRH8" s="58"/>
      <c r="VRI8" s="58"/>
      <c r="VRJ8" s="58"/>
      <c r="VRK8" s="58"/>
      <c r="VRL8" s="58"/>
      <c r="VRM8" s="58"/>
      <c r="VRN8" s="58"/>
      <c r="VRO8" s="58"/>
      <c r="VRP8" s="58"/>
      <c r="VRQ8" s="58"/>
      <c r="VRR8" s="58"/>
      <c r="VRS8" s="58"/>
      <c r="VRT8" s="58"/>
      <c r="VRU8" s="58"/>
      <c r="VRV8" s="58"/>
      <c r="VRW8" s="58"/>
      <c r="VRX8" s="58"/>
      <c r="VRY8" s="58"/>
      <c r="VRZ8" s="58"/>
      <c r="VSA8" s="58"/>
      <c r="VSB8" s="58"/>
      <c r="VSC8" s="58"/>
      <c r="VSD8" s="58"/>
      <c r="VSE8" s="58"/>
      <c r="VSF8" s="58"/>
      <c r="VSG8" s="58"/>
      <c r="VSH8" s="58"/>
      <c r="VSI8" s="58"/>
      <c r="VSJ8" s="58"/>
      <c r="VSK8" s="58"/>
      <c r="VSL8" s="58"/>
      <c r="VSM8" s="58"/>
      <c r="VSN8" s="58"/>
      <c r="VSO8" s="58"/>
      <c r="VSP8" s="58"/>
      <c r="VSQ8" s="58"/>
      <c r="VSR8" s="58"/>
      <c r="VSS8" s="58"/>
      <c r="VST8" s="58"/>
      <c r="VSU8" s="58"/>
      <c r="VSV8" s="58"/>
      <c r="VSW8" s="58"/>
      <c r="VSX8" s="58"/>
      <c r="VSY8" s="58"/>
      <c r="VSZ8" s="58"/>
      <c r="VTA8" s="58"/>
      <c r="VTB8" s="58"/>
      <c r="VTC8" s="58"/>
      <c r="VTD8" s="58"/>
      <c r="VTE8" s="58"/>
      <c r="VTF8" s="58"/>
      <c r="VTG8" s="58"/>
      <c r="VTH8" s="58"/>
      <c r="VTI8" s="58"/>
      <c r="VTJ8" s="58"/>
      <c r="VTK8" s="58"/>
      <c r="VTL8" s="58"/>
      <c r="VTM8" s="58"/>
      <c r="VTN8" s="58"/>
      <c r="VTO8" s="58"/>
      <c r="VTP8" s="58"/>
      <c r="VTQ8" s="58"/>
      <c r="VTR8" s="58"/>
      <c r="VTS8" s="58"/>
      <c r="VTT8" s="58"/>
      <c r="VTU8" s="58"/>
      <c r="VTV8" s="58"/>
      <c r="VTW8" s="58"/>
      <c r="VTX8" s="58"/>
      <c r="VTY8" s="58"/>
      <c r="VTZ8" s="58"/>
      <c r="VUA8" s="58"/>
      <c r="VUB8" s="58"/>
      <c r="VUC8" s="58"/>
      <c r="VUD8" s="58"/>
      <c r="VUE8" s="58"/>
      <c r="VUF8" s="58"/>
      <c r="VUG8" s="58"/>
      <c r="VUH8" s="58"/>
      <c r="VUI8" s="58"/>
      <c r="VUJ8" s="58"/>
      <c r="VUK8" s="58"/>
      <c r="VUL8" s="58"/>
      <c r="VUM8" s="58"/>
      <c r="VUN8" s="58"/>
      <c r="VUO8" s="58"/>
      <c r="VUP8" s="58"/>
      <c r="VUQ8" s="58"/>
      <c r="VUR8" s="58"/>
      <c r="VUS8" s="58"/>
      <c r="VUT8" s="58"/>
      <c r="VUU8" s="58"/>
      <c r="VUV8" s="58"/>
      <c r="VUW8" s="58"/>
      <c r="VUX8" s="58"/>
      <c r="VUY8" s="58"/>
      <c r="VUZ8" s="58"/>
      <c r="VVA8" s="58"/>
      <c r="VVB8" s="58"/>
      <c r="VVC8" s="58"/>
      <c r="VVD8" s="58"/>
      <c r="VVE8" s="58"/>
      <c r="VVF8" s="58"/>
      <c r="VVG8" s="58"/>
      <c r="VVH8" s="58"/>
      <c r="VVI8" s="58"/>
      <c r="VVJ8" s="58"/>
      <c r="VVK8" s="58"/>
      <c r="VVL8" s="58"/>
      <c r="VVM8" s="58"/>
      <c r="VVN8" s="58"/>
      <c r="VVO8" s="58"/>
      <c r="VVP8" s="58"/>
      <c r="VVQ8" s="58"/>
      <c r="VVR8" s="58"/>
      <c r="VVS8" s="58"/>
      <c r="VVT8" s="58"/>
      <c r="VVU8" s="58"/>
      <c r="VVV8" s="58"/>
      <c r="VVW8" s="58"/>
      <c r="VVX8" s="58"/>
      <c r="VVY8" s="58"/>
      <c r="VVZ8" s="58"/>
      <c r="VWA8" s="58"/>
      <c r="VWB8" s="58"/>
      <c r="VWC8" s="58"/>
      <c r="VWD8" s="58"/>
      <c r="VWE8" s="58"/>
      <c r="VWF8" s="58"/>
      <c r="VWG8" s="58"/>
      <c r="VWH8" s="58"/>
      <c r="VWI8" s="58"/>
      <c r="VWJ8" s="58"/>
      <c r="VWK8" s="58"/>
      <c r="VWL8" s="58"/>
      <c r="VWM8" s="58"/>
      <c r="VWN8" s="58"/>
      <c r="VWO8" s="58"/>
      <c r="VWP8" s="58"/>
      <c r="VWQ8" s="58"/>
      <c r="VWR8" s="58"/>
      <c r="VWS8" s="58"/>
      <c r="VWT8" s="58"/>
      <c r="VWU8" s="58"/>
      <c r="VWV8" s="58"/>
      <c r="VWW8" s="58"/>
      <c r="VWX8" s="58"/>
      <c r="VWY8" s="58"/>
      <c r="VWZ8" s="58"/>
      <c r="VXA8" s="58"/>
      <c r="VXB8" s="58"/>
      <c r="VXC8" s="58"/>
      <c r="VXD8" s="58"/>
      <c r="VXE8" s="58"/>
      <c r="VXF8" s="58"/>
      <c r="VXG8" s="58"/>
      <c r="VXH8" s="58"/>
      <c r="VXI8" s="58"/>
      <c r="VXJ8" s="58"/>
      <c r="VXK8" s="58"/>
      <c r="VXL8" s="58"/>
      <c r="VXM8" s="58"/>
      <c r="VXN8" s="58"/>
      <c r="VXO8" s="58"/>
      <c r="VXP8" s="58"/>
      <c r="VXQ8" s="58"/>
      <c r="VXR8" s="58"/>
      <c r="VXS8" s="58"/>
      <c r="VXT8" s="58"/>
      <c r="VXU8" s="58"/>
      <c r="VXV8" s="58"/>
      <c r="VXW8" s="58"/>
      <c r="VXX8" s="58"/>
      <c r="VXY8" s="58"/>
      <c r="VXZ8" s="58"/>
      <c r="VYA8" s="58"/>
      <c r="VYB8" s="58"/>
      <c r="VYC8" s="58"/>
      <c r="VYD8" s="58"/>
      <c r="VYE8" s="58"/>
      <c r="VYF8" s="58"/>
      <c r="VYG8" s="58"/>
      <c r="VYH8" s="58"/>
      <c r="VYI8" s="58"/>
      <c r="VYJ8" s="58"/>
      <c r="VYK8" s="58"/>
      <c r="VYL8" s="58"/>
      <c r="VYM8" s="58"/>
      <c r="VYN8" s="58"/>
      <c r="VYO8" s="58"/>
      <c r="VYP8" s="58"/>
      <c r="VYQ8" s="58"/>
      <c r="VYR8" s="58"/>
      <c r="VYS8" s="58"/>
      <c r="VYT8" s="58"/>
      <c r="VYU8" s="58"/>
      <c r="VYV8" s="58"/>
      <c r="VYW8" s="58"/>
      <c r="VYX8" s="58"/>
      <c r="VYY8" s="58"/>
      <c r="VYZ8" s="58"/>
      <c r="VZA8" s="58"/>
      <c r="VZB8" s="58"/>
      <c r="VZC8" s="58"/>
      <c r="VZD8" s="58"/>
      <c r="VZE8" s="58"/>
      <c r="VZF8" s="58"/>
      <c r="VZG8" s="58"/>
      <c r="VZH8" s="58"/>
      <c r="VZI8" s="58"/>
      <c r="VZJ8" s="58"/>
      <c r="VZK8" s="58"/>
      <c r="VZL8" s="58"/>
      <c r="VZM8" s="58"/>
      <c r="VZN8" s="58"/>
      <c r="VZO8" s="58"/>
      <c r="VZP8" s="58"/>
      <c r="VZQ8" s="58"/>
      <c r="VZR8" s="58"/>
      <c r="VZS8" s="58"/>
      <c r="VZT8" s="58"/>
      <c r="VZU8" s="58"/>
      <c r="VZV8" s="58"/>
      <c r="VZW8" s="58"/>
      <c r="VZX8" s="58"/>
      <c r="VZY8" s="58"/>
      <c r="VZZ8" s="58"/>
      <c r="WAA8" s="58"/>
      <c r="WAB8" s="58"/>
      <c r="WAC8" s="58"/>
      <c r="WAD8" s="58"/>
      <c r="WAE8" s="58"/>
      <c r="WAF8" s="58"/>
      <c r="WAG8" s="58"/>
      <c r="WAH8" s="58"/>
      <c r="WAI8" s="58"/>
      <c r="WAJ8" s="58"/>
      <c r="WAK8" s="58"/>
      <c r="WAL8" s="58"/>
      <c r="WAM8" s="58"/>
      <c r="WAN8" s="58"/>
      <c r="WAO8" s="58"/>
      <c r="WAP8" s="58"/>
      <c r="WAQ8" s="58"/>
      <c r="WAR8" s="58"/>
      <c r="WAS8" s="58"/>
      <c r="WAT8" s="58"/>
      <c r="WAU8" s="58"/>
      <c r="WAV8" s="58"/>
      <c r="WAW8" s="58"/>
      <c r="WAX8" s="58"/>
      <c r="WAY8" s="58"/>
      <c r="WAZ8" s="58"/>
      <c r="WBA8" s="58"/>
      <c r="WBB8" s="58"/>
      <c r="WBC8" s="58"/>
      <c r="WBD8" s="58"/>
      <c r="WBE8" s="58"/>
      <c r="WBF8" s="58"/>
      <c r="WBG8" s="58"/>
      <c r="WBH8" s="58"/>
      <c r="WBI8" s="58"/>
      <c r="WBJ8" s="58"/>
      <c r="WBK8" s="58"/>
      <c r="WBL8" s="58"/>
      <c r="WBM8" s="58"/>
      <c r="WBN8" s="58"/>
      <c r="WBO8" s="58"/>
      <c r="WBP8" s="58"/>
      <c r="WBQ8" s="58"/>
      <c r="WBR8" s="58"/>
      <c r="WBS8" s="58"/>
      <c r="WBT8" s="58"/>
      <c r="WBU8" s="58"/>
      <c r="WBV8" s="58"/>
      <c r="WBW8" s="58"/>
      <c r="WBX8" s="58"/>
      <c r="WBY8" s="58"/>
      <c r="WBZ8" s="58"/>
      <c r="WCA8" s="58"/>
      <c r="WCB8" s="58"/>
      <c r="WCC8" s="58"/>
      <c r="WCD8" s="58"/>
      <c r="WCE8" s="58"/>
      <c r="WCF8" s="58"/>
      <c r="WCG8" s="58"/>
      <c r="WCH8" s="58"/>
      <c r="WCI8" s="58"/>
      <c r="WCJ8" s="58"/>
      <c r="WCK8" s="58"/>
      <c r="WCL8" s="58"/>
      <c r="WCM8" s="58"/>
      <c r="WCN8" s="58"/>
      <c r="WCO8" s="58"/>
      <c r="WCP8" s="58"/>
      <c r="WCQ8" s="58"/>
      <c r="WCR8" s="58"/>
      <c r="WCS8" s="58"/>
      <c r="WCT8" s="58"/>
      <c r="WCU8" s="58"/>
      <c r="WCV8" s="58"/>
      <c r="WCW8" s="58"/>
      <c r="WCX8" s="58"/>
      <c r="WCY8" s="58"/>
      <c r="WCZ8" s="58"/>
      <c r="WDA8" s="58"/>
      <c r="WDB8" s="58"/>
      <c r="WDC8" s="58"/>
      <c r="WDD8" s="58"/>
      <c r="WDE8" s="58"/>
      <c r="WDF8" s="58"/>
      <c r="WDG8" s="58"/>
      <c r="WDH8" s="58"/>
      <c r="WDI8" s="58"/>
      <c r="WDJ8" s="58"/>
      <c r="WDK8" s="58"/>
      <c r="WDL8" s="58"/>
      <c r="WDM8" s="58"/>
      <c r="WDN8" s="58"/>
      <c r="WDO8" s="58"/>
      <c r="WDP8" s="58"/>
      <c r="WDQ8" s="58"/>
      <c r="WDR8" s="58"/>
      <c r="WDS8" s="58"/>
      <c r="WDT8" s="58"/>
      <c r="WDU8" s="58"/>
      <c r="WDV8" s="58"/>
      <c r="WDW8" s="58"/>
      <c r="WDX8" s="58"/>
      <c r="WDY8" s="58"/>
      <c r="WDZ8" s="58"/>
      <c r="WEA8" s="58"/>
      <c r="WEB8" s="58"/>
      <c r="WEC8" s="58"/>
      <c r="WED8" s="58"/>
      <c r="WEE8" s="58"/>
      <c r="WEF8" s="58"/>
      <c r="WEG8" s="58"/>
      <c r="WEH8" s="58"/>
      <c r="WEI8" s="58"/>
      <c r="WEJ8" s="58"/>
      <c r="WEK8" s="58"/>
      <c r="WEL8" s="58"/>
      <c r="WEM8" s="58"/>
      <c r="WEN8" s="58"/>
      <c r="WEO8" s="58"/>
      <c r="WEP8" s="58"/>
      <c r="WEQ8" s="58"/>
      <c r="WER8" s="58"/>
      <c r="WES8" s="58"/>
      <c r="WET8" s="58"/>
      <c r="WEU8" s="58"/>
      <c r="WEV8" s="58"/>
      <c r="WEW8" s="58"/>
      <c r="WEX8" s="58"/>
      <c r="WEY8" s="58"/>
      <c r="WEZ8" s="58"/>
      <c r="WFA8" s="58"/>
      <c r="WFB8" s="58"/>
      <c r="WFC8" s="58"/>
      <c r="WFD8" s="58"/>
      <c r="WFE8" s="58"/>
      <c r="WFF8" s="58"/>
      <c r="WFG8" s="58"/>
      <c r="WFH8" s="58"/>
      <c r="WFI8" s="58"/>
      <c r="WFJ8" s="58"/>
      <c r="WFK8" s="58"/>
      <c r="WFL8" s="58"/>
      <c r="WFM8" s="58"/>
      <c r="WFN8" s="58"/>
      <c r="WFO8" s="58"/>
      <c r="WFP8" s="58"/>
      <c r="WFQ8" s="58"/>
      <c r="WFR8" s="58"/>
      <c r="WFS8" s="58"/>
      <c r="WFT8" s="58"/>
      <c r="WFU8" s="58"/>
      <c r="WFV8" s="58"/>
      <c r="WFW8" s="58"/>
      <c r="WFX8" s="58"/>
      <c r="WFY8" s="58"/>
      <c r="WFZ8" s="58"/>
      <c r="WGA8" s="58"/>
      <c r="WGB8" s="58"/>
      <c r="WGC8" s="58"/>
      <c r="WGD8" s="58"/>
      <c r="WGE8" s="58"/>
      <c r="WGF8" s="58"/>
      <c r="WGG8" s="58"/>
      <c r="WGH8" s="58"/>
      <c r="WGI8" s="58"/>
      <c r="WGJ8" s="58"/>
      <c r="WGK8" s="58"/>
      <c r="WGL8" s="58"/>
      <c r="WGM8" s="58"/>
      <c r="WGN8" s="58"/>
      <c r="WGO8" s="58"/>
      <c r="WGP8" s="58"/>
      <c r="WGQ8" s="58"/>
      <c r="WGR8" s="58"/>
      <c r="WGS8" s="58"/>
      <c r="WGT8" s="58"/>
      <c r="WGU8" s="58"/>
      <c r="WGV8" s="58"/>
      <c r="WGW8" s="58"/>
      <c r="WGX8" s="58"/>
      <c r="WGY8" s="58"/>
      <c r="WGZ8" s="58"/>
      <c r="WHA8" s="58"/>
      <c r="WHB8" s="58"/>
      <c r="WHC8" s="58"/>
      <c r="WHD8" s="58"/>
      <c r="WHE8" s="58"/>
      <c r="WHF8" s="58"/>
      <c r="WHG8" s="58"/>
      <c r="WHH8" s="58"/>
      <c r="WHI8" s="58"/>
      <c r="WHJ8" s="58"/>
      <c r="WHK8" s="58"/>
      <c r="WHL8" s="58"/>
      <c r="WHM8" s="58"/>
      <c r="WHN8" s="58"/>
      <c r="WHO8" s="58"/>
      <c r="WHP8" s="58"/>
      <c r="WHQ8" s="58"/>
      <c r="WHR8" s="58"/>
      <c r="WHS8" s="58"/>
      <c r="WHT8" s="58"/>
      <c r="WHU8" s="58"/>
      <c r="WHV8" s="58"/>
      <c r="WHW8" s="58"/>
      <c r="WHX8" s="58"/>
      <c r="WHY8" s="58"/>
      <c r="WHZ8" s="58"/>
      <c r="WIA8" s="58"/>
      <c r="WIB8" s="58"/>
      <c r="WIC8" s="58"/>
      <c r="WID8" s="58"/>
      <c r="WIE8" s="58"/>
      <c r="WIF8" s="58"/>
      <c r="WIG8" s="58"/>
      <c r="WIH8" s="58"/>
      <c r="WII8" s="58"/>
      <c r="WIJ8" s="58"/>
      <c r="WIK8" s="58"/>
      <c r="WIL8" s="58"/>
      <c r="WIM8" s="58"/>
      <c r="WIN8" s="58"/>
      <c r="WIO8" s="58"/>
      <c r="WIP8" s="58"/>
      <c r="WIQ8" s="58"/>
      <c r="WIR8" s="58"/>
      <c r="WIS8" s="58"/>
      <c r="WIT8" s="58"/>
      <c r="WIU8" s="58"/>
      <c r="WIV8" s="58"/>
      <c r="WIW8" s="58"/>
      <c r="WIX8" s="58"/>
      <c r="WIY8" s="58"/>
      <c r="WIZ8" s="58"/>
      <c r="WJA8" s="58"/>
      <c r="WJB8" s="58"/>
      <c r="WJC8" s="58"/>
      <c r="WJD8" s="58"/>
      <c r="WJE8" s="58"/>
      <c r="WJF8" s="58"/>
      <c r="WJG8" s="58"/>
      <c r="WJH8" s="58"/>
      <c r="WJI8" s="58"/>
      <c r="WJJ8" s="58"/>
      <c r="WJK8" s="58"/>
      <c r="WJL8" s="58"/>
      <c r="WJM8" s="58"/>
      <c r="WJN8" s="58"/>
      <c r="WJO8" s="58"/>
      <c r="WJP8" s="58"/>
      <c r="WJQ8" s="58"/>
      <c r="WJR8" s="58"/>
      <c r="WJS8" s="58"/>
      <c r="WJT8" s="58"/>
      <c r="WJU8" s="58"/>
      <c r="WJV8" s="58"/>
      <c r="WJW8" s="58"/>
      <c r="WJX8" s="58"/>
      <c r="WJY8" s="58"/>
      <c r="WJZ8" s="58"/>
      <c r="WKA8" s="58"/>
      <c r="WKB8" s="58"/>
      <c r="WKC8" s="58"/>
      <c r="WKD8" s="58"/>
      <c r="WKE8" s="58"/>
      <c r="WKF8" s="58"/>
      <c r="WKG8" s="58"/>
      <c r="WKH8" s="58"/>
      <c r="WKI8" s="58"/>
      <c r="WKJ8" s="58"/>
      <c r="WKK8" s="58"/>
      <c r="WKL8" s="58"/>
      <c r="WKM8" s="58"/>
      <c r="WKN8" s="58"/>
      <c r="WKO8" s="58"/>
      <c r="WKP8" s="58"/>
      <c r="WKQ8" s="58"/>
      <c r="WKR8" s="58"/>
      <c r="WKS8" s="58"/>
      <c r="WKT8" s="58"/>
      <c r="WKU8" s="58"/>
      <c r="WKV8" s="58"/>
      <c r="WKW8" s="58"/>
      <c r="WKX8" s="58"/>
      <c r="WKY8" s="58"/>
      <c r="WKZ8" s="58"/>
      <c r="WLA8" s="58"/>
      <c r="WLB8" s="58"/>
      <c r="WLC8" s="58"/>
      <c r="WLD8" s="58"/>
      <c r="WLE8" s="58"/>
      <c r="WLF8" s="58"/>
      <c r="WLG8" s="58"/>
      <c r="WLH8" s="58"/>
      <c r="WLI8" s="58"/>
      <c r="WLJ8" s="58"/>
      <c r="WLK8" s="58"/>
      <c r="WLL8" s="58"/>
      <c r="WLM8" s="58"/>
      <c r="WLN8" s="58"/>
      <c r="WLO8" s="58"/>
      <c r="WLP8" s="58"/>
      <c r="WLQ8" s="58"/>
      <c r="WLR8" s="58"/>
      <c r="WLS8" s="58"/>
      <c r="WLT8" s="58"/>
      <c r="WLU8" s="58"/>
      <c r="WLV8" s="58"/>
      <c r="WLW8" s="58"/>
      <c r="WLX8" s="58"/>
      <c r="WLY8" s="58"/>
      <c r="WLZ8" s="58"/>
      <c r="WMA8" s="58"/>
      <c r="WMB8" s="58"/>
      <c r="WMC8" s="58"/>
      <c r="WMD8" s="58"/>
      <c r="WME8" s="58"/>
      <c r="WMF8" s="58"/>
      <c r="WMG8" s="58"/>
      <c r="WMH8" s="58"/>
      <c r="WMI8" s="58"/>
      <c r="WMJ8" s="58"/>
      <c r="WMK8" s="58"/>
      <c r="WML8" s="58"/>
      <c r="WMM8" s="58"/>
      <c r="WMN8" s="58"/>
      <c r="WMO8" s="58"/>
      <c r="WMP8" s="58"/>
      <c r="WMQ8" s="58"/>
      <c r="WMR8" s="58"/>
      <c r="WMS8" s="58"/>
      <c r="WMT8" s="58"/>
      <c r="WMU8" s="58"/>
      <c r="WMV8" s="58"/>
      <c r="WMW8" s="58"/>
      <c r="WMX8" s="58"/>
      <c r="WMY8" s="58"/>
      <c r="WMZ8" s="58"/>
      <c r="WNA8" s="58"/>
      <c r="WNB8" s="58"/>
      <c r="WNC8" s="58"/>
      <c r="WND8" s="58"/>
      <c r="WNE8" s="58"/>
      <c r="WNF8" s="58"/>
      <c r="WNG8" s="58"/>
      <c r="WNH8" s="58"/>
      <c r="WNI8" s="58"/>
      <c r="WNJ8" s="58"/>
      <c r="WNK8" s="58"/>
      <c r="WNL8" s="58"/>
      <c r="WNM8" s="58"/>
      <c r="WNN8" s="58"/>
      <c r="WNO8" s="58"/>
      <c r="WNP8" s="58"/>
      <c r="WNQ8" s="58"/>
      <c r="WNR8" s="58"/>
      <c r="WNS8" s="58"/>
      <c r="WNT8" s="58"/>
      <c r="WNU8" s="58"/>
      <c r="WNV8" s="58"/>
      <c r="WNW8" s="58"/>
      <c r="WNX8" s="58"/>
      <c r="WNY8" s="58"/>
      <c r="WNZ8" s="58"/>
      <c r="WOA8" s="58"/>
      <c r="WOB8" s="58"/>
      <c r="WOC8" s="58"/>
      <c r="WOD8" s="58"/>
      <c r="WOE8" s="58"/>
      <c r="WOF8" s="58"/>
      <c r="WOG8" s="58"/>
      <c r="WOH8" s="58"/>
      <c r="WOI8" s="58"/>
      <c r="WOJ8" s="58"/>
      <c r="WOK8" s="58"/>
      <c r="WOL8" s="58"/>
      <c r="WOM8" s="58"/>
      <c r="WON8" s="58"/>
      <c r="WOO8" s="58"/>
      <c r="WOP8" s="58"/>
      <c r="WOQ8" s="58"/>
      <c r="WOR8" s="58"/>
      <c r="WOS8" s="58"/>
      <c r="WOT8" s="58"/>
      <c r="WOU8" s="58"/>
      <c r="WOV8" s="58"/>
      <c r="WOW8" s="58"/>
      <c r="WOX8" s="58"/>
      <c r="WOY8" s="58"/>
      <c r="WOZ8" s="58"/>
      <c r="WPA8" s="58"/>
      <c r="WPB8" s="58"/>
      <c r="WPC8" s="58"/>
      <c r="WPD8" s="58"/>
      <c r="WPE8" s="58"/>
      <c r="WPF8" s="58"/>
      <c r="WPG8" s="58"/>
      <c r="WPH8" s="58"/>
      <c r="WPI8" s="58"/>
      <c r="WPJ8" s="58"/>
      <c r="WPK8" s="58"/>
      <c r="WPL8" s="58"/>
      <c r="WPM8" s="58"/>
      <c r="WPN8" s="58"/>
      <c r="WPO8" s="58"/>
      <c r="WPP8" s="58"/>
      <c r="WPQ8" s="58"/>
      <c r="WPR8" s="58"/>
      <c r="WPS8" s="58"/>
      <c r="WPT8" s="58"/>
      <c r="WPU8" s="58"/>
      <c r="WPV8" s="58"/>
      <c r="WPW8" s="58"/>
      <c r="WPX8" s="58"/>
      <c r="WPY8" s="58"/>
      <c r="WPZ8" s="58"/>
      <c r="WQA8" s="58"/>
      <c r="WQB8" s="58"/>
      <c r="WQC8" s="58"/>
      <c r="WQD8" s="58"/>
      <c r="WQE8" s="58"/>
      <c r="WQF8" s="58"/>
      <c r="WQG8" s="58"/>
      <c r="WQH8" s="58"/>
      <c r="WQI8" s="58"/>
      <c r="WQJ8" s="58"/>
      <c r="WQK8" s="58"/>
      <c r="WQL8" s="58"/>
      <c r="WQM8" s="58"/>
      <c r="WQN8" s="58"/>
      <c r="WQO8" s="58"/>
      <c r="WQP8" s="58"/>
      <c r="WQQ8" s="58"/>
      <c r="WQR8" s="58"/>
      <c r="WQS8" s="58"/>
      <c r="WQT8" s="58"/>
      <c r="WQU8" s="58"/>
      <c r="WQV8" s="58"/>
      <c r="WQW8" s="58"/>
      <c r="WQX8" s="58"/>
      <c r="WQY8" s="58"/>
      <c r="WQZ8" s="58"/>
      <c r="WRA8" s="58"/>
      <c r="WRB8" s="58"/>
      <c r="WRC8" s="58"/>
      <c r="WRD8" s="58"/>
      <c r="WRE8" s="58"/>
      <c r="WRF8" s="58"/>
      <c r="WRG8" s="58"/>
      <c r="WRH8" s="58"/>
      <c r="WRI8" s="58"/>
      <c r="WRJ8" s="58"/>
      <c r="WRK8" s="58"/>
      <c r="WRL8" s="58"/>
      <c r="WRM8" s="58"/>
      <c r="WRN8" s="58"/>
      <c r="WRO8" s="58"/>
      <c r="WRP8" s="58"/>
      <c r="WRQ8" s="58"/>
      <c r="WRR8" s="58"/>
      <c r="WRS8" s="58"/>
      <c r="WRT8" s="58"/>
      <c r="WRU8" s="58"/>
      <c r="WRV8" s="58"/>
      <c r="WRW8" s="58"/>
      <c r="WRX8" s="58"/>
      <c r="WRY8" s="58"/>
      <c r="WRZ8" s="58"/>
      <c r="WSA8" s="58"/>
      <c r="WSB8" s="58"/>
      <c r="WSC8" s="58"/>
      <c r="WSD8" s="58"/>
      <c r="WSE8" s="58"/>
      <c r="WSF8" s="58"/>
      <c r="WSG8" s="58"/>
      <c r="WSH8" s="58"/>
      <c r="WSI8" s="58"/>
      <c r="WSJ8" s="58"/>
      <c r="WSK8" s="58"/>
      <c r="WSL8" s="58"/>
      <c r="WSM8" s="58"/>
      <c r="WSN8" s="58"/>
      <c r="WSO8" s="58"/>
      <c r="WSP8" s="58"/>
      <c r="WSQ8" s="58"/>
      <c r="WSR8" s="58"/>
      <c r="WSS8" s="58"/>
      <c r="WST8" s="58"/>
      <c r="WSU8" s="58"/>
      <c r="WSV8" s="58"/>
      <c r="WSW8" s="58"/>
      <c r="WSX8" s="58"/>
      <c r="WSY8" s="58"/>
      <c r="WSZ8" s="58"/>
      <c r="WTA8" s="58"/>
      <c r="WTB8" s="58"/>
      <c r="WTC8" s="58"/>
      <c r="WTD8" s="58"/>
      <c r="WTE8" s="58"/>
      <c r="WTF8" s="58"/>
      <c r="WTG8" s="58"/>
      <c r="WTH8" s="58"/>
      <c r="WTI8" s="58"/>
      <c r="WTJ8" s="58"/>
      <c r="WTK8" s="58"/>
      <c r="WTL8" s="58"/>
      <c r="WTM8" s="58"/>
      <c r="WTN8" s="58"/>
      <c r="WTO8" s="58"/>
      <c r="WTP8" s="58"/>
      <c r="WTQ8" s="58"/>
      <c r="WTR8" s="58"/>
      <c r="WTS8" s="58"/>
      <c r="WTT8" s="58"/>
      <c r="WTU8" s="58"/>
      <c r="WTV8" s="58"/>
      <c r="WTW8" s="58"/>
      <c r="WTX8" s="58"/>
      <c r="WTY8" s="58"/>
      <c r="WTZ8" s="58"/>
      <c r="WUA8" s="58"/>
      <c r="WUB8" s="58"/>
      <c r="WUC8" s="58"/>
      <c r="WUD8" s="58"/>
      <c r="WUE8" s="58"/>
      <c r="WUF8" s="58"/>
      <c r="WUG8" s="58"/>
      <c r="WUH8" s="58"/>
      <c r="WUI8" s="58"/>
      <c r="WUJ8" s="58"/>
      <c r="WUK8" s="58"/>
      <c r="WUL8" s="58"/>
      <c r="WUM8" s="58"/>
      <c r="WUN8" s="58"/>
      <c r="WUO8" s="58"/>
      <c r="WUP8" s="58"/>
      <c r="WUQ8" s="58"/>
      <c r="WUR8" s="58"/>
      <c r="WUS8" s="58"/>
      <c r="WUT8" s="58"/>
      <c r="WUU8" s="58"/>
      <c r="WUV8" s="58"/>
      <c r="WUW8" s="58"/>
      <c r="WUX8" s="58"/>
      <c r="WUY8" s="58"/>
      <c r="WUZ8" s="58"/>
      <c r="WVA8" s="58"/>
      <c r="WVB8" s="58"/>
      <c r="WVC8" s="58"/>
      <c r="WVD8" s="58"/>
      <c r="WVE8" s="58"/>
      <c r="WVF8" s="58"/>
      <c r="WVG8" s="58"/>
      <c r="WVH8" s="58"/>
      <c r="WVI8" s="58"/>
      <c r="WVJ8" s="58"/>
      <c r="WVK8" s="58"/>
      <c r="WVL8" s="58"/>
      <c r="WVM8" s="58"/>
      <c r="WVN8" s="58"/>
      <c r="WVO8" s="58"/>
      <c r="WVP8" s="58"/>
      <c r="WVQ8" s="58"/>
      <c r="WVR8" s="58"/>
      <c r="WVS8" s="58"/>
      <c r="WVT8" s="58"/>
      <c r="WVU8" s="58"/>
      <c r="WVV8" s="58"/>
      <c r="WVW8" s="58"/>
      <c r="WVX8" s="58"/>
      <c r="WVY8" s="58"/>
      <c r="WVZ8" s="58"/>
      <c r="WWA8" s="58"/>
      <c r="WWB8" s="58"/>
      <c r="WWC8" s="58"/>
      <c r="WWD8" s="58"/>
      <c r="WWE8" s="58"/>
      <c r="WWF8" s="58"/>
      <c r="WWG8" s="58"/>
      <c r="WWH8" s="58"/>
      <c r="WWI8" s="58"/>
      <c r="WWJ8" s="58"/>
      <c r="WWK8" s="58"/>
      <c r="WWL8" s="58"/>
      <c r="WWM8" s="58"/>
      <c r="WWN8" s="58"/>
      <c r="WWO8" s="58"/>
      <c r="WWP8" s="58"/>
      <c r="WWQ8" s="58"/>
      <c r="WWR8" s="58"/>
      <c r="WWS8" s="58"/>
      <c r="WWT8" s="58"/>
      <c r="WWU8" s="58"/>
      <c r="WWV8" s="58"/>
      <c r="WWW8" s="58"/>
      <c r="WWX8" s="58"/>
      <c r="WWY8" s="58"/>
      <c r="WWZ8" s="58"/>
      <c r="WXA8" s="58"/>
      <c r="WXB8" s="58"/>
      <c r="WXC8" s="58"/>
      <c r="WXD8" s="58"/>
      <c r="WXE8" s="58"/>
      <c r="WXF8" s="58"/>
      <c r="WXG8" s="58"/>
      <c r="WXH8" s="58"/>
      <c r="WXI8" s="58"/>
      <c r="WXJ8" s="58"/>
      <c r="WXK8" s="58"/>
      <c r="WXL8" s="58"/>
      <c r="WXM8" s="58"/>
      <c r="WXN8" s="58"/>
      <c r="WXO8" s="58"/>
      <c r="WXP8" s="58"/>
      <c r="WXQ8" s="58"/>
      <c r="WXR8" s="58"/>
      <c r="WXS8" s="58"/>
      <c r="WXT8" s="58"/>
      <c r="WXU8" s="58"/>
      <c r="WXV8" s="58"/>
      <c r="WXW8" s="58"/>
      <c r="WXX8" s="58"/>
      <c r="WXY8" s="58"/>
      <c r="WXZ8" s="58"/>
      <c r="WYA8" s="58"/>
      <c r="WYB8" s="58"/>
      <c r="WYC8" s="58"/>
      <c r="WYD8" s="58"/>
      <c r="WYE8" s="58"/>
      <c r="WYF8" s="58"/>
      <c r="WYG8" s="58"/>
      <c r="WYH8" s="58"/>
      <c r="WYI8" s="58"/>
      <c r="WYJ8" s="58"/>
      <c r="WYK8" s="58"/>
      <c r="WYL8" s="58"/>
      <c r="WYM8" s="58"/>
      <c r="WYN8" s="58"/>
      <c r="WYO8" s="58"/>
      <c r="WYP8" s="58"/>
      <c r="WYQ8" s="58"/>
      <c r="WYR8" s="58"/>
      <c r="WYS8" s="58"/>
      <c r="WYT8" s="58"/>
      <c r="WYU8" s="58"/>
      <c r="WYV8" s="58"/>
      <c r="WYW8" s="58"/>
      <c r="WYX8" s="58"/>
      <c r="WYY8" s="58"/>
      <c r="WYZ8" s="58"/>
      <c r="WZA8" s="58"/>
      <c r="WZB8" s="58"/>
      <c r="WZC8" s="58"/>
      <c r="WZD8" s="58"/>
      <c r="WZE8" s="58"/>
      <c r="WZF8" s="58"/>
      <c r="WZG8" s="58"/>
      <c r="WZH8" s="58"/>
      <c r="WZI8" s="58"/>
      <c r="WZJ8" s="58"/>
      <c r="WZK8" s="58"/>
      <c r="WZL8" s="58"/>
      <c r="WZM8" s="58"/>
      <c r="WZN8" s="58"/>
      <c r="WZO8" s="58"/>
      <c r="WZP8" s="58"/>
      <c r="WZQ8" s="58"/>
      <c r="WZR8" s="58"/>
      <c r="WZS8" s="58"/>
      <c r="WZT8" s="58"/>
      <c r="WZU8" s="58"/>
      <c r="WZV8" s="58"/>
      <c r="WZW8" s="58"/>
      <c r="WZX8" s="58"/>
      <c r="WZY8" s="58"/>
      <c r="WZZ8" s="58"/>
      <c r="XAA8" s="58"/>
      <c r="XAB8" s="58"/>
      <c r="XAC8" s="58"/>
      <c r="XAD8" s="58"/>
      <c r="XAE8" s="58"/>
      <c r="XAF8" s="58"/>
      <c r="XAG8" s="58"/>
      <c r="XAH8" s="58"/>
      <c r="XAI8" s="58"/>
      <c r="XAJ8" s="58"/>
      <c r="XAK8" s="58"/>
      <c r="XAL8" s="58"/>
      <c r="XAM8" s="58"/>
      <c r="XAN8" s="58"/>
      <c r="XAO8" s="58"/>
      <c r="XAP8" s="58"/>
      <c r="XAQ8" s="58"/>
      <c r="XAR8" s="58"/>
      <c r="XAS8" s="58"/>
      <c r="XAT8" s="58"/>
      <c r="XAU8" s="58"/>
      <c r="XAV8" s="58"/>
      <c r="XAW8" s="58"/>
      <c r="XAX8" s="58"/>
      <c r="XAY8" s="58"/>
      <c r="XAZ8" s="58"/>
      <c r="XBA8" s="58"/>
      <c r="XBB8" s="58"/>
      <c r="XBC8" s="58"/>
      <c r="XBD8" s="58"/>
      <c r="XBE8" s="58"/>
      <c r="XBF8" s="58"/>
      <c r="XBG8" s="58"/>
      <c r="XBH8" s="58"/>
      <c r="XBI8" s="58"/>
      <c r="XBJ8" s="58"/>
      <c r="XBK8" s="58"/>
      <c r="XBL8" s="58"/>
      <c r="XBM8" s="58"/>
      <c r="XBN8" s="58"/>
      <c r="XBO8" s="58"/>
      <c r="XBP8" s="58"/>
      <c r="XBQ8" s="58"/>
      <c r="XBR8" s="58"/>
      <c r="XBS8" s="58"/>
      <c r="XBT8" s="58"/>
      <c r="XBU8" s="58"/>
      <c r="XBV8" s="58"/>
      <c r="XBW8" s="58"/>
      <c r="XBX8" s="58"/>
      <c r="XBY8" s="58"/>
      <c r="XBZ8" s="58"/>
      <c r="XCA8" s="58"/>
      <c r="XCB8" s="58"/>
      <c r="XCC8" s="58"/>
      <c r="XCD8" s="58"/>
      <c r="XCE8" s="58"/>
      <c r="XCF8" s="58"/>
      <c r="XCG8" s="58"/>
      <c r="XCH8" s="58"/>
      <c r="XCI8" s="58"/>
      <c r="XCJ8" s="58"/>
      <c r="XCK8" s="58"/>
      <c r="XCL8" s="58"/>
      <c r="XCM8" s="58"/>
      <c r="XCN8" s="58"/>
      <c r="XCO8" s="58"/>
      <c r="XCP8" s="58"/>
      <c r="XCQ8" s="58"/>
      <c r="XCR8" s="58"/>
      <c r="XCS8" s="58"/>
      <c r="XCT8" s="58"/>
      <c r="XCU8" s="58"/>
      <c r="XCV8" s="58"/>
      <c r="XCW8" s="58"/>
      <c r="XCX8" s="58"/>
      <c r="XCY8" s="58"/>
      <c r="XCZ8" s="58"/>
      <c r="XDA8" s="58"/>
      <c r="XDB8" s="58"/>
      <c r="XDC8" s="58"/>
      <c r="XDD8" s="58"/>
      <c r="XDE8" s="58"/>
      <c r="XDF8" s="58"/>
      <c r="XDG8" s="58"/>
      <c r="XDH8" s="58"/>
      <c r="XDI8" s="58"/>
      <c r="XDJ8" s="58"/>
      <c r="XDK8" s="58"/>
      <c r="XDL8" s="58"/>
      <c r="XDM8" s="58"/>
      <c r="XDN8" s="58"/>
      <c r="XDO8" s="58"/>
      <c r="XDP8" s="58"/>
      <c r="XDQ8" s="58"/>
      <c r="XDR8" s="58"/>
      <c r="XDS8" s="58"/>
      <c r="XDT8" s="58"/>
      <c r="XDU8" s="58"/>
      <c r="XDV8" s="58"/>
      <c r="XDW8" s="58"/>
      <c r="XDX8" s="58"/>
      <c r="XDY8" s="58"/>
      <c r="XDZ8" s="58"/>
      <c r="XEA8" s="58"/>
      <c r="XEB8" s="58"/>
      <c r="XEC8" s="58"/>
      <c r="XED8" s="58"/>
      <c r="XEE8" s="58"/>
      <c r="XEF8" s="58"/>
      <c r="XEG8" s="58"/>
      <c r="XEH8" s="58"/>
      <c r="XEI8" s="58"/>
      <c r="XEJ8" s="58"/>
      <c r="XEK8" s="58"/>
      <c r="XEL8" s="58"/>
      <c r="XEM8" s="58"/>
      <c r="XEN8" s="58"/>
      <c r="XEO8" s="58"/>
      <c r="XEP8" s="58"/>
      <c r="XEQ8" s="58"/>
      <c r="XER8" s="58"/>
      <c r="XES8" s="58"/>
      <c r="XET8" s="58"/>
      <c r="XEU8" s="58"/>
      <c r="XEV8" s="58"/>
      <c r="XEW8" s="58"/>
      <c r="XEX8" s="58"/>
      <c r="XEY8" s="58"/>
      <c r="XEZ8" s="58"/>
      <c r="XFA8" s="58"/>
      <c r="XFB8" s="58"/>
      <c r="XFC8" s="58"/>
      <c r="XFD8" s="58"/>
    </row>
    <row r="13" spans="1:16384">
      <c r="N13" s="31" t="s">
        <v>2980</v>
      </c>
    </row>
    <row r="25" ht="18" customHeight="1"/>
  </sheetData>
  <phoneticPr fontId="225" type="noConversion"/>
  <conditionalFormatting sqref="B7">
    <cfRule type="dataBar" priority="2">
      <dataBar>
        <cfvo type="min"/>
        <cfvo type="max"/>
        <color rgb="FF638EC6"/>
      </dataBar>
      <extLst>
        <ext xmlns:x14="http://schemas.microsoft.com/office/spreadsheetml/2009/9/main" uri="{B025F937-C7B1-47D3-B67F-A62EFF666E3E}">
          <x14:id>{D0D5437B-4EFA-4659-9375-E064531C41F6}</x14:id>
        </ext>
      </extLst>
    </cfRule>
  </conditionalFormatting>
  <conditionalFormatting sqref="B8">
    <cfRule type="dataBar" priority="1">
      <dataBar>
        <cfvo type="min"/>
        <cfvo type="max"/>
        <color rgb="FF638EC6"/>
      </dataBar>
      <extLst>
        <ext xmlns:x14="http://schemas.microsoft.com/office/spreadsheetml/2009/9/main" uri="{B025F937-C7B1-47D3-B67F-A62EFF666E3E}">
          <x14:id>{4983E09C-E9B0-4C59-BE57-AE443514B545}</x14:id>
        </ext>
      </extLst>
    </cfRule>
  </conditionalFormatting>
  <dataValidations count="1">
    <dataValidation type="list" allowBlank="1" showInputMessage="1" showErrorMessage="1" sqref="E2:E3 E5:E8">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D0D5437B-4EFA-4659-9375-E064531C41F6}">
            <x14:dataBar minLength="0" maxLength="100" gradient="0">
              <x14:cfvo type="autoMin"/>
              <x14:cfvo type="autoMax"/>
              <x14:negativeFillColor rgb="FFFF0000"/>
              <x14:axisColor rgb="FF000000"/>
            </x14:dataBar>
          </x14:cfRule>
          <xm:sqref>B7</xm:sqref>
        </x14:conditionalFormatting>
        <x14:conditionalFormatting xmlns:xm="http://schemas.microsoft.com/office/excel/2006/main">
          <x14:cfRule type="dataBar" id="{4983E09C-E9B0-4C59-BE57-AE443514B545}">
            <x14:dataBar minLength="0" maxLength="100" gradient="0">
              <x14:cfvo type="autoMin"/>
              <x14:cfvo type="autoMax"/>
              <x14:negativeFillColor rgb="FFFF0000"/>
              <x14:axisColor rgb="FF000000"/>
            </x14:dataBar>
          </x14:cfRule>
          <xm:sqref>B8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48"/>
  <sheetViews>
    <sheetView tabSelected="1" view="pageBreakPreview" zoomScale="85" zoomScaleNormal="60" zoomScaleSheetLayoutView="85" workbookViewId="0">
      <selection activeCell="G15" sqref="G15"/>
    </sheetView>
  </sheetViews>
  <sheetFormatPr defaultColWidth="9" defaultRowHeight="14.25"/>
  <cols>
    <col min="1" max="1" width="10.5" style="976" customWidth="1"/>
    <col min="2" max="2" width="15.75" style="976" customWidth="1"/>
    <col min="3" max="3" width="15.125" style="976" customWidth="1"/>
    <col min="4" max="4" width="12.25" style="976" customWidth="1"/>
    <col min="5" max="5" width="14.375" style="976" customWidth="1"/>
    <col min="6" max="6" width="13.875" style="976" customWidth="1"/>
    <col min="7" max="7" width="14.5" style="976" customWidth="1"/>
    <col min="8" max="8" width="15.87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7.125" style="1560" customWidth="1"/>
    <col min="17" max="17" width="19.5" style="976" customWidth="1"/>
    <col min="18" max="22" width="6.125" style="976" customWidth="1"/>
    <col min="23" max="23" width="5.75" style="976" customWidth="1"/>
    <col min="24" max="24" width="7.25" style="976" customWidth="1"/>
    <col min="25" max="25" width="7.875" style="976" customWidth="1"/>
    <col min="26" max="26" width="19.75" style="976" customWidth="1"/>
    <col min="27" max="28" width="9.375" style="976" customWidth="1"/>
    <col min="29" max="42" width="9" style="976"/>
    <col min="43" max="43" width="13.375" style="976" customWidth="1"/>
    <col min="44" max="16384" width="9" style="976"/>
  </cols>
  <sheetData>
    <row r="1" spans="1:29" s="1362" customFormat="1" ht="28.5" customHeight="1">
      <c r="A1" s="1363" t="s">
        <v>1019</v>
      </c>
      <c r="B1" s="1561" t="s">
        <v>1020</v>
      </c>
      <c r="C1" s="1422" t="s">
        <v>1021</v>
      </c>
      <c r="D1" s="1366" t="s">
        <v>457</v>
      </c>
      <c r="E1" s="2041"/>
      <c r="F1" s="1368" t="s">
        <v>1022</v>
      </c>
      <c r="G1" s="1369" t="s">
        <v>1023</v>
      </c>
      <c r="H1" s="1367"/>
      <c r="I1" s="1367"/>
      <c r="J1" s="1367"/>
      <c r="K1" s="1420"/>
      <c r="L1" s="1421"/>
      <c r="M1" s="1422"/>
      <c r="N1" s="1422"/>
      <c r="O1" s="1422"/>
      <c r="P1" s="2054"/>
      <c r="Q1" s="1365"/>
      <c r="R1" s="1365"/>
      <c r="S1" s="1365"/>
      <c r="T1" s="1365"/>
      <c r="U1" s="1365"/>
      <c r="V1" s="1365"/>
      <c r="W1" s="1365"/>
      <c r="X1" s="1365"/>
      <c r="Y1" s="1365"/>
      <c r="Z1" s="1365"/>
      <c r="AA1" s="1365"/>
      <c r="AB1" s="1365"/>
      <c r="AC1" s="1428"/>
    </row>
    <row r="2" spans="1:29" s="2040" customFormat="1" ht="28.5" customHeight="1">
      <c r="A2" s="1370" t="s">
        <v>923</v>
      </c>
      <c r="B2" s="1371">
        <f>IF(C2="——",ROUND(C49*D3/10000,0),ROUND(C49*D3/10000,0)-D2)</f>
        <v>4</v>
      </c>
      <c r="C2" s="1372" t="s">
        <v>124</v>
      </c>
      <c r="D2" s="1540" t="e">
        <f ca="1">SUMIF(INDIRECT("'"&amp;F2&amp;"'"&amp;"!A:A"),"承租人权益价值",INDIRECT("'"&amp;F2&amp;"'"&amp;"!c:c"))</f>
        <v>#REF!</v>
      </c>
      <c r="E2" s="1373" t="s">
        <v>924</v>
      </c>
      <c r="F2" s="1374"/>
      <c r="G2" s="1312"/>
      <c r="H2" s="1312"/>
      <c r="I2" s="1312"/>
      <c r="J2" s="1312"/>
      <c r="K2" s="2055"/>
      <c r="L2" s="2056"/>
      <c r="M2" s="2057"/>
      <c r="N2" s="2057"/>
      <c r="O2" s="2057"/>
      <c r="P2" s="2058"/>
      <c r="Q2" s="2076"/>
      <c r="R2" s="2076"/>
      <c r="S2" s="2076"/>
      <c r="T2" s="2076"/>
      <c r="U2" s="2076"/>
      <c r="V2" s="2076"/>
      <c r="W2" s="2076"/>
      <c r="X2" s="2076"/>
      <c r="Y2" s="2076"/>
      <c r="Z2" s="2076"/>
      <c r="AA2" s="2076"/>
      <c r="AB2" s="2076"/>
      <c r="AC2" s="2077"/>
    </row>
    <row r="3" spans="1:29" s="2040" customFormat="1" ht="28.5" customHeight="1">
      <c r="A3" s="241" t="s">
        <v>925</v>
      </c>
      <c r="B3" s="1376">
        <f>IF(C2="——",C49,ROUND(B2*10000/D3,0))</f>
        <v>37456</v>
      </c>
      <c r="C3" s="1375" t="s">
        <v>1024</v>
      </c>
      <c r="D3" s="1376">
        <f>IF(D1="",'数据-汇总表'!E3,SUMIF('数据-汇总表'!$C19:$C33,D1,'数据-汇总表'!$E19:$E33))</f>
        <v>1</v>
      </c>
      <c r="E3" s="1312"/>
      <c r="F3" s="2042"/>
      <c r="G3" s="1312"/>
      <c r="H3" s="1312"/>
      <c r="I3" s="1312"/>
      <c r="J3" s="1312"/>
      <c r="K3" s="2055"/>
      <c r="L3" s="2056"/>
      <c r="M3" s="2057"/>
      <c r="N3" s="2057"/>
      <c r="O3" s="2057"/>
      <c r="P3" s="2058"/>
      <c r="Q3" s="2076"/>
      <c r="R3" s="2076"/>
      <c r="S3" s="2076"/>
      <c r="T3" s="2076"/>
      <c r="U3" s="2076"/>
      <c r="V3" s="2076"/>
      <c r="W3" s="2076"/>
      <c r="X3" s="2076"/>
      <c r="Y3" s="2076"/>
      <c r="Z3" s="2076"/>
      <c r="AA3" s="2076"/>
      <c r="AB3" s="2076"/>
      <c r="AC3" s="2024"/>
    </row>
    <row r="4" spans="1:29" ht="15">
      <c r="A4" s="989" t="s">
        <v>1025</v>
      </c>
      <c r="B4" s="990"/>
      <c r="C4" s="3443" t="s">
        <v>1026</v>
      </c>
      <c r="D4" s="3444"/>
      <c r="E4" s="3445" t="s">
        <v>1027</v>
      </c>
      <c r="F4" s="3446"/>
      <c r="G4" s="3443" t="s">
        <v>1028</v>
      </c>
      <c r="H4" s="3444"/>
      <c r="I4" s="3443" t="s">
        <v>1029</v>
      </c>
      <c r="J4" s="3444"/>
      <c r="K4" s="2059" t="s">
        <v>1030</v>
      </c>
      <c r="L4" s="1134"/>
      <c r="M4" s="1135"/>
      <c r="N4" s="1135"/>
      <c r="O4" s="1135"/>
      <c r="P4" s="3477" t="s">
        <v>1031</v>
      </c>
      <c r="Q4" s="3478"/>
      <c r="R4" s="3483" t="s">
        <v>1027</v>
      </c>
      <c r="S4" s="3484"/>
      <c r="T4" s="3483" t="s">
        <v>1028</v>
      </c>
      <c r="U4" s="3484"/>
      <c r="V4" s="3459" t="s">
        <v>1029</v>
      </c>
      <c r="W4" s="3459"/>
      <c r="X4" s="1177"/>
      <c r="Y4" s="3483" t="s">
        <v>1031</v>
      </c>
      <c r="Z4" s="3484"/>
      <c r="AA4" s="3474" t="s">
        <v>1027</v>
      </c>
      <c r="AB4" s="3474" t="s">
        <v>1028</v>
      </c>
      <c r="AC4" s="3474" t="s">
        <v>1029</v>
      </c>
    </row>
    <row r="5" spans="1:29" ht="15">
      <c r="A5" s="991"/>
      <c r="B5" s="992"/>
      <c r="C5" s="3447" t="s">
        <v>1032</v>
      </c>
      <c r="D5" s="3448"/>
      <c r="E5" s="3449" t="str">
        <f>共产房土地案例新!A2</f>
        <v>北京市石景山区阜石路1603-616地块R2二类居住用地</v>
      </c>
      <c r="F5" s="3450"/>
      <c r="G5" s="3447" t="str">
        <f>共产房土地案例新!A3</f>
        <v>北京市丰台区吴家村梅市口路1615-761、1615-762地块R2二类居住用地</v>
      </c>
      <c r="H5" s="3448"/>
      <c r="I5" s="3447" t="str">
        <f>石景山共有产权!B3</f>
        <v>西山荟景嘉园</v>
      </c>
      <c r="J5" s="3448"/>
      <c r="K5" s="2060"/>
      <c r="L5" s="1134"/>
      <c r="M5" s="1135"/>
      <c r="N5" s="1135"/>
      <c r="O5" s="1135"/>
      <c r="P5" s="3479"/>
      <c r="Q5" s="3480"/>
      <c r="R5" s="3485"/>
      <c r="S5" s="3486"/>
      <c r="T5" s="3485"/>
      <c r="U5" s="3486"/>
      <c r="V5" s="3459"/>
      <c r="W5" s="3459"/>
      <c r="X5" s="1177"/>
      <c r="Y5" s="3485"/>
      <c r="Z5" s="3486"/>
      <c r="AA5" s="3475"/>
      <c r="AB5" s="3475"/>
      <c r="AC5" s="3475"/>
    </row>
    <row r="6" spans="1:29" ht="15">
      <c r="A6" s="993"/>
      <c r="B6" s="994"/>
      <c r="C6" s="3451" t="s">
        <v>1033</v>
      </c>
      <c r="D6" s="3452"/>
      <c r="E6" s="3453" t="s">
        <v>1033</v>
      </c>
      <c r="F6" s="3454"/>
      <c r="G6" s="3451" t="s">
        <v>1033</v>
      </c>
      <c r="H6" s="3452"/>
      <c r="I6" s="3451" t="s">
        <v>1033</v>
      </c>
      <c r="J6" s="3452"/>
      <c r="K6" s="2060" t="s">
        <v>1034</v>
      </c>
      <c r="L6" s="1134"/>
      <c r="M6" s="1135"/>
      <c r="N6" s="1135"/>
      <c r="O6" s="1135"/>
      <c r="P6" s="3481"/>
      <c r="Q6" s="3482"/>
      <c r="R6" s="3485"/>
      <c r="S6" s="3486"/>
      <c r="T6" s="3487"/>
      <c r="U6" s="3488"/>
      <c r="V6" s="3459"/>
      <c r="W6" s="3459"/>
      <c r="X6" s="1177"/>
      <c r="Y6" s="3487"/>
      <c r="Z6" s="3488"/>
      <c r="AA6" s="3476"/>
      <c r="AB6" s="3476"/>
      <c r="AC6" s="3476"/>
    </row>
    <row r="7" spans="1:29" s="970" customFormat="1" ht="15">
      <c r="A7" s="995" t="s">
        <v>1035</v>
      </c>
      <c r="B7" s="996"/>
      <c r="C7" s="997">
        <f>'数据-取费表'!B2</f>
        <v>44347</v>
      </c>
      <c r="D7" s="998">
        <v>100</v>
      </c>
      <c r="E7" s="999">
        <f>共产房土地案例新!K2</f>
        <v>43489</v>
      </c>
      <c r="F7" s="1000">
        <f>SUMIF(58:58,YEAR(E7)&amp;"-"&amp;MONTH(E7),59:59)</f>
        <v>98</v>
      </c>
      <c r="G7" s="1001">
        <f>共产房土地案例新!K3</f>
        <v>43812</v>
      </c>
      <c r="H7" s="998">
        <f>SUMIF(58:58,YEAR(G7)&amp;"-"&amp;MONTH(G7),59:59)</f>
        <v>98.5</v>
      </c>
      <c r="I7" s="1001">
        <v>44018</v>
      </c>
      <c r="J7" s="998">
        <f>SUMIF(58:58,YEAR(I7)&amp;"-"&amp;MONTH(I7),59:59)</f>
        <v>99.5</v>
      </c>
      <c r="K7" s="2061"/>
      <c r="L7" s="1137"/>
      <c r="M7" s="1138"/>
      <c r="N7" s="1138"/>
      <c r="O7" s="1138"/>
      <c r="P7" s="3455" t="s">
        <v>1036</v>
      </c>
      <c r="Q7" s="3456"/>
      <c r="R7" s="1178" t="s">
        <v>1037</v>
      </c>
      <c r="S7" s="1179">
        <f t="shared" ref="S7:S15" si="0">F7</f>
        <v>98</v>
      </c>
      <c r="T7" s="1178" t="s">
        <v>1037</v>
      </c>
      <c r="U7" s="1179">
        <f t="shared" ref="U7:U15" si="1">H7</f>
        <v>98.5</v>
      </c>
      <c r="V7" s="1178" t="s">
        <v>1037</v>
      </c>
      <c r="W7" s="1179">
        <f t="shared" ref="W7:W15" si="2">J7</f>
        <v>99.5</v>
      </c>
      <c r="X7" s="1180"/>
      <c r="Y7" s="3455" t="s">
        <v>1036</v>
      </c>
      <c r="Z7" s="3457"/>
      <c r="AA7" s="1192">
        <f>D7/F7</f>
        <v>1.0204081632653061</v>
      </c>
      <c r="AB7" s="1192">
        <f>D7/H7</f>
        <v>1.015228426395939</v>
      </c>
      <c r="AC7" s="1192">
        <f>D7/J7</f>
        <v>1.0050251256281406</v>
      </c>
    </row>
    <row r="8" spans="1:29" s="970" customFormat="1" ht="15">
      <c r="A8" s="995" t="s">
        <v>1038</v>
      </c>
      <c r="B8" s="996"/>
      <c r="C8" s="1002" t="s">
        <v>1039</v>
      </c>
      <c r="D8" s="998">
        <v>100</v>
      </c>
      <c r="E8" s="1002" t="s">
        <v>1040</v>
      </c>
      <c r="F8" s="1000">
        <f>SUMIF(61:61,E8,62:62)-SUMIF(61:61,C8,62:62)+100</f>
        <v>100</v>
      </c>
      <c r="G8" s="1002" t="s">
        <v>1040</v>
      </c>
      <c r="H8" s="998">
        <f>SUMIF(61:61,G8,62:62)-SUMIF(61:61,C8,62:62)+100</f>
        <v>100</v>
      </c>
      <c r="I8" s="1002" t="s">
        <v>1040</v>
      </c>
      <c r="J8" s="998">
        <f>SUMIF(61:61,I8,62:62)-SUMIF(61:61,C8,62:62)+100</f>
        <v>100</v>
      </c>
      <c r="K8" s="2061"/>
      <c r="L8" s="1137"/>
      <c r="M8" s="1138"/>
      <c r="N8" s="1138"/>
      <c r="O8" s="1138"/>
      <c r="P8" s="3455" t="s">
        <v>1041</v>
      </c>
      <c r="Q8" s="3457"/>
      <c r="R8" s="1178" t="s">
        <v>1037</v>
      </c>
      <c r="S8" s="1179">
        <f t="shared" si="0"/>
        <v>100</v>
      </c>
      <c r="T8" s="1178" t="s">
        <v>1037</v>
      </c>
      <c r="U8" s="1179">
        <f t="shared" si="1"/>
        <v>100</v>
      </c>
      <c r="V8" s="1178" t="s">
        <v>1037</v>
      </c>
      <c r="W8" s="1179">
        <f t="shared" si="2"/>
        <v>100</v>
      </c>
      <c r="X8" s="1180"/>
      <c r="Y8" s="3455" t="s">
        <v>1041</v>
      </c>
      <c r="Z8" s="3457"/>
      <c r="AA8" s="1192">
        <f t="shared" ref="AA8:AA19" si="3">D8/F8</f>
        <v>1</v>
      </c>
      <c r="AB8" s="1192">
        <f t="shared" ref="AB8:AB19" si="4">D8/H8</f>
        <v>1</v>
      </c>
      <c r="AC8" s="1192">
        <f t="shared" ref="AC8:AC19" si="5">D8/J8</f>
        <v>1</v>
      </c>
    </row>
    <row r="9" spans="1:29" s="970" customFormat="1">
      <c r="A9" s="1003" t="s">
        <v>1042</v>
      </c>
      <c r="B9" s="1004" t="s">
        <v>1043</v>
      </c>
      <c r="C9" s="2043" t="s">
        <v>1044</v>
      </c>
      <c r="D9" s="1006">
        <v>100</v>
      </c>
      <c r="E9" s="1005" t="s">
        <v>1044</v>
      </c>
      <c r="F9" s="1379">
        <f>SUMIF(63:63,E9,64:64)-SUMIF(63:63,C9,64:64)+100</f>
        <v>100</v>
      </c>
      <c r="G9" s="1005" t="s">
        <v>1044</v>
      </c>
      <c r="H9" s="1006">
        <f>SUMIF(63:63,G9,64:64)-SUMIF(63:63,C9,64:64)+100</f>
        <v>100</v>
      </c>
      <c r="I9" s="1005" t="s">
        <v>1044</v>
      </c>
      <c r="J9" s="1006">
        <f>SUMIF(63:63,I9,64:64)-SUMIF(63:63,C9,64:64)+100</f>
        <v>100</v>
      </c>
      <c r="K9" s="2061"/>
      <c r="L9" s="1137"/>
      <c r="M9" s="1138"/>
      <c r="N9" s="1138"/>
      <c r="O9" s="1138"/>
      <c r="P9" s="3460" t="s">
        <v>1045</v>
      </c>
      <c r="Q9" s="1182" t="str">
        <f t="shared" ref="Q9:Q15" si="6">B9</f>
        <v>用途</v>
      </c>
      <c r="R9" s="1178" t="s">
        <v>1037</v>
      </c>
      <c r="S9" s="1179">
        <f t="shared" si="0"/>
        <v>100</v>
      </c>
      <c r="T9" s="1178" t="s">
        <v>1037</v>
      </c>
      <c r="U9" s="1179">
        <f t="shared" si="1"/>
        <v>100</v>
      </c>
      <c r="V9" s="1178" t="s">
        <v>1037</v>
      </c>
      <c r="W9" s="1179">
        <f t="shared" si="2"/>
        <v>100</v>
      </c>
      <c r="X9" s="1180"/>
      <c r="Y9" s="3411" t="s">
        <v>1046</v>
      </c>
      <c r="Z9" s="1193" t="str">
        <f t="shared" ref="Z9:Z15" si="7">Q9</f>
        <v>用途</v>
      </c>
      <c r="AA9" s="1192">
        <f t="shared" si="3"/>
        <v>1</v>
      </c>
      <c r="AB9" s="1192">
        <f t="shared" si="4"/>
        <v>1</v>
      </c>
      <c r="AC9" s="1192">
        <f t="shared" si="5"/>
        <v>1</v>
      </c>
    </row>
    <row r="10" spans="1:29" s="971" customFormat="1" ht="27">
      <c r="A10" s="1007"/>
      <c r="B10" s="1008" t="s">
        <v>1047</v>
      </c>
      <c r="C10" s="1380" t="s">
        <v>1048</v>
      </c>
      <c r="D10" s="1010">
        <v>100</v>
      </c>
      <c r="E10" s="1313" t="s">
        <v>1048</v>
      </c>
      <c r="F10" s="1381">
        <f>SUMIF(65:65,E10,66:66)-SUMIF(65:65,C10,66:66)+100</f>
        <v>100</v>
      </c>
      <c r="G10" s="1314" t="s">
        <v>1048</v>
      </c>
      <c r="H10" s="1010">
        <f>SUMIF(65:65,G10,66:66)-SUMIF(65:65,C10,66:66)+100</f>
        <v>100</v>
      </c>
      <c r="I10" s="1314" t="s">
        <v>1048</v>
      </c>
      <c r="J10" s="1010">
        <f>SUMIF(65:65,I10,66:66)-SUMIF(65:65,C10,66:66)+100</f>
        <v>100</v>
      </c>
      <c r="K10" s="2062">
        <v>2</v>
      </c>
      <c r="L10" s="1141"/>
      <c r="M10" s="1142"/>
      <c r="N10" s="1142"/>
      <c r="O10" s="1142"/>
      <c r="P10" s="3460"/>
      <c r="Q10" s="1182" t="str">
        <f t="shared" si="6"/>
        <v>土地使用年限（年）</v>
      </c>
      <c r="R10" s="1178" t="s">
        <v>1037</v>
      </c>
      <c r="S10" s="1179">
        <f t="shared" si="0"/>
        <v>100</v>
      </c>
      <c r="T10" s="1178" t="s">
        <v>1037</v>
      </c>
      <c r="U10" s="1179">
        <f t="shared" si="1"/>
        <v>100</v>
      </c>
      <c r="V10" s="1178" t="s">
        <v>1037</v>
      </c>
      <c r="W10" s="1179">
        <f t="shared" si="2"/>
        <v>100</v>
      </c>
      <c r="X10" s="1180"/>
      <c r="Y10" s="3411"/>
      <c r="Z10" s="1193" t="str">
        <f t="shared" si="7"/>
        <v>土地使用年限（年）</v>
      </c>
      <c r="AA10" s="1192">
        <f t="shared" si="3"/>
        <v>1</v>
      </c>
      <c r="AB10" s="1192">
        <f t="shared" si="4"/>
        <v>1</v>
      </c>
      <c r="AC10" s="1192">
        <f t="shared" si="5"/>
        <v>1</v>
      </c>
    </row>
    <row r="11" spans="1:29" ht="15">
      <c r="A11" s="1011"/>
      <c r="B11" s="1008" t="s">
        <v>1049</v>
      </c>
      <c r="C11" s="1012">
        <f>'数据-汇总表'!I6</f>
        <v>2.56</v>
      </c>
      <c r="D11" s="1010">
        <v>100</v>
      </c>
      <c r="E11" s="1012">
        <v>2.58</v>
      </c>
      <c r="F11" s="1381">
        <f>LOOKUP(E11,68:68,69:69)-LOOKUP(C11,68:68,69:69)+100</f>
        <v>100</v>
      </c>
      <c r="G11" s="1013">
        <v>3</v>
      </c>
      <c r="H11" s="1010">
        <f>LOOKUP(G11,68:68,69:69)-LOOKUP(C11,68:68,69:69)+100</f>
        <v>99</v>
      </c>
      <c r="I11" s="1012">
        <f>石景山共有产权!H51</f>
        <v>2.8</v>
      </c>
      <c r="J11" s="1010">
        <f>LOOKUP(I11,68:68,69:69)-LOOKUP(C11,68:68,69:69)+100</f>
        <v>100</v>
      </c>
      <c r="K11" s="2062">
        <v>1</v>
      </c>
      <c r="L11" s="1145"/>
      <c r="M11" s="1135"/>
      <c r="N11" s="1135"/>
      <c r="O11" s="1135"/>
      <c r="P11" s="3460"/>
      <c r="Q11" s="1182" t="str">
        <f t="shared" si="6"/>
        <v>容积率</v>
      </c>
      <c r="R11" s="1178" t="s">
        <v>1037</v>
      </c>
      <c r="S11" s="1179">
        <f t="shared" si="0"/>
        <v>100</v>
      </c>
      <c r="T11" s="1178" t="s">
        <v>1037</v>
      </c>
      <c r="U11" s="1179">
        <f t="shared" si="1"/>
        <v>99</v>
      </c>
      <c r="V11" s="1178" t="s">
        <v>1037</v>
      </c>
      <c r="W11" s="1179">
        <f t="shared" si="2"/>
        <v>100</v>
      </c>
      <c r="X11" s="1180"/>
      <c r="Y11" s="3411"/>
      <c r="Z11" s="1193" t="str">
        <f t="shared" si="7"/>
        <v>容积率</v>
      </c>
      <c r="AA11" s="1192">
        <f t="shared" si="3"/>
        <v>1</v>
      </c>
      <c r="AB11" s="1192">
        <f t="shared" si="4"/>
        <v>1.0101010101010102</v>
      </c>
      <c r="AC11" s="1192">
        <f t="shared" si="5"/>
        <v>1</v>
      </c>
    </row>
    <row r="12" spans="1:29" s="970" customFormat="1" ht="42.75" hidden="1">
      <c r="A12" s="1014"/>
      <c r="B12" s="1015" t="str">
        <f>'土地比较法（土地一级开发成本）-住宅、综合'!B12</f>
        <v>项目类型</v>
      </c>
      <c r="C12" s="1009" t="str">
        <f>'土地比较法（土地一级开发成本）-住宅、综合'!C12</f>
        <v>企业利用自有用地建设共有产权房</v>
      </c>
      <c r="D12" s="1016">
        <v>100</v>
      </c>
      <c r="E12" s="2044" t="s">
        <v>1050</v>
      </c>
      <c r="F12" s="1381">
        <f>SUMIF(70:70,E12,71:71)-SUMIF(70:70,C12,71:71)+100</f>
        <v>100</v>
      </c>
      <c r="G12" s="2045" t="s">
        <v>467</v>
      </c>
      <c r="H12" s="1010">
        <f>SUMIF(70:70,G12,71:71)-SUMIF(70:70,C12,71:71)+100</f>
        <v>100</v>
      </c>
      <c r="I12" s="2044" t="s">
        <v>467</v>
      </c>
      <c r="J12" s="1010">
        <f>SUMIF(70:70,I12,71:71)-SUMIF(70:70,C12,71:71)+100</f>
        <v>100</v>
      </c>
      <c r="K12" s="2063"/>
      <c r="L12" s="1137"/>
      <c r="M12" s="1138"/>
      <c r="N12" s="1138"/>
      <c r="O12" s="1138"/>
      <c r="P12" s="3460"/>
      <c r="Q12" s="1182" t="str">
        <f t="shared" si="6"/>
        <v>项目类型</v>
      </c>
      <c r="R12" s="1178" t="s">
        <v>1037</v>
      </c>
      <c r="S12" s="1179">
        <f t="shared" si="0"/>
        <v>100</v>
      </c>
      <c r="T12" s="1178" t="s">
        <v>1037</v>
      </c>
      <c r="U12" s="1179">
        <f t="shared" si="1"/>
        <v>100</v>
      </c>
      <c r="V12" s="1178" t="s">
        <v>1037</v>
      </c>
      <c r="W12" s="1179">
        <f t="shared" si="2"/>
        <v>100</v>
      </c>
      <c r="X12" s="1180"/>
      <c r="Y12" s="3411"/>
      <c r="Z12" s="1193" t="str">
        <f t="shared" si="7"/>
        <v>项目类型</v>
      </c>
      <c r="AA12" s="1192">
        <f t="shared" si="3"/>
        <v>1</v>
      </c>
      <c r="AB12" s="1192">
        <f t="shared" si="4"/>
        <v>1</v>
      </c>
      <c r="AC12" s="1192">
        <f t="shared" si="5"/>
        <v>1</v>
      </c>
    </row>
    <row r="13" spans="1:29" ht="15" hidden="1">
      <c r="A13" s="1011"/>
      <c r="B13" s="1015">
        <v>111</v>
      </c>
      <c r="C13" s="1019"/>
      <c r="D13" s="1020">
        <v>100</v>
      </c>
      <c r="E13" s="1017"/>
      <c r="F13" s="1381">
        <f>SUMIF(72:72,E13,73:73)-SUMIF(72:72,C13,73:73)+100</f>
        <v>100</v>
      </c>
      <c r="G13" s="1018"/>
      <c r="H13" s="1020">
        <f>SUMIF(72:72,G13,73:73)-SUMIF(72:72,C13,73:73)+100</f>
        <v>100</v>
      </c>
      <c r="I13" s="1018"/>
      <c r="J13" s="1020">
        <f>SUMIF(72:72,I13,73:73)-SUMIF(72:72,C13,73:73)+100</f>
        <v>100</v>
      </c>
      <c r="K13" s="2063"/>
      <c r="L13" s="1147"/>
      <c r="M13" s="1135"/>
      <c r="N13" s="1135"/>
      <c r="O13" s="1135"/>
      <c r="P13" s="3460"/>
      <c r="Q13" s="1182">
        <f t="shared" si="6"/>
        <v>111</v>
      </c>
      <c r="R13" s="1178" t="s">
        <v>1037</v>
      </c>
      <c r="S13" s="1179">
        <f t="shared" si="0"/>
        <v>100</v>
      </c>
      <c r="T13" s="1178" t="s">
        <v>1037</v>
      </c>
      <c r="U13" s="1179">
        <f t="shared" si="1"/>
        <v>100</v>
      </c>
      <c r="V13" s="1178" t="s">
        <v>1037</v>
      </c>
      <c r="W13" s="1179">
        <f t="shared" si="2"/>
        <v>100</v>
      </c>
      <c r="X13" s="1180"/>
      <c r="Y13" s="3411"/>
      <c r="Z13" s="1193">
        <f t="shared" si="7"/>
        <v>111</v>
      </c>
      <c r="AA13" s="1192">
        <f t="shared" si="3"/>
        <v>1</v>
      </c>
      <c r="AB13" s="1192">
        <f t="shared" si="4"/>
        <v>1</v>
      </c>
      <c r="AC13" s="1192">
        <f t="shared" si="5"/>
        <v>1</v>
      </c>
    </row>
    <row r="14" spans="1:29" ht="15" hidden="1">
      <c r="A14" s="1021"/>
      <c r="B14" s="1022">
        <v>111</v>
      </c>
      <c r="C14" s="1023"/>
      <c r="D14" s="1024">
        <v>100</v>
      </c>
      <c r="E14" s="1017"/>
      <c r="F14" s="1401">
        <f>SUMIF(74:74,E14,75:75)-SUMIF(74:74,C14,75:75)+100</f>
        <v>100</v>
      </c>
      <c r="G14" s="1018"/>
      <c r="H14" s="1024">
        <f>SUMIF(74:74,G14,75:75)-SUMIF(74:74,C14,75:75)+100</f>
        <v>100</v>
      </c>
      <c r="I14" s="1018"/>
      <c r="J14" s="1024">
        <f>SUMIF(74:74,I14,75:75)-SUMIF(74:74,C14,75:75)+100</f>
        <v>100</v>
      </c>
      <c r="K14" s="2063"/>
      <c r="L14" s="1147"/>
      <c r="M14" s="1135"/>
      <c r="N14" s="1135"/>
      <c r="O14" s="1135"/>
      <c r="P14" s="3460"/>
      <c r="Q14" s="1182">
        <f t="shared" si="6"/>
        <v>111</v>
      </c>
      <c r="R14" s="1178" t="s">
        <v>1037</v>
      </c>
      <c r="S14" s="1179">
        <f t="shared" si="0"/>
        <v>100</v>
      </c>
      <c r="T14" s="1178" t="s">
        <v>1037</v>
      </c>
      <c r="U14" s="1179">
        <f t="shared" si="1"/>
        <v>100</v>
      </c>
      <c r="V14" s="1178" t="s">
        <v>1037</v>
      </c>
      <c r="W14" s="1179">
        <f t="shared" si="2"/>
        <v>100</v>
      </c>
      <c r="X14" s="1180"/>
      <c r="Y14" s="3411"/>
      <c r="Z14" s="1193">
        <f t="shared" si="7"/>
        <v>111</v>
      </c>
      <c r="AA14" s="1192">
        <f t="shared" si="3"/>
        <v>1</v>
      </c>
      <c r="AB14" s="1192">
        <f t="shared" si="4"/>
        <v>1</v>
      </c>
      <c r="AC14" s="1192">
        <f t="shared" si="5"/>
        <v>1</v>
      </c>
    </row>
    <row r="15" spans="1:29" ht="102" customHeight="1">
      <c r="A15" s="1025" t="s">
        <v>1051</v>
      </c>
      <c r="B15" s="1317" t="s">
        <v>1052</v>
      </c>
      <c r="C15" s="1318" t="str">
        <f>估价对象房地状况!C3</f>
        <v>估价对象周边有欧亚花园、昌平区双拥大院、力天嘉苑等住宅小区、居住小区规模较大，入住率较高，综合评价居住社区成熟度较好。</v>
      </c>
      <c r="D15" s="1028">
        <v>100</v>
      </c>
      <c r="E15" s="1319"/>
      <c r="F15" s="1028">
        <f>SUMIF(76:76,E16,77:77)-SUMIF(76:76,C16,77:77)+100</f>
        <v>100</v>
      </c>
      <c r="G15" s="1319"/>
      <c r="H15" s="1028">
        <f>SUMIF(76:76,G16,77:77)-SUMIF(76:76,C16,77:77)+100</f>
        <v>100</v>
      </c>
      <c r="I15" s="1338"/>
      <c r="J15" s="1028">
        <f>SUMIF(76:76,I16,77:77)-SUMIF(76:76,C16,77:77)+100</f>
        <v>100</v>
      </c>
      <c r="K15" s="2064">
        <v>3</v>
      </c>
      <c r="L15" s="1147"/>
      <c r="M15" s="1135"/>
      <c r="N15" s="1135"/>
      <c r="O15" s="1135"/>
      <c r="P15" s="3461" t="s">
        <v>1053</v>
      </c>
      <c r="Q15" s="746" t="str">
        <f t="shared" si="6"/>
        <v>居住社区成熟度</v>
      </c>
      <c r="R15" s="1183" t="s">
        <v>1037</v>
      </c>
      <c r="S15" s="1184">
        <f t="shared" si="0"/>
        <v>100</v>
      </c>
      <c r="T15" s="1183" t="s">
        <v>1037</v>
      </c>
      <c r="U15" s="1184">
        <f t="shared" si="1"/>
        <v>100</v>
      </c>
      <c r="V15" s="1183" t="s">
        <v>1037</v>
      </c>
      <c r="W15" s="1184">
        <f t="shared" si="2"/>
        <v>100</v>
      </c>
      <c r="X15" s="1177"/>
      <c r="Y15" s="3466" t="s">
        <v>1053</v>
      </c>
      <c r="Z15" s="1167" t="str">
        <f t="shared" si="7"/>
        <v>居住社区成熟度</v>
      </c>
      <c r="AA15" s="1194">
        <f t="shared" si="3"/>
        <v>1</v>
      </c>
      <c r="AB15" s="1194">
        <f t="shared" si="4"/>
        <v>1</v>
      </c>
      <c r="AC15" s="1194">
        <f t="shared" si="5"/>
        <v>1</v>
      </c>
    </row>
    <row r="16" spans="1:29" ht="15">
      <c r="A16" s="1011"/>
      <c r="B16" s="1320"/>
      <c r="C16" s="1031" t="s">
        <v>1054</v>
      </c>
      <c r="D16" s="1032"/>
      <c r="E16" s="1040" t="s">
        <v>1054</v>
      </c>
      <c r="F16" s="1032"/>
      <c r="G16" s="1040" t="s">
        <v>1054</v>
      </c>
      <c r="H16" s="1034"/>
      <c r="I16" s="1040" t="s">
        <v>1054</v>
      </c>
      <c r="J16" s="1032"/>
      <c r="K16" s="2065"/>
      <c r="L16" s="1147"/>
      <c r="M16" s="1135"/>
      <c r="N16" s="1135"/>
      <c r="O16" s="1135"/>
      <c r="P16" s="3462"/>
      <c r="Q16" s="746"/>
      <c r="R16" s="1183"/>
      <c r="S16" s="1184"/>
      <c r="T16" s="1183"/>
      <c r="U16" s="1184"/>
      <c r="V16" s="1183"/>
      <c r="W16" s="1184"/>
      <c r="X16" s="1177"/>
      <c r="Y16" s="3467"/>
      <c r="Z16" s="1167"/>
      <c r="AA16" s="1194">
        <v>1</v>
      </c>
      <c r="AB16" s="1194">
        <v>1</v>
      </c>
      <c r="AC16" s="1194">
        <v>1</v>
      </c>
    </row>
    <row r="17" spans="1:29" ht="138" customHeight="1">
      <c r="A17" s="1011"/>
      <c r="B17" s="1321" t="s">
        <v>1056</v>
      </c>
      <c r="C17" s="1036" t="str">
        <f>估价对象房地状况!C6</f>
        <v>估价对象紧邻城市支路-东环路、附近有公交车站昌平南大街站，停靠线路有493路、昌52路、昌66路等，附近600米范围内有地铁昌平线昌平站合评价交通便捷度较好。</v>
      </c>
      <c r="D17" s="1034">
        <v>100</v>
      </c>
      <c r="E17" s="1325"/>
      <c r="F17" s="1034">
        <f>SUMIF(78:78,E18,79:79)-SUMIF(78:78,C18,79:79)+100</f>
        <v>100</v>
      </c>
      <c r="G17" s="1325"/>
      <c r="H17" s="1038">
        <f>SUMIF(78:78,G18,79:79)-SUMIF(78:78,C18,79:79)+100</f>
        <v>100</v>
      </c>
      <c r="I17" s="1341"/>
      <c r="J17" s="1038">
        <f>SUMIF(78:78,I18,79:79)-SUMIF(78:78,C18,79:79)+100</f>
        <v>97</v>
      </c>
      <c r="K17" s="2064">
        <v>3</v>
      </c>
      <c r="L17" s="1147"/>
      <c r="M17" s="1135"/>
      <c r="N17" s="1135"/>
      <c r="O17" s="1135"/>
      <c r="P17" s="3462"/>
      <c r="Q17" s="746" t="str">
        <f>B17</f>
        <v>交通便捷度</v>
      </c>
      <c r="R17" s="1183" t="s">
        <v>1037</v>
      </c>
      <c r="S17" s="1184">
        <f>F17</f>
        <v>100</v>
      </c>
      <c r="T17" s="1183" t="s">
        <v>1037</v>
      </c>
      <c r="U17" s="1184">
        <f>H17</f>
        <v>100</v>
      </c>
      <c r="V17" s="1183" t="s">
        <v>1037</v>
      </c>
      <c r="W17" s="1184">
        <f>J17</f>
        <v>97</v>
      </c>
      <c r="X17" s="1177"/>
      <c r="Y17" s="3467"/>
      <c r="Z17" s="1167" t="str">
        <f>Q17</f>
        <v>交通便捷度</v>
      </c>
      <c r="AA17" s="1194">
        <f t="shared" si="3"/>
        <v>1</v>
      </c>
      <c r="AB17" s="1194">
        <f t="shared" si="4"/>
        <v>1</v>
      </c>
      <c r="AC17" s="1194">
        <f t="shared" si="5"/>
        <v>1.0309278350515463</v>
      </c>
    </row>
    <row r="18" spans="1:29" ht="15">
      <c r="A18" s="1011"/>
      <c r="B18" s="1059"/>
      <c r="C18" s="1322" t="s">
        <v>1054</v>
      </c>
      <c r="D18" s="1034"/>
      <c r="E18" s="1040" t="s">
        <v>1054</v>
      </c>
      <c r="F18" s="1034"/>
      <c r="G18" s="1040" t="s">
        <v>1054</v>
      </c>
      <c r="H18" s="1032"/>
      <c r="I18" s="1040" t="s">
        <v>1055</v>
      </c>
      <c r="J18" s="1032"/>
      <c r="K18" s="2065"/>
      <c r="L18" s="1147"/>
      <c r="M18" s="1135"/>
      <c r="N18" s="1135"/>
      <c r="O18" s="1135"/>
      <c r="P18" s="3462"/>
      <c r="Q18" s="746"/>
      <c r="R18" s="1183"/>
      <c r="S18" s="1184"/>
      <c r="T18" s="1183"/>
      <c r="U18" s="1184"/>
      <c r="V18" s="1183"/>
      <c r="W18" s="1184"/>
      <c r="X18" s="1177"/>
      <c r="Y18" s="3467"/>
      <c r="Z18" s="1167"/>
      <c r="AA18" s="1194">
        <v>1</v>
      </c>
      <c r="AB18" s="1194">
        <v>1</v>
      </c>
      <c r="AC18" s="1194">
        <v>1</v>
      </c>
    </row>
    <row r="19" spans="1:29" ht="147.75" customHeight="1">
      <c r="A19" s="1011"/>
      <c r="B19" s="1321" t="s">
        <v>1057</v>
      </c>
      <c r="C19" s="1036"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1038">
        <v>100</v>
      </c>
      <c r="E19" s="1324"/>
      <c r="F19" s="1038">
        <f>SUMIF(80:80,E20,81:81)-SUMIF(80:80,C20,81:81)+100</f>
        <v>100</v>
      </c>
      <c r="G19" s="1324"/>
      <c r="H19" s="1034">
        <f>SUMIF(80:80,G20,81:81)-SUMIF(80:80,C20,81:81)+100</f>
        <v>100</v>
      </c>
      <c r="I19" s="1340"/>
      <c r="J19" s="1034">
        <f>SUMIF(80:80,I20,81:81)-SUMIF(80:80,C20,81:81)+100</f>
        <v>100</v>
      </c>
      <c r="K19" s="2064">
        <v>5</v>
      </c>
      <c r="L19" s="1147"/>
      <c r="M19" s="1135"/>
      <c r="N19" s="1135"/>
      <c r="O19" s="1135"/>
      <c r="P19" s="3462"/>
      <c r="Q19" s="746" t="str">
        <f>B19</f>
        <v>公共配套设施</v>
      </c>
      <c r="R19" s="1183" t="s">
        <v>1037</v>
      </c>
      <c r="S19" s="1184">
        <f>F19</f>
        <v>100</v>
      </c>
      <c r="T19" s="1183" t="s">
        <v>1037</v>
      </c>
      <c r="U19" s="1184">
        <f>H19</f>
        <v>100</v>
      </c>
      <c r="V19" s="1183" t="s">
        <v>1037</v>
      </c>
      <c r="W19" s="1184">
        <f>J19</f>
        <v>100</v>
      </c>
      <c r="X19" s="1177"/>
      <c r="Y19" s="3467"/>
      <c r="Z19" s="1167" t="str">
        <f>Q19</f>
        <v>公共配套设施</v>
      </c>
      <c r="AA19" s="1194">
        <f t="shared" si="3"/>
        <v>1</v>
      </c>
      <c r="AB19" s="1194">
        <f t="shared" si="4"/>
        <v>1</v>
      </c>
      <c r="AC19" s="1194">
        <f t="shared" si="5"/>
        <v>1</v>
      </c>
    </row>
    <row r="20" spans="1:29" ht="15">
      <c r="A20" s="1011"/>
      <c r="B20" s="1059"/>
      <c r="C20" s="1031" t="s">
        <v>1054</v>
      </c>
      <c r="D20" s="1032"/>
      <c r="E20" s="1040" t="s">
        <v>1054</v>
      </c>
      <c r="F20" s="1032"/>
      <c r="G20" s="1040" t="s">
        <v>1054</v>
      </c>
      <c r="H20" s="1032"/>
      <c r="I20" s="1040" t="s">
        <v>1054</v>
      </c>
      <c r="J20" s="1032"/>
      <c r="K20" s="2065"/>
      <c r="L20" s="1147"/>
      <c r="M20" s="1135"/>
      <c r="N20" s="1135"/>
      <c r="O20" s="1135"/>
      <c r="P20" s="3462"/>
      <c r="Q20" s="746"/>
      <c r="R20" s="1183"/>
      <c r="S20" s="1184"/>
      <c r="T20" s="1183"/>
      <c r="U20" s="1184"/>
      <c r="V20" s="1183"/>
      <c r="W20" s="1184"/>
      <c r="X20" s="1177"/>
      <c r="Y20" s="3467"/>
      <c r="Z20" s="1167"/>
      <c r="AA20" s="1194">
        <v>1</v>
      </c>
      <c r="AB20" s="1194">
        <v>1</v>
      </c>
      <c r="AC20" s="1194">
        <v>1</v>
      </c>
    </row>
    <row r="21" spans="1:29" ht="42.75">
      <c r="A21" s="1011"/>
      <c r="B21" s="1326" t="s">
        <v>1058</v>
      </c>
      <c r="C21" s="1036" t="str">
        <f>估价对象房地状况!C8</f>
        <v>估价对象所在区域基础设施水平为七通一平</v>
      </c>
      <c r="D21" s="1034">
        <v>100</v>
      </c>
      <c r="E21" s="1037"/>
      <c r="F21" s="1038">
        <f>SUMIF(82:82,E22,83:83)-SUMIF(82:82,C22,83:83)+100</f>
        <v>100</v>
      </c>
      <c r="G21" s="1325"/>
      <c r="H21" s="1034">
        <f>SUMIF(82:82,G22,83:83)-SUMIF(82:82,C22,83:83)+100</f>
        <v>100</v>
      </c>
      <c r="I21" s="1149"/>
      <c r="J21" s="1034">
        <f>SUMIF(82:82,I22,83:83)-SUMIF(82:82,C22,83:83)+100</f>
        <v>100</v>
      </c>
      <c r="K21" s="2064">
        <v>1</v>
      </c>
      <c r="L21" s="1147"/>
      <c r="M21" s="1135"/>
      <c r="N21" s="1135"/>
      <c r="O21" s="1135"/>
      <c r="P21" s="3462"/>
      <c r="Q21" s="746" t="str">
        <f>B21</f>
        <v>基础设施水平</v>
      </c>
      <c r="R21" s="1183" t="s">
        <v>1037</v>
      </c>
      <c r="S21" s="1184">
        <f>F21</f>
        <v>100</v>
      </c>
      <c r="T21" s="1183" t="s">
        <v>1037</v>
      </c>
      <c r="U21" s="1184">
        <f>H21</f>
        <v>100</v>
      </c>
      <c r="V21" s="1183" t="s">
        <v>1037</v>
      </c>
      <c r="W21" s="1184">
        <f>J21</f>
        <v>100</v>
      </c>
      <c r="X21" s="1177"/>
      <c r="Y21" s="3467"/>
      <c r="Z21" s="1167" t="str">
        <f>Q21</f>
        <v>基础设施水平</v>
      </c>
      <c r="AA21" s="1194">
        <f t="shared" ref="AA21" si="8">D21/F21</f>
        <v>1</v>
      </c>
      <c r="AB21" s="1194">
        <f t="shared" ref="AB21" si="9">D21/H21</f>
        <v>1</v>
      </c>
      <c r="AC21" s="1194">
        <f t="shared" ref="AC21" si="10">D21/J21</f>
        <v>1</v>
      </c>
    </row>
    <row r="22" spans="1:29" ht="15">
      <c r="A22" s="1011"/>
      <c r="B22" s="1326"/>
      <c r="C22" s="1322" t="s">
        <v>238</v>
      </c>
      <c r="D22" s="1032"/>
      <c r="E22" s="1322" t="s">
        <v>238</v>
      </c>
      <c r="F22" s="1032"/>
      <c r="G22" s="1322" t="s">
        <v>238</v>
      </c>
      <c r="H22" s="1032"/>
      <c r="I22" s="1322" t="s">
        <v>238</v>
      </c>
      <c r="J22" s="1032"/>
      <c r="K22" s="2066"/>
      <c r="L22" s="1147"/>
      <c r="M22" s="1135"/>
      <c r="N22" s="1135"/>
      <c r="O22" s="1135"/>
      <c r="P22" s="3462"/>
      <c r="Q22" s="746"/>
      <c r="R22" s="1183"/>
      <c r="S22" s="1184"/>
      <c r="T22" s="1183"/>
      <c r="U22" s="1184"/>
      <c r="V22" s="1183"/>
      <c r="W22" s="1184"/>
      <c r="X22" s="1177"/>
      <c r="Y22" s="3467"/>
      <c r="Z22" s="1167"/>
      <c r="AA22" s="1194">
        <v>1</v>
      </c>
      <c r="AB22" s="1194">
        <v>1</v>
      </c>
      <c r="AC22" s="1194">
        <v>1</v>
      </c>
    </row>
    <row r="23" spans="1:29" ht="114">
      <c r="A23" s="1011"/>
      <c r="B23" s="1321" t="s">
        <v>1059</v>
      </c>
      <c r="C23" s="1036" t="str">
        <f>估价对象房地状况!C9</f>
        <v>估计对象周边有昌平公园、学府等自然环境景观，有北京昌平卫生学校、中国石油大学等人文环境；综合评价环境状况较好。</v>
      </c>
      <c r="D23" s="1034">
        <v>100</v>
      </c>
      <c r="E23" s="1325"/>
      <c r="F23" s="1034">
        <f>SUMIF(84:84,E24,85:85)-SUMIF(84:84,C24,85:85)+100</f>
        <v>100</v>
      </c>
      <c r="G23" s="1325"/>
      <c r="H23" s="1034">
        <f>SUMIF(84:84,G24,85:85)-SUMIF(84:84,C24,85:85)+100</f>
        <v>100</v>
      </c>
      <c r="I23" s="1341"/>
      <c r="J23" s="1034">
        <f>SUMIF(84:84,I24,85:85)-SUMIF(84:84,C24,85:85)+100</f>
        <v>100</v>
      </c>
      <c r="K23" s="2064">
        <v>5</v>
      </c>
      <c r="L23" s="1147"/>
      <c r="M23" s="1135"/>
      <c r="N23" s="1135"/>
      <c r="O23" s="1135"/>
      <c r="P23" s="3462"/>
      <c r="Q23" s="746" t="str">
        <f>B23</f>
        <v>自然及人文环境</v>
      </c>
      <c r="R23" s="1183" t="s">
        <v>1037</v>
      </c>
      <c r="S23" s="1184">
        <f>F23</f>
        <v>100</v>
      </c>
      <c r="T23" s="1183" t="s">
        <v>1037</v>
      </c>
      <c r="U23" s="1184">
        <f>H23</f>
        <v>100</v>
      </c>
      <c r="V23" s="1183" t="s">
        <v>1037</v>
      </c>
      <c r="W23" s="1184">
        <f>J23</f>
        <v>100</v>
      </c>
      <c r="X23" s="1177"/>
      <c r="Y23" s="3467"/>
      <c r="Z23" s="1167" t="str">
        <f>Q23</f>
        <v>自然及人文环境</v>
      </c>
      <c r="AA23" s="1194">
        <f>D23/F23</f>
        <v>1</v>
      </c>
      <c r="AB23" s="1194">
        <f>D23/H23</f>
        <v>1</v>
      </c>
      <c r="AC23" s="1194">
        <f>D23/J23</f>
        <v>1</v>
      </c>
    </row>
    <row r="24" spans="1:29" ht="15">
      <c r="A24" s="1011"/>
      <c r="B24" s="1059"/>
      <c r="C24" s="1031" t="s">
        <v>1054</v>
      </c>
      <c r="D24" s="1032"/>
      <c r="E24" s="1040" t="s">
        <v>1054</v>
      </c>
      <c r="F24" s="1032"/>
      <c r="G24" s="1040" t="s">
        <v>1054</v>
      </c>
      <c r="H24" s="1032"/>
      <c r="I24" s="1040" t="s">
        <v>1054</v>
      </c>
      <c r="J24" s="1032"/>
      <c r="K24" s="2065"/>
      <c r="L24" s="1147"/>
      <c r="M24" s="1135"/>
      <c r="N24" s="1135"/>
      <c r="O24" s="1135"/>
      <c r="P24" s="3462"/>
      <c r="Q24" s="746"/>
      <c r="R24" s="1183"/>
      <c r="S24" s="1184"/>
      <c r="T24" s="1183"/>
      <c r="U24" s="1184"/>
      <c r="V24" s="1183"/>
      <c r="W24" s="1184"/>
      <c r="X24" s="1177"/>
      <c r="Y24" s="3467"/>
      <c r="Z24" s="1167"/>
      <c r="AA24" s="1194">
        <v>1</v>
      </c>
      <c r="AB24" s="1194">
        <v>1</v>
      </c>
      <c r="AC24" s="1194">
        <v>1</v>
      </c>
    </row>
    <row r="25" spans="1:29" ht="15">
      <c r="A25" s="1011"/>
      <c r="B25" s="1008" t="s">
        <v>1061</v>
      </c>
      <c r="C25" s="2046" t="s">
        <v>1062</v>
      </c>
      <c r="D25" s="1020">
        <v>100</v>
      </c>
      <c r="E25" s="2046" t="s">
        <v>1062</v>
      </c>
      <c r="F25" s="1020">
        <f>SUMIF(86:86,E25,87:87)-SUMIF(86:86,C25,87:87)+100</f>
        <v>100</v>
      </c>
      <c r="G25" s="2046" t="s">
        <v>1062</v>
      </c>
      <c r="H25" s="1020">
        <f>SUMIF(86:86,G25,87:87)-SUMIF(86:86,C25,87:87)+100</f>
        <v>100</v>
      </c>
      <c r="I25" s="2046" t="s">
        <v>1062</v>
      </c>
      <c r="J25" s="1020">
        <f>SUMIF(86:86,I25,87:87)-SUMIF(86:86,C25,87:87)+100</f>
        <v>100</v>
      </c>
      <c r="K25" s="2062">
        <v>3</v>
      </c>
      <c r="L25" s="1147"/>
      <c r="M25" s="1135"/>
      <c r="N25" s="1135"/>
      <c r="O25" s="1135"/>
      <c r="P25" s="3462"/>
      <c r="Q25" s="746" t="str">
        <f t="shared" ref="Q25:Q46" si="11">B25</f>
        <v>楼层-1</v>
      </c>
      <c r="R25" s="1183" t="s">
        <v>1037</v>
      </c>
      <c r="S25" s="1184">
        <f t="shared" ref="S25:S46" si="12">F25</f>
        <v>100</v>
      </c>
      <c r="T25" s="1183" t="s">
        <v>1037</v>
      </c>
      <c r="U25" s="1184">
        <f t="shared" ref="U25:U46" si="13">H25</f>
        <v>100</v>
      </c>
      <c r="V25" s="1183" t="s">
        <v>1037</v>
      </c>
      <c r="W25" s="1184">
        <f t="shared" ref="W25:W46" si="14">J25</f>
        <v>100</v>
      </c>
      <c r="X25" s="1177"/>
      <c r="Y25" s="3467"/>
      <c r="Z25" s="1167" t="str">
        <f>Q25</f>
        <v>楼层-1</v>
      </c>
      <c r="AA25" s="1194">
        <f t="shared" ref="AA25:AA46" si="15">D25/F25</f>
        <v>1</v>
      </c>
      <c r="AB25" s="1194">
        <f t="shared" ref="AB25:AB46" si="16">D25/H25</f>
        <v>1</v>
      </c>
      <c r="AC25" s="1194">
        <f t="shared" ref="AC25:AC46" si="17">D25/J25</f>
        <v>1</v>
      </c>
    </row>
    <row r="26" spans="1:29" ht="15">
      <c r="A26" s="1011"/>
      <c r="B26" s="1008" t="s">
        <v>1063</v>
      </c>
      <c r="C26" s="2046" t="s">
        <v>1064</v>
      </c>
      <c r="D26" s="1020">
        <v>100</v>
      </c>
      <c r="E26" s="2047" t="s">
        <v>1064</v>
      </c>
      <c r="F26" s="1020">
        <f>SUMIF(88:88,E26,89:89)-SUMIF(88:88,C26,89:89)+100</f>
        <v>100</v>
      </c>
      <c r="G26" s="2047" t="s">
        <v>1064</v>
      </c>
      <c r="H26" s="1020">
        <f>SUMIF(88:88,G26,89:89)-SUMIF(88:88,C26,89:89)+100</f>
        <v>100</v>
      </c>
      <c r="I26" s="2047" t="s">
        <v>1064</v>
      </c>
      <c r="J26" s="1020">
        <f>SUMIF(88:88,I26,89:89)-SUMIF(88:88,C26,89:89)+100</f>
        <v>100</v>
      </c>
      <c r="K26" s="2062">
        <v>3</v>
      </c>
      <c r="L26" s="1147"/>
      <c r="M26" s="1135"/>
      <c r="N26" s="1135"/>
      <c r="O26" s="1135"/>
      <c r="P26" s="3462"/>
      <c r="Q26" s="746" t="str">
        <f t="shared" si="11"/>
        <v>朝向</v>
      </c>
      <c r="R26" s="1183" t="s">
        <v>1037</v>
      </c>
      <c r="S26" s="1184">
        <f t="shared" si="12"/>
        <v>100</v>
      </c>
      <c r="T26" s="1183" t="s">
        <v>1037</v>
      </c>
      <c r="U26" s="1184">
        <f t="shared" si="13"/>
        <v>100</v>
      </c>
      <c r="V26" s="1183" t="s">
        <v>1037</v>
      </c>
      <c r="W26" s="1184">
        <f t="shared" si="14"/>
        <v>100</v>
      </c>
      <c r="X26" s="1177"/>
      <c r="Y26" s="3467"/>
      <c r="Z26" s="1167" t="str">
        <f>Q26</f>
        <v>朝向</v>
      </c>
      <c r="AA26" s="1194">
        <f t="shared" si="15"/>
        <v>1</v>
      </c>
      <c r="AB26" s="1194">
        <f t="shared" si="16"/>
        <v>1</v>
      </c>
      <c r="AC26" s="1194">
        <f t="shared" si="17"/>
        <v>1</v>
      </c>
    </row>
    <row r="27" spans="1:29" s="970" customFormat="1" ht="15" hidden="1">
      <c r="A27" s="1014"/>
      <c r="B27" s="1327">
        <v>111</v>
      </c>
      <c r="C27" s="1009"/>
      <c r="D27" s="1500">
        <v>100</v>
      </c>
      <c r="E27" s="1009"/>
      <c r="F27" s="1500">
        <f>SUMIF(90:90,E27,91:91)-SUMIF(90:90,C27,91:91)+100</f>
        <v>100</v>
      </c>
      <c r="G27" s="1009"/>
      <c r="H27" s="1500">
        <f>SUMIF(90:90,G27,91:91)-SUMIF(90:90,C27,91:91)+100</f>
        <v>100</v>
      </c>
      <c r="I27" s="1009"/>
      <c r="J27" s="1500">
        <f>SUMIF(90:90,I27,91:91)-SUMIF(90:90,C27,91:91)+100</f>
        <v>100</v>
      </c>
      <c r="K27" s="2063"/>
      <c r="L27" s="1137"/>
      <c r="M27" s="1138"/>
      <c r="N27" s="1138"/>
      <c r="O27" s="1138"/>
      <c r="P27" s="3462"/>
      <c r="Q27" s="1182">
        <f t="shared" si="11"/>
        <v>111</v>
      </c>
      <c r="R27" s="1178" t="s">
        <v>1037</v>
      </c>
      <c r="S27" s="1179">
        <f t="shared" si="12"/>
        <v>100</v>
      </c>
      <c r="T27" s="1178" t="s">
        <v>1037</v>
      </c>
      <c r="U27" s="1179">
        <f t="shared" si="13"/>
        <v>100</v>
      </c>
      <c r="V27" s="1178" t="s">
        <v>1037</v>
      </c>
      <c r="W27" s="1179">
        <f t="shared" si="14"/>
        <v>100</v>
      </c>
      <c r="X27" s="1180"/>
      <c r="Y27" s="3467"/>
      <c r="Z27" s="1193">
        <f>Q27</f>
        <v>111</v>
      </c>
      <c r="AA27" s="1194">
        <f t="shared" si="15"/>
        <v>1</v>
      </c>
      <c r="AB27" s="1194">
        <f t="shared" si="16"/>
        <v>1</v>
      </c>
      <c r="AC27" s="1194">
        <f t="shared" si="17"/>
        <v>1</v>
      </c>
    </row>
    <row r="28" spans="1:29" ht="15" hidden="1">
      <c r="A28" s="1011"/>
      <c r="B28" s="1327">
        <v>111</v>
      </c>
      <c r="C28" s="1019"/>
      <c r="D28" s="1020">
        <v>100</v>
      </c>
      <c r="E28" s="1019"/>
      <c r="F28" s="1020">
        <f>SUMIF(92:92,E28,93:93)-SUMIF(92:92,C28,93:93)+100</f>
        <v>100</v>
      </c>
      <c r="G28" s="1019"/>
      <c r="H28" s="1020">
        <f>SUMIF(92:92,G28,93:93)-SUMIF(92:92,C28,93:93)+100</f>
        <v>100</v>
      </c>
      <c r="I28" s="1019"/>
      <c r="J28" s="1020">
        <f>SUMIF(92:92,I28,93:93)-SUMIF(92:92,C28,93:93)+100</f>
        <v>100</v>
      </c>
      <c r="K28" s="2063"/>
      <c r="L28" s="1147"/>
      <c r="M28" s="1135"/>
      <c r="N28" s="1135"/>
      <c r="O28" s="1135"/>
      <c r="P28" s="3462"/>
      <c r="Q28" s="746">
        <f t="shared" si="11"/>
        <v>111</v>
      </c>
      <c r="R28" s="1183" t="s">
        <v>1037</v>
      </c>
      <c r="S28" s="1184">
        <f t="shared" si="12"/>
        <v>100</v>
      </c>
      <c r="T28" s="1183" t="s">
        <v>1037</v>
      </c>
      <c r="U28" s="1184">
        <f t="shared" si="13"/>
        <v>100</v>
      </c>
      <c r="V28" s="1183" t="s">
        <v>1037</v>
      </c>
      <c r="W28" s="1184">
        <f t="shared" si="14"/>
        <v>100</v>
      </c>
      <c r="X28" s="1177"/>
      <c r="Y28" s="3467"/>
      <c r="Z28" s="1167">
        <f t="shared" ref="Z28:Z46" si="18">Q28</f>
        <v>111</v>
      </c>
      <c r="AA28" s="1194">
        <f t="shared" si="15"/>
        <v>1</v>
      </c>
      <c r="AB28" s="1194">
        <f t="shared" si="16"/>
        <v>1</v>
      </c>
      <c r="AC28" s="1194">
        <f t="shared" si="17"/>
        <v>1</v>
      </c>
    </row>
    <row r="29" spans="1:29" ht="15" hidden="1">
      <c r="A29" s="1011"/>
      <c r="B29" s="1327">
        <v>111</v>
      </c>
      <c r="C29" s="1019"/>
      <c r="D29" s="1020">
        <v>100</v>
      </c>
      <c r="E29" s="1019"/>
      <c r="F29" s="1020">
        <f>SUMIF(94:94,E29,95:95)-SUMIF(94:94,C29,95:95)+100</f>
        <v>100</v>
      </c>
      <c r="G29" s="1019"/>
      <c r="H29" s="1020">
        <f>SUMIF(94:94,G29,95:95)-SUMIF(94:94,C29,95:95)+100</f>
        <v>100</v>
      </c>
      <c r="I29" s="1019"/>
      <c r="J29" s="1020">
        <f>SUMIF(94:94,I29,95:95)-SUMIF(94:94,C29,95:95)+100</f>
        <v>100</v>
      </c>
      <c r="K29" s="2063"/>
      <c r="L29" s="1147"/>
      <c r="M29" s="1135"/>
      <c r="N29" s="1135"/>
      <c r="O29" s="1135"/>
      <c r="P29" s="3462"/>
      <c r="Q29" s="746">
        <f t="shared" si="11"/>
        <v>111</v>
      </c>
      <c r="R29" s="1183" t="s">
        <v>1037</v>
      </c>
      <c r="S29" s="1184">
        <f t="shared" si="12"/>
        <v>100</v>
      </c>
      <c r="T29" s="1183" t="s">
        <v>1037</v>
      </c>
      <c r="U29" s="1184">
        <f t="shared" si="13"/>
        <v>100</v>
      </c>
      <c r="V29" s="1183" t="s">
        <v>1037</v>
      </c>
      <c r="W29" s="1184">
        <f t="shared" si="14"/>
        <v>100</v>
      </c>
      <c r="X29" s="1177"/>
      <c r="Y29" s="3467"/>
      <c r="Z29" s="1167">
        <f t="shared" si="18"/>
        <v>111</v>
      </c>
      <c r="AA29" s="1194">
        <f t="shared" si="15"/>
        <v>1</v>
      </c>
      <c r="AB29" s="1194">
        <f t="shared" si="16"/>
        <v>1</v>
      </c>
      <c r="AC29" s="1194">
        <f t="shared" si="17"/>
        <v>1</v>
      </c>
    </row>
    <row r="30" spans="1:29" ht="15" hidden="1">
      <c r="A30" s="1011"/>
      <c r="B30" s="1327">
        <v>111</v>
      </c>
      <c r="C30" s="1019"/>
      <c r="D30" s="1020">
        <v>100</v>
      </c>
      <c r="E30" s="1019"/>
      <c r="F30" s="1020">
        <f>SUMIF(96:96,E30,97:97)-SUMIF(96:96,C30,97:97)+100</f>
        <v>100</v>
      </c>
      <c r="G30" s="1019"/>
      <c r="H30" s="1020">
        <f>SUMIF(96:96,G30,97:97)-SUMIF(96:96,C30,97:97)+100</f>
        <v>100</v>
      </c>
      <c r="I30" s="1019"/>
      <c r="J30" s="1020">
        <f>SUMIF(96:96,I30,97:97)-SUMIF(96:96,C30,97:97)+100</f>
        <v>100</v>
      </c>
      <c r="K30" s="2063"/>
      <c r="L30" s="1147"/>
      <c r="M30" s="1135"/>
      <c r="N30" s="1135"/>
      <c r="O30" s="1135"/>
      <c r="P30" s="3462"/>
      <c r="Q30" s="746">
        <f t="shared" si="11"/>
        <v>111</v>
      </c>
      <c r="R30" s="1183" t="s">
        <v>1037</v>
      </c>
      <c r="S30" s="1184">
        <f t="shared" si="12"/>
        <v>100</v>
      </c>
      <c r="T30" s="1183" t="s">
        <v>1037</v>
      </c>
      <c r="U30" s="1184">
        <f t="shared" si="13"/>
        <v>100</v>
      </c>
      <c r="V30" s="1183" t="s">
        <v>1037</v>
      </c>
      <c r="W30" s="1184">
        <f t="shared" si="14"/>
        <v>100</v>
      </c>
      <c r="X30" s="1177"/>
      <c r="Y30" s="3467"/>
      <c r="Z30" s="1167">
        <f t="shared" si="18"/>
        <v>111</v>
      </c>
      <c r="AA30" s="1194">
        <f t="shared" si="15"/>
        <v>1</v>
      </c>
      <c r="AB30" s="1194">
        <f t="shared" si="16"/>
        <v>1</v>
      </c>
      <c r="AC30" s="1194">
        <f t="shared" si="17"/>
        <v>1</v>
      </c>
    </row>
    <row r="31" spans="1:29" ht="15" hidden="1">
      <c r="A31" s="1021"/>
      <c r="B31" s="1327">
        <v>111</v>
      </c>
      <c r="C31" s="1023"/>
      <c r="D31" s="1024">
        <v>100</v>
      </c>
      <c r="E31" s="1023"/>
      <c r="F31" s="1024">
        <f>SUMIF(98:98,E31,99:99)-SUMIF(98:98,C31,99:99)+100</f>
        <v>100</v>
      </c>
      <c r="G31" s="1023"/>
      <c r="H31" s="1024">
        <f>SUMIF(98:98,G31,99:99)-SUMIF(98:98,C31,99:99)+100</f>
        <v>100</v>
      </c>
      <c r="I31" s="1023"/>
      <c r="J31" s="1024">
        <f>SUMIF(98:98,I31,99:99)-SUMIF(98:98,C31,99:99)+100</f>
        <v>100</v>
      </c>
      <c r="K31" s="2063"/>
      <c r="L31" s="1147"/>
      <c r="M31" s="1135"/>
      <c r="N31" s="1135"/>
      <c r="O31" s="1135"/>
      <c r="P31" s="3462"/>
      <c r="Q31" s="746">
        <f t="shared" si="11"/>
        <v>111</v>
      </c>
      <c r="R31" s="1183" t="s">
        <v>1037</v>
      </c>
      <c r="S31" s="1184">
        <f t="shared" si="12"/>
        <v>100</v>
      </c>
      <c r="T31" s="1183" t="s">
        <v>1037</v>
      </c>
      <c r="U31" s="1184">
        <f t="shared" si="13"/>
        <v>100</v>
      </c>
      <c r="V31" s="1183" t="s">
        <v>1037</v>
      </c>
      <c r="W31" s="1184">
        <f t="shared" si="14"/>
        <v>100</v>
      </c>
      <c r="X31" s="1177"/>
      <c r="Y31" s="3467"/>
      <c r="Z31" s="1167">
        <f t="shared" si="18"/>
        <v>111</v>
      </c>
      <c r="AA31" s="1194">
        <f t="shared" si="15"/>
        <v>1</v>
      </c>
      <c r="AB31" s="1194">
        <f t="shared" si="16"/>
        <v>1</v>
      </c>
      <c r="AC31" s="1194">
        <f t="shared" si="17"/>
        <v>1</v>
      </c>
    </row>
    <row r="32" spans="1:29" ht="15">
      <c r="A32" s="1025" t="s">
        <v>1065</v>
      </c>
      <c r="B32" s="1004" t="s">
        <v>1066</v>
      </c>
      <c r="C32" s="1563" t="s">
        <v>1067</v>
      </c>
      <c r="D32" s="1061">
        <v>100</v>
      </c>
      <c r="E32" s="1563" t="s">
        <v>1067</v>
      </c>
      <c r="F32" s="1388">
        <f>SUMIF(100:100,E32,101:101)-SUMIF(100:100,C32,101:101)+100</f>
        <v>100</v>
      </c>
      <c r="G32" s="1563" t="s">
        <v>1067</v>
      </c>
      <c r="H32" s="1061">
        <f>SUMIF(100:100,G32,101:101)-SUMIF(100:100,C32,101:101)+100</f>
        <v>100</v>
      </c>
      <c r="I32" s="1563" t="s">
        <v>1067</v>
      </c>
      <c r="J32" s="1020">
        <f>SUMIF(100:100,I32,101:101)-SUMIF(100:100,C32,101:101)+100</f>
        <v>100</v>
      </c>
      <c r="K32" s="2062">
        <v>3</v>
      </c>
      <c r="L32" s="1147"/>
      <c r="M32" s="1135"/>
      <c r="N32" s="1135"/>
      <c r="O32" s="1135"/>
      <c r="P32" s="3463" t="s">
        <v>1068</v>
      </c>
      <c r="Q32" s="746" t="str">
        <f t="shared" si="11"/>
        <v>建筑类型</v>
      </c>
      <c r="R32" s="1183" t="s">
        <v>1037</v>
      </c>
      <c r="S32" s="1184">
        <f t="shared" si="12"/>
        <v>100</v>
      </c>
      <c r="T32" s="1183" t="s">
        <v>1037</v>
      </c>
      <c r="U32" s="1184">
        <f t="shared" si="13"/>
        <v>100</v>
      </c>
      <c r="V32" s="1183" t="s">
        <v>1037</v>
      </c>
      <c r="W32" s="1184">
        <f t="shared" si="14"/>
        <v>100</v>
      </c>
      <c r="X32" s="1177"/>
      <c r="Y32" s="3468" t="s">
        <v>1068</v>
      </c>
      <c r="Z32" s="1167" t="str">
        <f t="shared" si="18"/>
        <v>建筑类型</v>
      </c>
      <c r="AA32" s="1194">
        <f t="shared" si="15"/>
        <v>1</v>
      </c>
      <c r="AB32" s="1194">
        <f t="shared" si="16"/>
        <v>1</v>
      </c>
      <c r="AC32" s="1194">
        <f t="shared" si="17"/>
        <v>1</v>
      </c>
    </row>
    <row r="33" spans="1:29" s="972" customFormat="1" ht="15" hidden="1">
      <c r="A33" s="1067"/>
      <c r="B33" s="1008" t="s">
        <v>1069</v>
      </c>
      <c r="C33" s="1382">
        <v>1</v>
      </c>
      <c r="D33" s="1010">
        <v>100</v>
      </c>
      <c r="E33" s="1033">
        <v>1</v>
      </c>
      <c r="F33" s="1381">
        <f>LOOKUP(E33,103:103,104:104)-LOOKUP(C33,103:103,104:104)+100</f>
        <v>100</v>
      </c>
      <c r="G33" s="1033">
        <v>1</v>
      </c>
      <c r="H33" s="1010">
        <f>LOOKUP(G33,103:103,104:104)-LOOKUP(C33,103:103,104:104)+100</f>
        <v>100</v>
      </c>
      <c r="I33" s="1031">
        <v>1</v>
      </c>
      <c r="J33" s="1010">
        <f>LOOKUP(I33,103:103,104:104)-LOOKUP(C33,103:103,104:104)+100</f>
        <v>100</v>
      </c>
      <c r="K33" s="2063"/>
      <c r="L33" s="1145"/>
      <c r="M33" s="1154"/>
      <c r="N33" s="1154"/>
      <c r="O33" s="1154"/>
      <c r="P33" s="3464"/>
      <c r="Q33" s="1427" t="str">
        <f t="shared" si="11"/>
        <v>项目建筑规模</v>
      </c>
      <c r="R33" s="1185" t="s">
        <v>1037</v>
      </c>
      <c r="S33" s="1186">
        <f t="shared" si="12"/>
        <v>100</v>
      </c>
      <c r="T33" s="1185" t="s">
        <v>1037</v>
      </c>
      <c r="U33" s="1186">
        <f t="shared" si="13"/>
        <v>100</v>
      </c>
      <c r="V33" s="1185" t="s">
        <v>1037</v>
      </c>
      <c r="W33" s="1186">
        <f t="shared" si="14"/>
        <v>100</v>
      </c>
      <c r="X33" s="1187"/>
      <c r="Y33" s="3468"/>
      <c r="Z33" s="1195" t="str">
        <f t="shared" si="18"/>
        <v>项目建筑规模</v>
      </c>
      <c r="AA33" s="1194">
        <f t="shared" si="15"/>
        <v>1</v>
      </c>
      <c r="AB33" s="1194">
        <f t="shared" si="16"/>
        <v>1</v>
      </c>
      <c r="AC33" s="1194">
        <f t="shared" si="17"/>
        <v>1</v>
      </c>
    </row>
    <row r="34" spans="1:29" ht="15">
      <c r="A34" s="1062"/>
      <c r="B34" s="1008" t="s">
        <v>1070</v>
      </c>
      <c r="C34" s="1564" t="s">
        <v>1071</v>
      </c>
      <c r="D34" s="1020">
        <v>100</v>
      </c>
      <c r="E34" s="1564" t="s">
        <v>1071</v>
      </c>
      <c r="F34" s="1388">
        <f>SUMIF(105:105,E34,106:106)-SUMIF(105:105,C34,106:106)+100</f>
        <v>100</v>
      </c>
      <c r="G34" s="1564" t="s">
        <v>1071</v>
      </c>
      <c r="H34" s="1020">
        <f>SUMIF(105:105,G34,106:106)-SUMIF(105:105,C34,106:106)+100</f>
        <v>100</v>
      </c>
      <c r="I34" s="1564" t="s">
        <v>1071</v>
      </c>
      <c r="J34" s="1020">
        <f>SUMIF(105:105,I34,106:106)-SUMIF(105:105,C34,106:106)+100</f>
        <v>100</v>
      </c>
      <c r="K34" s="2062">
        <v>1</v>
      </c>
      <c r="L34" s="1147"/>
      <c r="M34" s="1135"/>
      <c r="N34" s="1135"/>
      <c r="O34" s="1135"/>
      <c r="P34" s="3464"/>
      <c r="Q34" s="746" t="str">
        <f t="shared" si="11"/>
        <v>建筑结构</v>
      </c>
      <c r="R34" s="1183" t="s">
        <v>1037</v>
      </c>
      <c r="S34" s="1184">
        <f t="shared" si="12"/>
        <v>100</v>
      </c>
      <c r="T34" s="1183" t="s">
        <v>1037</v>
      </c>
      <c r="U34" s="1184">
        <f t="shared" si="13"/>
        <v>100</v>
      </c>
      <c r="V34" s="1183" t="s">
        <v>1037</v>
      </c>
      <c r="W34" s="1184">
        <f t="shared" si="14"/>
        <v>100</v>
      </c>
      <c r="X34" s="1177"/>
      <c r="Y34" s="3468"/>
      <c r="Z34" s="1167" t="str">
        <f t="shared" si="18"/>
        <v>建筑结构</v>
      </c>
      <c r="AA34" s="1194">
        <f t="shared" si="15"/>
        <v>1</v>
      </c>
      <c r="AB34" s="1194">
        <f t="shared" si="16"/>
        <v>1</v>
      </c>
      <c r="AC34" s="1194">
        <f t="shared" si="17"/>
        <v>1</v>
      </c>
    </row>
    <row r="35" spans="1:29" ht="15" hidden="1">
      <c r="A35" s="1062"/>
      <c r="B35" s="1008" t="s">
        <v>1072</v>
      </c>
      <c r="C35" s="1063"/>
      <c r="D35" s="1020">
        <v>100</v>
      </c>
      <c r="E35" s="1051"/>
      <c r="F35" s="1388">
        <f>SUMIF(107:107,E35,108:108)-SUMIF(107:107,C35,108:108)+100</f>
        <v>100</v>
      </c>
      <c r="G35" s="1051"/>
      <c r="H35" s="1020">
        <f>SUMIF(107:107,G35,108:108)-SUMIF(107:107,C35,108:108)+100</f>
        <v>100</v>
      </c>
      <c r="I35" s="1018"/>
      <c r="J35" s="1020">
        <f>SUMIF(107:107,I35,108:108)-SUMIF(107:107,C35,108:108)+100</f>
        <v>100</v>
      </c>
      <c r="K35" s="2062">
        <v>1</v>
      </c>
      <c r="L35" s="1147"/>
      <c r="M35" s="1135"/>
      <c r="N35" s="1135"/>
      <c r="O35" s="1135"/>
      <c r="P35" s="3464"/>
      <c r="Q35" s="746" t="str">
        <f t="shared" si="11"/>
        <v>建筑品质</v>
      </c>
      <c r="R35" s="1183" t="s">
        <v>1037</v>
      </c>
      <c r="S35" s="1184">
        <f t="shared" si="12"/>
        <v>100</v>
      </c>
      <c r="T35" s="1183" t="s">
        <v>1037</v>
      </c>
      <c r="U35" s="1184">
        <f t="shared" si="13"/>
        <v>100</v>
      </c>
      <c r="V35" s="1183" t="s">
        <v>1037</v>
      </c>
      <c r="W35" s="1184">
        <f t="shared" si="14"/>
        <v>100</v>
      </c>
      <c r="X35" s="1177"/>
      <c r="Y35" s="3468"/>
      <c r="Z35" s="1167" t="str">
        <f t="shared" si="18"/>
        <v>建筑品质</v>
      </c>
      <c r="AA35" s="1194">
        <f t="shared" si="15"/>
        <v>1</v>
      </c>
      <c r="AB35" s="1194">
        <f t="shared" si="16"/>
        <v>1</v>
      </c>
      <c r="AC35" s="1194">
        <f t="shared" si="17"/>
        <v>1</v>
      </c>
    </row>
    <row r="36" spans="1:29" ht="15">
      <c r="A36" s="1062"/>
      <c r="B36" s="1008" t="s">
        <v>1073</v>
      </c>
      <c r="C36" s="1063" t="s">
        <v>1074</v>
      </c>
      <c r="D36" s="1020">
        <v>100</v>
      </c>
      <c r="E36" s="1063" t="s">
        <v>1074</v>
      </c>
      <c r="F36" s="1388">
        <f>SUMIF(109:109,E36,110:110)-SUMIF(109:109,C36,110:110)+100</f>
        <v>100</v>
      </c>
      <c r="G36" s="1063" t="s">
        <v>1074</v>
      </c>
      <c r="H36" s="1020">
        <f>SUMIF(109:109,G36,110:110)-SUMIF(109:109,C36,110:110)+100</f>
        <v>100</v>
      </c>
      <c r="I36" s="1063" t="s">
        <v>1074</v>
      </c>
      <c r="J36" s="1020">
        <f>SUMIF(109:109,I36,110:110)-SUMIF(109:109,C36,110:110)+100</f>
        <v>100</v>
      </c>
      <c r="K36" s="2062">
        <v>1</v>
      </c>
      <c r="L36" s="1147"/>
      <c r="M36" s="1135"/>
      <c r="N36" s="1135"/>
      <c r="O36" s="1135"/>
      <c r="P36" s="3464"/>
      <c r="Q36" s="746" t="str">
        <f t="shared" si="11"/>
        <v>公共部分装修</v>
      </c>
      <c r="R36" s="1183" t="s">
        <v>1037</v>
      </c>
      <c r="S36" s="1184">
        <f t="shared" si="12"/>
        <v>100</v>
      </c>
      <c r="T36" s="1183" t="s">
        <v>1037</v>
      </c>
      <c r="U36" s="1184">
        <f t="shared" si="13"/>
        <v>100</v>
      </c>
      <c r="V36" s="1183" t="s">
        <v>1037</v>
      </c>
      <c r="W36" s="1184">
        <f t="shared" si="14"/>
        <v>100</v>
      </c>
      <c r="X36" s="1177"/>
      <c r="Y36" s="3468"/>
      <c r="Z36" s="1167" t="str">
        <f t="shared" si="18"/>
        <v>公共部分装修</v>
      </c>
      <c r="AA36" s="1194">
        <f t="shared" si="15"/>
        <v>1</v>
      </c>
      <c r="AB36" s="1194">
        <f t="shared" si="16"/>
        <v>1</v>
      </c>
      <c r="AC36" s="1194">
        <f t="shared" si="17"/>
        <v>1</v>
      </c>
    </row>
    <row r="37" spans="1:29" s="970" customFormat="1" ht="15">
      <c r="A37" s="1064"/>
      <c r="B37" s="1008" t="s">
        <v>568</v>
      </c>
      <c r="C37" s="2048">
        <v>1</v>
      </c>
      <c r="D37" s="1010">
        <v>100</v>
      </c>
      <c r="E37" s="2048">
        <v>1</v>
      </c>
      <c r="F37" s="1381">
        <f>LOOKUP(E37,112:112,113:113)-LOOKUP(C37,112:112,113:113)+100</f>
        <v>100</v>
      </c>
      <c r="G37" s="2048">
        <v>1</v>
      </c>
      <c r="H37" s="1010">
        <f>LOOKUP(G37,112:112,113:113)-LOOKUP(C37,112:112,113:113)+100</f>
        <v>100</v>
      </c>
      <c r="I37" s="2048">
        <v>1</v>
      </c>
      <c r="J37" s="1010">
        <f>LOOKUP(I37,112:112,113:113)-LOOKUP(C37,112:112,113:113)+100</f>
        <v>100</v>
      </c>
      <c r="K37" s="2062">
        <v>1</v>
      </c>
      <c r="L37" s="1137"/>
      <c r="M37" s="1138"/>
      <c r="N37" s="1138"/>
      <c r="O37" s="1138"/>
      <c r="P37" s="3464"/>
      <c r="Q37" s="1182" t="str">
        <f t="shared" si="11"/>
        <v>成新度</v>
      </c>
      <c r="R37" s="1178" t="s">
        <v>1037</v>
      </c>
      <c r="S37" s="1179">
        <f t="shared" si="12"/>
        <v>100</v>
      </c>
      <c r="T37" s="1178" t="s">
        <v>1037</v>
      </c>
      <c r="U37" s="1179">
        <f t="shared" si="13"/>
        <v>100</v>
      </c>
      <c r="V37" s="1178" t="s">
        <v>1037</v>
      </c>
      <c r="W37" s="1179">
        <f t="shared" si="14"/>
        <v>100</v>
      </c>
      <c r="X37" s="1180"/>
      <c r="Y37" s="3468"/>
      <c r="Z37" s="1193" t="str">
        <f t="shared" si="18"/>
        <v>成新度</v>
      </c>
      <c r="AA37" s="1192">
        <f t="shared" si="15"/>
        <v>1</v>
      </c>
      <c r="AB37" s="1192">
        <f t="shared" si="16"/>
        <v>1</v>
      </c>
      <c r="AC37" s="1192">
        <f t="shared" si="17"/>
        <v>1</v>
      </c>
    </row>
    <row r="38" spans="1:29" ht="28.5">
      <c r="A38" s="1062"/>
      <c r="B38" s="1008" t="s">
        <v>1075</v>
      </c>
      <c r="C38" s="1063" t="s">
        <v>1076</v>
      </c>
      <c r="D38" s="1020">
        <v>100</v>
      </c>
      <c r="E38" s="1063" t="s">
        <v>1076</v>
      </c>
      <c r="F38" s="1388">
        <f>SUMIF(114:114,E38,115:115)-SUMIF(114:114,C38,115:115)+100</f>
        <v>100</v>
      </c>
      <c r="G38" s="1063" t="s">
        <v>1076</v>
      </c>
      <c r="H38" s="1020">
        <f>SUMIF(114:114,G38,115:115)-SUMIF(114:114,C38,115:115)+100</f>
        <v>100</v>
      </c>
      <c r="I38" s="1063" t="s">
        <v>1076</v>
      </c>
      <c r="J38" s="1020">
        <f>SUMIF(114:114,I38,115:115)-SUMIF(114:114,C38,115:115)+100</f>
        <v>100</v>
      </c>
      <c r="K38" s="2062">
        <v>1</v>
      </c>
      <c r="L38" s="1147"/>
      <c r="M38" s="1135"/>
      <c r="N38" s="1135"/>
      <c r="O38" s="1135"/>
      <c r="P38" s="3464" t="s">
        <v>1068</v>
      </c>
      <c r="Q38" s="746" t="str">
        <f t="shared" si="11"/>
        <v>物业管理</v>
      </c>
      <c r="R38" s="1183" t="s">
        <v>1037</v>
      </c>
      <c r="S38" s="1184">
        <f t="shared" si="12"/>
        <v>100</v>
      </c>
      <c r="T38" s="1183" t="s">
        <v>1037</v>
      </c>
      <c r="U38" s="1184">
        <f t="shared" si="13"/>
        <v>100</v>
      </c>
      <c r="V38" s="1183" t="s">
        <v>1037</v>
      </c>
      <c r="W38" s="1184">
        <f t="shared" si="14"/>
        <v>100</v>
      </c>
      <c r="X38" s="1177"/>
      <c r="Y38" s="3468" t="s">
        <v>1068</v>
      </c>
      <c r="Z38" s="1167" t="str">
        <f t="shared" si="18"/>
        <v>物业管理</v>
      </c>
      <c r="AA38" s="1194">
        <f t="shared" si="15"/>
        <v>1</v>
      </c>
      <c r="AB38" s="1194">
        <f t="shared" si="16"/>
        <v>1</v>
      </c>
      <c r="AC38" s="1194">
        <f t="shared" si="17"/>
        <v>1</v>
      </c>
    </row>
    <row r="39" spans="1:29" ht="15">
      <c r="A39" s="1062"/>
      <c r="B39" s="1008" t="s">
        <v>1077</v>
      </c>
      <c r="C39" s="1063" t="s">
        <v>1078</v>
      </c>
      <c r="D39" s="1020">
        <v>100</v>
      </c>
      <c r="E39" s="1063" t="s">
        <v>1079</v>
      </c>
      <c r="F39" s="1388">
        <f>SUMIF(116:116,E39,117:117)-SUMIF(116:116,C39,117:117)+100</f>
        <v>96</v>
      </c>
      <c r="G39" s="1063" t="s">
        <v>1079</v>
      </c>
      <c r="H39" s="1020">
        <f>SUMIF(116:116,G39,117:117)-SUMIF(116:116,C39,117:117)+100</f>
        <v>96</v>
      </c>
      <c r="I39" s="1063" t="s">
        <v>1080</v>
      </c>
      <c r="J39" s="1020">
        <f>SUMIF(116:116,I39,117:117)-SUMIF(116:116,C39,117:117)+100</f>
        <v>98</v>
      </c>
      <c r="K39" s="2062">
        <v>1</v>
      </c>
      <c r="L39" s="1147"/>
      <c r="M39" s="1135"/>
      <c r="N39" s="1135"/>
      <c r="O39" s="1135"/>
      <c r="P39" s="3464"/>
      <c r="Q39" s="746" t="str">
        <f t="shared" si="11"/>
        <v>市政基础设施</v>
      </c>
      <c r="R39" s="1183" t="s">
        <v>1037</v>
      </c>
      <c r="S39" s="1184">
        <f t="shared" si="12"/>
        <v>96</v>
      </c>
      <c r="T39" s="1183" t="s">
        <v>1037</v>
      </c>
      <c r="U39" s="1184">
        <f t="shared" si="13"/>
        <v>96</v>
      </c>
      <c r="V39" s="1183" t="s">
        <v>1037</v>
      </c>
      <c r="W39" s="1184">
        <f t="shared" si="14"/>
        <v>98</v>
      </c>
      <c r="X39" s="1177"/>
      <c r="Y39" s="3468"/>
      <c r="Z39" s="1167" t="str">
        <f t="shared" si="18"/>
        <v>市政基础设施</v>
      </c>
      <c r="AA39" s="1194">
        <f t="shared" si="15"/>
        <v>1.0416666666666667</v>
      </c>
      <c r="AB39" s="1194">
        <f t="shared" si="16"/>
        <v>1.0416666666666667</v>
      </c>
      <c r="AC39" s="1194">
        <f t="shared" si="17"/>
        <v>1.0204081632653061</v>
      </c>
    </row>
    <row r="40" spans="1:29" ht="15" hidden="1">
      <c r="A40" s="1062"/>
      <c r="B40" s="1008" t="s">
        <v>1081</v>
      </c>
      <c r="C40" s="1063"/>
      <c r="D40" s="1020">
        <v>100</v>
      </c>
      <c r="E40" s="1063"/>
      <c r="F40" s="1388">
        <f>SUMIF(118:118,E40,119:119)-SUMIF(118:118,C40,119:119)+100</f>
        <v>100</v>
      </c>
      <c r="G40" s="1063"/>
      <c r="H40" s="1020">
        <f>SUMIF(118:118,G40,119:119)-SUMIF(118:118,C40,119:119)+100</f>
        <v>100</v>
      </c>
      <c r="I40" s="1063"/>
      <c r="J40" s="1020">
        <f>SUMIF(118:118,I40,119:119)-SUMIF(118:118,C40,119:119)+100</f>
        <v>100</v>
      </c>
      <c r="K40" s="2062">
        <v>1</v>
      </c>
      <c r="L40" s="1147"/>
      <c r="M40" s="1135"/>
      <c r="N40" s="1135"/>
      <c r="O40" s="1135"/>
      <c r="P40" s="3464"/>
      <c r="Q40" s="746" t="str">
        <f t="shared" si="11"/>
        <v>房型</v>
      </c>
      <c r="R40" s="1183" t="s">
        <v>1037</v>
      </c>
      <c r="S40" s="1184">
        <f t="shared" si="12"/>
        <v>100</v>
      </c>
      <c r="T40" s="1183" t="s">
        <v>1037</v>
      </c>
      <c r="U40" s="1184">
        <f t="shared" si="13"/>
        <v>100</v>
      </c>
      <c r="V40" s="1183" t="s">
        <v>1037</v>
      </c>
      <c r="W40" s="1184">
        <f t="shared" si="14"/>
        <v>100</v>
      </c>
      <c r="X40" s="1177"/>
      <c r="Y40" s="3468"/>
      <c r="Z40" s="1167" t="str">
        <f t="shared" si="18"/>
        <v>房型</v>
      </c>
      <c r="AA40" s="1194">
        <f t="shared" si="15"/>
        <v>1</v>
      </c>
      <c r="AB40" s="1194">
        <f t="shared" si="16"/>
        <v>1</v>
      </c>
      <c r="AC40" s="1194">
        <f t="shared" si="17"/>
        <v>1</v>
      </c>
    </row>
    <row r="41" spans="1:29" s="972" customFormat="1" ht="28.5" hidden="1">
      <c r="A41" s="1067"/>
      <c r="B41" s="1008" t="s">
        <v>1082</v>
      </c>
      <c r="C41" s="1382"/>
      <c r="D41" s="1010">
        <v>100</v>
      </c>
      <c r="E41" s="1065"/>
      <c r="F41" s="1381">
        <f>SUMIF(120:120,E41,121:121)-SUMIF(120:120,C41,121:121)+100</f>
        <v>100</v>
      </c>
      <c r="G41" s="1065"/>
      <c r="H41" s="1010">
        <f>SUMIF(120:120,G41,121:121)-SUMIF(120:120,C41,121:121)+100</f>
        <v>100</v>
      </c>
      <c r="I41" s="1065"/>
      <c r="J41" s="1020">
        <f>SUMIF(120:120,I41,121:121)-SUMIF(120:120,C41,121:121)+100</f>
        <v>100</v>
      </c>
      <c r="K41" s="2063"/>
      <c r="L41" s="1145"/>
      <c r="M41" s="1154"/>
      <c r="N41" s="1154"/>
      <c r="O41" s="1154"/>
      <c r="P41" s="3464"/>
      <c r="Q41" s="1427" t="str">
        <f t="shared" si="11"/>
        <v>单套/主力户型建筑面积</v>
      </c>
      <c r="R41" s="1185" t="s">
        <v>1037</v>
      </c>
      <c r="S41" s="1186">
        <f t="shared" si="12"/>
        <v>100</v>
      </c>
      <c r="T41" s="1185" t="s">
        <v>1037</v>
      </c>
      <c r="U41" s="1186">
        <f t="shared" si="13"/>
        <v>100</v>
      </c>
      <c r="V41" s="1185" t="s">
        <v>1037</v>
      </c>
      <c r="W41" s="1186">
        <f t="shared" si="14"/>
        <v>100</v>
      </c>
      <c r="X41" s="1187"/>
      <c r="Y41" s="3468"/>
      <c r="Z41" s="1195" t="str">
        <f t="shared" si="18"/>
        <v>单套/主力户型建筑面积</v>
      </c>
      <c r="AA41" s="1194">
        <f t="shared" si="15"/>
        <v>1</v>
      </c>
      <c r="AB41" s="1194">
        <f t="shared" si="16"/>
        <v>1</v>
      </c>
      <c r="AC41" s="1194">
        <f t="shared" si="17"/>
        <v>1</v>
      </c>
    </row>
    <row r="42" spans="1:29" ht="15">
      <c r="A42" s="1062"/>
      <c r="B42" s="1008" t="s">
        <v>1083</v>
      </c>
      <c r="C42" s="1063" t="s">
        <v>1084</v>
      </c>
      <c r="D42" s="1020">
        <v>100</v>
      </c>
      <c r="E42" s="1063" t="s">
        <v>1085</v>
      </c>
      <c r="F42" s="1388">
        <f>SUMIF(122:122,E42,123:123)-SUMIF(122:122,C42,123:123)+100</f>
        <v>105</v>
      </c>
      <c r="G42" s="1063" t="s">
        <v>1085</v>
      </c>
      <c r="H42" s="1020">
        <f>SUMIF(122:122,G42,123:123)-SUMIF(122:122,C42,123:123)+100</f>
        <v>105</v>
      </c>
      <c r="I42" s="1063" t="s">
        <v>1085</v>
      </c>
      <c r="J42" s="1020">
        <f>SUMIF(122:122,I42,123:123)-SUMIF(122:122,C42,123:123)+100</f>
        <v>105</v>
      </c>
      <c r="K42" s="2062">
        <v>5</v>
      </c>
      <c r="L42" s="1147"/>
      <c r="M42" s="1135"/>
      <c r="N42" s="1135"/>
      <c r="O42" s="1135"/>
      <c r="P42" s="3464"/>
      <c r="Q42" s="746" t="str">
        <f t="shared" si="11"/>
        <v>内部装修</v>
      </c>
      <c r="R42" s="1183" t="s">
        <v>1037</v>
      </c>
      <c r="S42" s="1184">
        <f t="shared" si="12"/>
        <v>105</v>
      </c>
      <c r="T42" s="1183" t="s">
        <v>1037</v>
      </c>
      <c r="U42" s="1184">
        <f t="shared" si="13"/>
        <v>105</v>
      </c>
      <c r="V42" s="1183" t="s">
        <v>1037</v>
      </c>
      <c r="W42" s="1184">
        <f t="shared" si="14"/>
        <v>105</v>
      </c>
      <c r="X42" s="1177"/>
      <c r="Y42" s="3468"/>
      <c r="Z42" s="1167" t="str">
        <f t="shared" si="18"/>
        <v>内部装修</v>
      </c>
      <c r="AA42" s="1194">
        <f t="shared" si="15"/>
        <v>0.95238095238095233</v>
      </c>
      <c r="AB42" s="1194">
        <f t="shared" si="16"/>
        <v>0.95238095238095233</v>
      </c>
      <c r="AC42" s="1194">
        <f t="shared" si="17"/>
        <v>0.95238095238095233</v>
      </c>
    </row>
    <row r="43" spans="1:29" ht="15">
      <c r="A43" s="1062"/>
      <c r="B43" s="1008" t="s">
        <v>1086</v>
      </c>
      <c r="C43" s="1063" t="s">
        <v>1054</v>
      </c>
      <c r="D43" s="1020">
        <v>100</v>
      </c>
      <c r="E43" s="1063" t="s">
        <v>1054</v>
      </c>
      <c r="F43" s="1388">
        <f>SUMIF(124:124,E43,125:125)-SUMIF(124:124,C43,125:125)+100</f>
        <v>100</v>
      </c>
      <c r="G43" s="1063" t="s">
        <v>1054</v>
      </c>
      <c r="H43" s="1020">
        <f>SUMIF(124:124,G43,125:125)-SUMIF(124:124,C43,125:125)+100</f>
        <v>100</v>
      </c>
      <c r="I43" s="1063" t="s">
        <v>1054</v>
      </c>
      <c r="J43" s="1020">
        <f>SUMIF(124:124,I43,125:125)-SUMIF(124:124,C43,125:125)+100</f>
        <v>100</v>
      </c>
      <c r="K43" s="2062">
        <v>1</v>
      </c>
      <c r="L43" s="1147"/>
      <c r="M43" s="1135"/>
      <c r="N43" s="1135"/>
      <c r="O43" s="1135"/>
      <c r="P43" s="3464"/>
      <c r="Q43" s="746" t="str">
        <f t="shared" si="11"/>
        <v>内部装修维护情况</v>
      </c>
      <c r="R43" s="1183" t="s">
        <v>1037</v>
      </c>
      <c r="S43" s="1184">
        <f t="shared" si="12"/>
        <v>100</v>
      </c>
      <c r="T43" s="1183" t="s">
        <v>1037</v>
      </c>
      <c r="U43" s="1184">
        <f t="shared" si="13"/>
        <v>100</v>
      </c>
      <c r="V43" s="1183" t="s">
        <v>1037</v>
      </c>
      <c r="W43" s="1184">
        <f t="shared" si="14"/>
        <v>100</v>
      </c>
      <c r="X43" s="1177"/>
      <c r="Y43" s="3468"/>
      <c r="Z43" s="1167" t="str">
        <f t="shared" si="18"/>
        <v>内部装修维护情况</v>
      </c>
      <c r="AA43" s="1194">
        <f t="shared" si="15"/>
        <v>1</v>
      </c>
      <c r="AB43" s="1194">
        <f t="shared" si="16"/>
        <v>1</v>
      </c>
      <c r="AC43" s="1194">
        <f t="shared" si="17"/>
        <v>1</v>
      </c>
    </row>
    <row r="44" spans="1:29" s="970" customFormat="1" ht="15" hidden="1">
      <c r="A44" s="1064"/>
      <c r="B44" s="1327"/>
      <c r="C44" s="2049"/>
      <c r="D44" s="1010">
        <v>100</v>
      </c>
      <c r="E44" s="1018"/>
      <c r="F44" s="1381">
        <f>SUMIF(126:126,E44,127:127)-SUMIF(126:126,C44,127:127)+100</f>
        <v>100</v>
      </c>
      <c r="G44" s="1018"/>
      <c r="H44" s="1010">
        <f>SUMIF(126:126,G44,127:127)-SUMIF(126:126,C44,127:127)+100</f>
        <v>100</v>
      </c>
      <c r="I44" s="1017"/>
      <c r="J44" s="1010">
        <f>SUMIF(126:126,I44,127:127)-SUMIF(126:126,C44,127:127)+100</f>
        <v>100</v>
      </c>
      <c r="K44" s="2063"/>
      <c r="L44" s="1137"/>
      <c r="M44" s="1138"/>
      <c r="N44" s="1138"/>
      <c r="O44" s="1138"/>
      <c r="P44" s="3464"/>
      <c r="Q44" s="1182">
        <f t="shared" si="11"/>
        <v>0</v>
      </c>
      <c r="R44" s="1178" t="s">
        <v>1037</v>
      </c>
      <c r="S44" s="1179">
        <f t="shared" si="12"/>
        <v>100</v>
      </c>
      <c r="T44" s="1178" t="s">
        <v>1037</v>
      </c>
      <c r="U44" s="1179">
        <f t="shared" si="13"/>
        <v>100</v>
      </c>
      <c r="V44" s="1178" t="s">
        <v>1037</v>
      </c>
      <c r="W44" s="1179">
        <f t="shared" si="14"/>
        <v>100</v>
      </c>
      <c r="X44" s="1180"/>
      <c r="Y44" s="3468"/>
      <c r="Z44" s="1193">
        <f t="shared" si="18"/>
        <v>0</v>
      </c>
      <c r="AA44" s="1192">
        <f t="shared" si="15"/>
        <v>1</v>
      </c>
      <c r="AB44" s="1192">
        <f t="shared" si="16"/>
        <v>1</v>
      </c>
      <c r="AC44" s="1192">
        <f t="shared" si="17"/>
        <v>1</v>
      </c>
    </row>
    <row r="45" spans="1:29" ht="15" hidden="1">
      <c r="A45" s="1062"/>
      <c r="B45" s="1327"/>
      <c r="C45" s="2050"/>
      <c r="D45" s="1020">
        <v>100</v>
      </c>
      <c r="E45" s="1018"/>
      <c r="F45" s="1388">
        <f>SUMIF(128:128,E45,129:129)-SUMIF(128:128,C45,129:129)+100</f>
        <v>100</v>
      </c>
      <c r="G45" s="1018"/>
      <c r="H45" s="1020">
        <f>SUMIF(128:128,G45,129:129)-SUMIF(128:128,C45,129:129)+100</f>
        <v>100</v>
      </c>
      <c r="I45" s="1018"/>
      <c r="J45" s="1020">
        <f>SUMIF(128:128,I45,129:129)-SUMIF(128:128,C45,129:129)+100</f>
        <v>100</v>
      </c>
      <c r="K45" s="2063"/>
      <c r="L45" s="1147"/>
      <c r="M45" s="1135"/>
      <c r="N45" s="1135"/>
      <c r="O45" s="1135"/>
      <c r="P45" s="3464"/>
      <c r="Q45" s="746">
        <f t="shared" si="11"/>
        <v>0</v>
      </c>
      <c r="R45" s="1183" t="s">
        <v>1037</v>
      </c>
      <c r="S45" s="1184">
        <f t="shared" si="12"/>
        <v>100</v>
      </c>
      <c r="T45" s="1183" t="s">
        <v>1037</v>
      </c>
      <c r="U45" s="1184">
        <f t="shared" si="13"/>
        <v>100</v>
      </c>
      <c r="V45" s="1183" t="s">
        <v>1037</v>
      </c>
      <c r="W45" s="1184">
        <f t="shared" si="14"/>
        <v>100</v>
      </c>
      <c r="X45" s="1177"/>
      <c r="Y45" s="3468"/>
      <c r="Z45" s="1167">
        <f t="shared" si="18"/>
        <v>0</v>
      </c>
      <c r="AA45" s="1194">
        <f t="shared" si="15"/>
        <v>1</v>
      </c>
      <c r="AB45" s="1194">
        <f t="shared" si="16"/>
        <v>1</v>
      </c>
      <c r="AC45" s="1194">
        <f t="shared" si="17"/>
        <v>1</v>
      </c>
    </row>
    <row r="46" spans="1:29" ht="15" hidden="1">
      <c r="A46" s="1400"/>
      <c r="B46" s="1022"/>
      <c r="C46" s="1023"/>
      <c r="D46" s="1024">
        <v>100</v>
      </c>
      <c r="E46" s="1073"/>
      <c r="F46" s="1401">
        <f>SUMIF(130:130,E46,131:131)-SUMIF(130:130,C46,131:131)+100</f>
        <v>100</v>
      </c>
      <c r="G46" s="1075"/>
      <c r="H46" s="1024">
        <f>SUMIF(130:130,G46,131:131)-SUMIF(130:130,C46,131:131)+100</f>
        <v>100</v>
      </c>
      <c r="I46" s="1073"/>
      <c r="J46" s="1024">
        <f>SUMIF(130:130,I46,131:131)-SUMIF(130:130,C46,131:131)+100</f>
        <v>100</v>
      </c>
      <c r="K46" s="2063"/>
      <c r="L46" s="1147"/>
      <c r="M46" s="1135"/>
      <c r="N46" s="1135"/>
      <c r="O46" s="1135"/>
      <c r="P46" s="3465"/>
      <c r="Q46" s="746">
        <f t="shared" si="11"/>
        <v>0</v>
      </c>
      <c r="R46" s="1183" t="s">
        <v>1037</v>
      </c>
      <c r="S46" s="1184">
        <f t="shared" si="12"/>
        <v>100</v>
      </c>
      <c r="T46" s="1183" t="s">
        <v>1037</v>
      </c>
      <c r="U46" s="1184">
        <f t="shared" si="13"/>
        <v>100</v>
      </c>
      <c r="V46" s="1183" t="s">
        <v>1037</v>
      </c>
      <c r="W46" s="1184">
        <f t="shared" si="14"/>
        <v>100</v>
      </c>
      <c r="X46" s="1177"/>
      <c r="Y46" s="3469"/>
      <c r="Z46" s="1167">
        <f t="shared" si="18"/>
        <v>0</v>
      </c>
      <c r="AA46" s="1194">
        <f t="shared" si="15"/>
        <v>1</v>
      </c>
      <c r="AB46" s="1194">
        <f t="shared" si="16"/>
        <v>1</v>
      </c>
      <c r="AC46" s="1194">
        <f t="shared" si="17"/>
        <v>1</v>
      </c>
    </row>
    <row r="47" spans="1:29" ht="15">
      <c r="A47" s="1069" t="s">
        <v>1087</v>
      </c>
      <c r="B47" s="1402"/>
      <c r="C47" s="1403" t="s">
        <v>124</v>
      </c>
      <c r="D47" s="1404"/>
      <c r="E47" s="1405">
        <f>共产房土地案例新!R2</f>
        <v>38000</v>
      </c>
      <c r="F47" s="1406"/>
      <c r="G47" s="1407">
        <f>共产房土地案例新!R3</f>
        <v>38000</v>
      </c>
      <c r="H47" s="1408"/>
      <c r="I47" s="1405">
        <v>35000</v>
      </c>
      <c r="J47" s="1408"/>
      <c r="K47" s="2067"/>
      <c r="L47" s="1159"/>
      <c r="M47" s="1086"/>
      <c r="N47" s="1135"/>
      <c r="O47" s="1086"/>
      <c r="P47" s="3458" t="str">
        <f>A47</f>
        <v>成交单价（元/平方米）</v>
      </c>
      <c r="Q47" s="3458"/>
      <c r="R47" s="3470">
        <f>E47</f>
        <v>38000</v>
      </c>
      <c r="S47" s="3470"/>
      <c r="T47" s="3470">
        <f>G47</f>
        <v>38000</v>
      </c>
      <c r="U47" s="3470"/>
      <c r="V47" s="3470">
        <f>I47</f>
        <v>35000</v>
      </c>
      <c r="W47" s="3470"/>
      <c r="X47" s="1123"/>
      <c r="Y47" s="1196"/>
      <c r="Z47" s="1123"/>
      <c r="AA47" s="1123"/>
      <c r="AB47" s="1123"/>
      <c r="AC47" s="1123"/>
    </row>
    <row r="48" spans="1:29" ht="15">
      <c r="A48" s="1077" t="s">
        <v>1088</v>
      </c>
      <c r="B48" s="1409"/>
      <c r="C48" s="1410">
        <f>R49</f>
        <v>37456</v>
      </c>
      <c r="D48" s="1080" t="s">
        <v>1089</v>
      </c>
      <c r="E48" s="1411">
        <f>R48</f>
        <v>38468</v>
      </c>
      <c r="F48" s="1081"/>
      <c r="G48" s="1410">
        <f>T48</f>
        <v>38659</v>
      </c>
      <c r="H48" s="1081"/>
      <c r="I48" s="1411">
        <f>V48</f>
        <v>35242</v>
      </c>
      <c r="J48" s="1081"/>
      <c r="K48" s="2068">
        <f>F48+H48+J48</f>
        <v>0</v>
      </c>
      <c r="L48" s="1159"/>
      <c r="M48" s="1086"/>
      <c r="N48" s="1086"/>
      <c r="O48" s="1086"/>
      <c r="P48" s="3458" t="str">
        <f>A48</f>
        <v>比较价值（元/平方米）</v>
      </c>
      <c r="Q48" s="3458"/>
      <c r="R48" s="3470">
        <f>IF(F1="售价",ROUND(PRODUCT(R47,AA7:AA46),0),ROUND(PRODUCT(R47,AA7:AA46),1))</f>
        <v>38468</v>
      </c>
      <c r="S48" s="3470"/>
      <c r="T48" s="3470">
        <f>IF(F1="售价",ROUND(PRODUCT(T47,AB7:AB46),0),ROUND(PRODUCT(T47,AB7:AB46),1))</f>
        <v>38659</v>
      </c>
      <c r="U48" s="3470"/>
      <c r="V48" s="3470">
        <f>IF(F1="售价",ROUND(PRODUCT(V47,AC7:AC46),0),ROUND(PRODUCT(V47,AC7:AC46),1))</f>
        <v>35242</v>
      </c>
      <c r="W48" s="3470"/>
      <c r="X48" s="1123"/>
      <c r="Y48" s="1123"/>
      <c r="Z48" s="1123"/>
      <c r="AA48" s="1123"/>
      <c r="AB48" s="1123"/>
      <c r="AC48" s="1123"/>
    </row>
    <row r="49" spans="1:43" ht="15">
      <c r="A49" s="1083" t="s">
        <v>1090</v>
      </c>
      <c r="B49" s="1084"/>
      <c r="C49" s="2051">
        <f>R49</f>
        <v>37456</v>
      </c>
      <c r="D49" s="1412"/>
      <c r="E49" s="1412"/>
      <c r="F49" s="1412"/>
      <c r="G49" s="1412"/>
      <c r="H49" s="1412"/>
      <c r="I49" s="1412"/>
      <c r="J49" s="1412"/>
      <c r="K49" s="2069"/>
      <c r="L49" s="1159"/>
      <c r="M49" s="1086"/>
      <c r="N49" s="1086"/>
      <c r="O49" s="1086"/>
      <c r="P49" s="3471" t="str">
        <f>A49</f>
        <v>估价对象XX用房的比较价值（楼面单价，元/平方米）</v>
      </c>
      <c r="Q49" s="3472"/>
      <c r="R49" s="3473">
        <f>IF(F1="售价",ROUND(IF(D48="简单平均",AVERAGE(R48:V48),R48*F48+T48*H48+V48*J48),0),ROUND(IF(D48="简单平均",AVERAGE(R48:V48),R48*F48+T48*H48+V48*J48),1))</f>
        <v>37456</v>
      </c>
      <c r="S49" s="3473"/>
      <c r="T49" s="3473"/>
      <c r="U49" s="3473"/>
      <c r="V49" s="3473"/>
      <c r="W49" s="3473"/>
      <c r="X49" s="1123"/>
      <c r="Y49" s="1123"/>
      <c r="Z49" s="1123"/>
      <c r="AA49" s="1123"/>
      <c r="AB49" s="1123"/>
      <c r="AC49" s="1123"/>
    </row>
    <row r="50" spans="1:43">
      <c r="A50" s="1086"/>
      <c r="B50" s="1086"/>
      <c r="C50" s="3169">
        <f ca="1">ROUND(C49-出让金加利息利润!C31,0)</f>
        <v>29655</v>
      </c>
      <c r="D50" s="3170" t="s">
        <v>3128</v>
      </c>
      <c r="E50" s="1086"/>
      <c r="F50" s="1086"/>
      <c r="G50" s="1087"/>
      <c r="H50" s="1086"/>
      <c r="I50" s="1086"/>
      <c r="J50" s="1086"/>
      <c r="K50" s="1163"/>
      <c r="L50" s="1164"/>
      <c r="M50" s="1086"/>
      <c r="N50" s="1086"/>
      <c r="O50" s="1086"/>
    </row>
    <row r="51" spans="1:43">
      <c r="A51" s="1086"/>
      <c r="B51" s="1086"/>
      <c r="C51" s="1086"/>
      <c r="D51" s="1086"/>
      <c r="E51" s="1086"/>
      <c r="F51" s="1086"/>
      <c r="G51" s="1086"/>
      <c r="H51" s="1086"/>
      <c r="I51" s="1086"/>
      <c r="J51" s="1086"/>
      <c r="K51" s="1163"/>
      <c r="L51" s="1164"/>
      <c r="M51" s="1086"/>
      <c r="N51" s="1086"/>
      <c r="O51" s="1086"/>
    </row>
    <row r="52" spans="1:43" ht="13.5" customHeight="1">
      <c r="A52" s="1086"/>
      <c r="B52" s="1086"/>
      <c r="C52" s="1088" t="s">
        <v>1091</v>
      </c>
      <c r="D52" s="788"/>
      <c r="E52" s="1089">
        <f>IF(E47&lt;E48,E48/E47-1,E47/E48-1)</f>
        <v>1.231578947368428E-2</v>
      </c>
      <c r="F52" s="1090" t="str">
        <f>IF(OR(E52&gt;=0.3,E52&lt;=-0.3),"超过30%","")</f>
        <v/>
      </c>
      <c r="G52" s="1089">
        <f>IF(G47&lt;G48,G48/G47-1,G47/G48-1)</f>
        <v>1.7342105263157936E-2</v>
      </c>
      <c r="H52" s="1090" t="str">
        <f>IF(OR(G52&gt;=0.3,G52&lt;=-0.3),"超过30%","")</f>
        <v/>
      </c>
      <c r="I52" s="1089">
        <f>IF(I47&lt;I48,I48/I47-1,I47/I48-1)</f>
        <v>6.9142857142856506E-3</v>
      </c>
      <c r="J52" s="1090" t="str">
        <f>IF(OR(I52&gt;=0.3,I52&lt;=-0.3),"超过30%","")</f>
        <v/>
      </c>
      <c r="K52" s="1163"/>
      <c r="L52" s="1164"/>
      <c r="M52" s="1086"/>
      <c r="N52" s="1086"/>
      <c r="O52" s="1086"/>
    </row>
    <row r="53" spans="1:43" ht="13.5" customHeight="1">
      <c r="A53" s="1086"/>
      <c r="B53" s="1086"/>
      <c r="C53" s="1088" t="s">
        <v>1092</v>
      </c>
      <c r="D53" s="787"/>
      <c r="E53" s="1089">
        <f>IF(E48&lt;G48,G48/E48-1,E48/G48-1)</f>
        <v>4.9651658521367992E-3</v>
      </c>
      <c r="F53" s="1090" t="str">
        <f>IF(OR(E53&gt;=0.2,E53&lt;=-0.2),"超过20%","")</f>
        <v/>
      </c>
      <c r="G53" s="1089">
        <f>IF(G48&lt;I48,I48/G48-1,G48/I48-1)</f>
        <v>9.6958174904943073E-2</v>
      </c>
      <c r="H53" s="1090" t="str">
        <f>IF(OR(G53&gt;=0.2,G53&lt;=-0.2),"超过20%","")</f>
        <v/>
      </c>
      <c r="I53" s="1089">
        <f>IF(I48&lt;E48,E48/I48-1,I48/E48-1)</f>
        <v>9.1538505192667818E-2</v>
      </c>
      <c r="J53" s="1090" t="str">
        <f>IF(OR(I53&gt;=0.2,I53&lt;=-0.2),"超过20%","")</f>
        <v/>
      </c>
      <c r="K53" s="1163"/>
      <c r="L53" s="1164"/>
      <c r="M53" s="1086"/>
      <c r="N53" s="1086"/>
      <c r="O53" s="1086"/>
    </row>
    <row r="54" spans="1:43" s="973" customFormat="1" ht="13.5" customHeight="1">
      <c r="A54" s="1091"/>
      <c r="B54" s="1091"/>
      <c r="C54" s="1088" t="s">
        <v>1093</v>
      </c>
      <c r="D54" s="787"/>
      <c r="E54" s="1089">
        <f>IF(E47&lt;G47,G47/E47-1,E47/G47-1)</f>
        <v>0</v>
      </c>
      <c r="F54" s="1090" t="str">
        <f>IF(OR(E54&gt;=0.3,E54&lt;=-0.3),"超过30%","")</f>
        <v/>
      </c>
      <c r="G54" s="1089">
        <f>IF(G47&lt;I47,I47/G47-1,G47/I47-1)</f>
        <v>8.5714285714285632E-2</v>
      </c>
      <c r="H54" s="1090" t="str">
        <f>IF(OR(G54&gt;=0.3,G54&lt;=-0.3),"超过30%","")</f>
        <v/>
      </c>
      <c r="I54" s="1089">
        <f>IF(I47&lt;E47,E47/I47-1,I47/E47-1)</f>
        <v>8.5714285714285632E-2</v>
      </c>
      <c r="J54" s="1090" t="str">
        <f>IF(OR(I54&gt;=0.3,I54&lt;=-0.3),"超过30%","")</f>
        <v/>
      </c>
      <c r="K54" s="1165"/>
      <c r="L54" s="1166"/>
      <c r="M54" s="1091"/>
      <c r="N54" s="1091"/>
      <c r="O54" s="1091"/>
      <c r="P54" s="2070"/>
    </row>
    <row r="55" spans="1:43" s="973" customFormat="1">
      <c r="A55" s="1091"/>
      <c r="B55" s="1092"/>
      <c r="C55" s="1413"/>
      <c r="D55" s="1091"/>
      <c r="E55" s="1091"/>
      <c r="F55" s="1091"/>
      <c r="G55" s="1091"/>
      <c r="H55" s="1091"/>
      <c r="I55" s="1091"/>
      <c r="J55" s="1091"/>
      <c r="K55" s="1165"/>
      <c r="L55" s="1166"/>
      <c r="M55" s="1091"/>
      <c r="N55" s="1091"/>
      <c r="O55" s="1091"/>
      <c r="P55" s="2070"/>
    </row>
    <row r="56" spans="1:43">
      <c r="A56" s="1086"/>
      <c r="B56" s="1092"/>
      <c r="C56" s="1413"/>
      <c r="D56" s="1086"/>
      <c r="E56" s="1086"/>
      <c r="F56" s="1086"/>
      <c r="G56" s="1086"/>
      <c r="H56" s="1086"/>
      <c r="I56" s="1086"/>
      <c r="J56" s="1086"/>
      <c r="K56" s="1163"/>
      <c r="L56" s="1164"/>
      <c r="M56" s="1086"/>
      <c r="N56" s="1086"/>
      <c r="O56" s="1086"/>
    </row>
    <row r="57" spans="1:43" ht="21">
      <c r="A57" s="1122" t="s">
        <v>1094</v>
      </c>
      <c r="B57" s="1123"/>
      <c r="C57" s="1124"/>
      <c r="D57" s="1124"/>
      <c r="E57" s="1124"/>
      <c r="F57" s="1125"/>
      <c r="G57" s="1125"/>
      <c r="H57" s="1124"/>
      <c r="I57" s="1124"/>
      <c r="J57" s="1124"/>
      <c r="K57" s="1358"/>
      <c r="L57" s="1359"/>
      <c r="M57" s="1175"/>
      <c r="N57" s="1175"/>
      <c r="O57" s="1175"/>
      <c r="P57" s="2071"/>
      <c r="Q57" s="1522"/>
    </row>
    <row r="58" spans="1:43" s="975" customFormat="1" ht="15">
      <c r="A58" s="1414" t="s">
        <v>1035</v>
      </c>
      <c r="B58" s="1415"/>
      <c r="C58" s="2052" t="str">
        <f>YEAR(C7)&amp;"-"&amp;MONTH(C7)</f>
        <v>2021-5</v>
      </c>
      <c r="D58" s="1417">
        <f>EDATE(C58,-1)</f>
        <v>44287</v>
      </c>
      <c r="E58" s="1417">
        <f>EDATE(D58,-1)</f>
        <v>44256</v>
      </c>
      <c r="F58" s="1417">
        <f t="shared" ref="F58:O58" si="19">EDATE(E58,-1)</f>
        <v>44228</v>
      </c>
      <c r="G58" s="1417">
        <f t="shared" si="19"/>
        <v>44197</v>
      </c>
      <c r="H58" s="1417">
        <f t="shared" si="19"/>
        <v>44166</v>
      </c>
      <c r="I58" s="1417">
        <f t="shared" si="19"/>
        <v>44136</v>
      </c>
      <c r="J58" s="1417">
        <f t="shared" si="19"/>
        <v>44105</v>
      </c>
      <c r="K58" s="1417">
        <f t="shared" si="19"/>
        <v>44075</v>
      </c>
      <c r="L58" s="1417">
        <f t="shared" si="19"/>
        <v>44044</v>
      </c>
      <c r="M58" s="1417">
        <f t="shared" si="19"/>
        <v>44013</v>
      </c>
      <c r="N58" s="1417">
        <f t="shared" si="19"/>
        <v>43983</v>
      </c>
      <c r="O58" s="1417">
        <f t="shared" si="19"/>
        <v>43952</v>
      </c>
      <c r="P58" s="2072">
        <f t="shared" ref="P58" si="20">EDATE(O58,-1)</f>
        <v>43922</v>
      </c>
      <c r="Q58" s="2072">
        <f t="shared" ref="Q58" si="21">EDATE(P58,-1)</f>
        <v>43891</v>
      </c>
      <c r="R58" s="2072">
        <f t="shared" ref="R58" si="22">EDATE(Q58,-1)</f>
        <v>43862</v>
      </c>
      <c r="S58" s="2072">
        <f t="shared" ref="S58" si="23">EDATE(R58,-1)</f>
        <v>43831</v>
      </c>
      <c r="T58" s="2072">
        <f t="shared" ref="T58" si="24">EDATE(S58,-1)</f>
        <v>43800</v>
      </c>
      <c r="U58" s="2072">
        <f t="shared" ref="U58" si="25">EDATE(T58,-1)</f>
        <v>43770</v>
      </c>
      <c r="V58" s="2072">
        <f t="shared" ref="V58" si="26">EDATE(U58,-1)</f>
        <v>43739</v>
      </c>
      <c r="W58" s="2072">
        <f t="shared" ref="W58" si="27">EDATE(V58,-1)</f>
        <v>43709</v>
      </c>
      <c r="X58" s="2072">
        <f t="shared" ref="X58" si="28">EDATE(W58,-1)</f>
        <v>43678</v>
      </c>
      <c r="Y58" s="2072">
        <f t="shared" ref="Y58" si="29">EDATE(X58,-1)</f>
        <v>43647</v>
      </c>
      <c r="Z58" s="2072">
        <f t="shared" ref="Z58" si="30">EDATE(Y58,-1)</f>
        <v>43617</v>
      </c>
      <c r="AA58" s="2072">
        <f t="shared" ref="AA58" si="31">EDATE(Z58,-1)</f>
        <v>43586</v>
      </c>
      <c r="AB58" s="2072">
        <f t="shared" ref="AB58" si="32">EDATE(AA58,-1)</f>
        <v>43556</v>
      </c>
      <c r="AC58" s="2072">
        <f t="shared" ref="AC58" si="33">EDATE(AB58,-1)</f>
        <v>43525</v>
      </c>
      <c r="AD58" s="2072">
        <f t="shared" ref="AD58" si="34">EDATE(AC58,-1)</f>
        <v>43497</v>
      </c>
      <c r="AE58" s="2072">
        <f t="shared" ref="AE58" si="35">EDATE(AD58,-1)</f>
        <v>43466</v>
      </c>
      <c r="AF58" s="2072">
        <f t="shared" ref="AF58" si="36">EDATE(AE58,-1)</f>
        <v>43435</v>
      </c>
      <c r="AG58" s="2072">
        <f t="shared" ref="AG58" si="37">EDATE(AF58,-1)</f>
        <v>43405</v>
      </c>
      <c r="AH58" s="2072">
        <f t="shared" ref="AH58" si="38">EDATE(AG58,-1)</f>
        <v>43374</v>
      </c>
      <c r="AI58" s="2072">
        <f t="shared" ref="AI58" si="39">EDATE(AH58,-1)</f>
        <v>43344</v>
      </c>
      <c r="AJ58" s="2072">
        <f t="shared" ref="AJ58" si="40">EDATE(AI58,-1)</f>
        <v>43313</v>
      </c>
      <c r="AK58" s="2072">
        <f t="shared" ref="AK58" si="41">EDATE(AJ58,-1)</f>
        <v>43282</v>
      </c>
      <c r="AL58" s="2072">
        <f t="shared" ref="AL58" si="42">EDATE(AK58,-1)</f>
        <v>43252</v>
      </c>
      <c r="AM58" s="2072">
        <f t="shared" ref="AM58" si="43">EDATE(AL58,-1)</f>
        <v>43221</v>
      </c>
      <c r="AN58" s="2072">
        <f t="shared" ref="AN58" si="44">EDATE(AM58,-1)</f>
        <v>43191</v>
      </c>
      <c r="AO58" s="2072">
        <f t="shared" ref="AO58" si="45">EDATE(AN58,-1)</f>
        <v>43160</v>
      </c>
      <c r="AP58" s="2072">
        <f t="shared" ref="AP58" si="46">EDATE(AO58,-1)</f>
        <v>43132</v>
      </c>
      <c r="AQ58" s="2072">
        <f t="shared" ref="AQ58" si="47">EDATE(AP58,-1)</f>
        <v>43101</v>
      </c>
    </row>
    <row r="59" spans="1:43" s="970" customFormat="1" ht="15">
      <c r="A59" s="1418"/>
      <c r="B59" s="2053"/>
      <c r="C59" s="1419">
        <v>100</v>
      </c>
      <c r="D59" s="1550">
        <v>100</v>
      </c>
      <c r="E59" s="1212">
        <v>100</v>
      </c>
      <c r="F59" s="1212">
        <v>100</v>
      </c>
      <c r="G59" s="1212">
        <v>100</v>
      </c>
      <c r="H59" s="1212">
        <v>99.5</v>
      </c>
      <c r="I59" s="1212">
        <v>99.5</v>
      </c>
      <c r="J59" s="1212">
        <v>99.5</v>
      </c>
      <c r="K59" s="1212">
        <v>99.5</v>
      </c>
      <c r="L59" s="1212">
        <v>99.5</v>
      </c>
      <c r="M59" s="1426">
        <v>99.5</v>
      </c>
      <c r="N59" s="1212">
        <v>99</v>
      </c>
      <c r="O59" s="1426">
        <v>99</v>
      </c>
      <c r="P59" s="1212">
        <v>99</v>
      </c>
      <c r="Q59" s="1426">
        <v>99</v>
      </c>
      <c r="R59" s="1212">
        <v>99</v>
      </c>
      <c r="S59" s="1426">
        <v>99</v>
      </c>
      <c r="T59" s="1212">
        <v>98.5</v>
      </c>
      <c r="U59" s="1426">
        <v>98.5</v>
      </c>
      <c r="V59" s="1212">
        <v>98.5</v>
      </c>
      <c r="W59" s="1426">
        <v>98.5</v>
      </c>
      <c r="X59" s="1212">
        <v>98.5</v>
      </c>
      <c r="Y59" s="970">
        <v>98.5</v>
      </c>
      <c r="Z59" s="970">
        <v>98</v>
      </c>
      <c r="AA59" s="970">
        <v>98</v>
      </c>
      <c r="AB59" s="970">
        <v>98</v>
      </c>
      <c r="AC59" s="970">
        <v>98</v>
      </c>
      <c r="AD59" s="970">
        <v>98</v>
      </c>
      <c r="AE59" s="970">
        <v>98</v>
      </c>
      <c r="AF59" s="970">
        <v>97.5</v>
      </c>
      <c r="AG59" s="970">
        <v>97.5</v>
      </c>
      <c r="AH59" s="970">
        <v>97.5</v>
      </c>
      <c r="AI59" s="970">
        <v>97.5</v>
      </c>
      <c r="AJ59" s="970">
        <v>97.5</v>
      </c>
      <c r="AK59" s="970">
        <v>97.5</v>
      </c>
      <c r="AL59" s="970">
        <v>97</v>
      </c>
      <c r="AM59" s="970">
        <v>97</v>
      </c>
      <c r="AN59" s="970">
        <v>97</v>
      </c>
      <c r="AO59" s="970">
        <v>97</v>
      </c>
      <c r="AP59" s="970">
        <v>97</v>
      </c>
      <c r="AQ59" s="970">
        <v>97</v>
      </c>
    </row>
    <row r="60" spans="1:43" s="970" customFormat="1" ht="15">
      <c r="A60" s="1203" t="s">
        <v>1095</v>
      </c>
      <c r="B60" s="1204"/>
      <c r="C60" s="1205"/>
      <c r="D60" s="1206"/>
      <c r="E60" s="1206"/>
      <c r="F60" s="1206"/>
      <c r="G60" s="1206"/>
      <c r="H60" s="1206"/>
      <c r="I60" s="1206"/>
      <c r="J60" s="1206"/>
      <c r="K60" s="1206"/>
      <c r="L60" s="1206"/>
      <c r="M60" s="1254"/>
      <c r="N60" s="1206"/>
      <c r="O60" s="1254"/>
      <c r="P60" s="2073"/>
      <c r="Q60" s="1522"/>
    </row>
    <row r="61" spans="1:43" s="970" customFormat="1" ht="15">
      <c r="A61" s="1207" t="s">
        <v>1038</v>
      </c>
      <c r="B61" s="1208"/>
      <c r="C61" s="1209" t="s">
        <v>1039</v>
      </c>
      <c r="D61" s="1210"/>
      <c r="E61" s="1210"/>
      <c r="F61" s="1210"/>
      <c r="G61" s="1210"/>
      <c r="H61" s="1210"/>
      <c r="I61" s="1210"/>
      <c r="J61" s="1210"/>
      <c r="K61" s="1210"/>
      <c r="L61" s="1256"/>
      <c r="M61" s="1257"/>
      <c r="N61" s="1525"/>
      <c r="O61" s="1525"/>
      <c r="P61" s="2074"/>
      <c r="Q61" s="1522"/>
    </row>
    <row r="62" spans="1:43" s="970" customFormat="1" ht="15">
      <c r="A62" s="1207"/>
      <c r="B62" s="1208"/>
      <c r="C62" s="1550">
        <v>100</v>
      </c>
      <c r="D62" s="1212"/>
      <c r="E62" s="1212"/>
      <c r="F62" s="1212"/>
      <c r="G62" s="1212"/>
      <c r="H62" s="1212"/>
      <c r="I62" s="1212"/>
      <c r="J62" s="1212"/>
      <c r="K62" s="1212"/>
      <c r="L62" s="1212"/>
      <c r="M62" s="1260"/>
      <c r="N62" s="1525"/>
      <c r="O62" s="1525"/>
      <c r="P62" s="2073"/>
      <c r="Q62" s="1522"/>
    </row>
    <row r="63" spans="1:43">
      <c r="A63" s="1213" t="s">
        <v>1096</v>
      </c>
      <c r="B63" s="1214" t="s">
        <v>1043</v>
      </c>
      <c r="C63" s="1236" t="str">
        <f>C9</f>
        <v>共有产权住房</v>
      </c>
      <c r="D63" s="1156"/>
      <c r="E63" s="1156"/>
      <c r="F63" s="1156"/>
      <c r="G63" s="1156"/>
      <c r="H63" s="1156"/>
      <c r="I63" s="1156"/>
      <c r="J63" s="1156"/>
      <c r="K63" s="1261"/>
      <c r="L63" s="1262"/>
      <c r="M63" s="1263"/>
      <c r="N63" s="1527"/>
      <c r="O63" s="1527"/>
      <c r="P63" s="2075"/>
      <c r="Q63" s="1522"/>
    </row>
    <row r="64" spans="1:43" ht="15">
      <c r="A64" s="1215"/>
      <c r="B64" s="1216"/>
      <c r="C64" s="1217">
        <v>100</v>
      </c>
      <c r="D64" s="1217"/>
      <c r="E64" s="1217"/>
      <c r="F64" s="1217"/>
      <c r="G64" s="1217"/>
      <c r="H64" s="1217"/>
      <c r="I64" s="1217"/>
      <c r="J64" s="1217"/>
      <c r="K64" s="1217"/>
      <c r="L64" s="1217"/>
      <c r="M64" s="1266"/>
      <c r="N64" s="1529"/>
      <c r="O64" s="1529"/>
      <c r="P64" s="2075"/>
      <c r="Q64" s="1522"/>
    </row>
    <row r="65" spans="1:17" ht="27">
      <c r="A65" s="1215"/>
      <c r="B65" s="1218" t="s">
        <v>1047</v>
      </c>
      <c r="C65" s="1219" t="s">
        <v>1097</v>
      </c>
      <c r="D65" s="1219" t="s">
        <v>1098</v>
      </c>
      <c r="E65" s="1219" t="s">
        <v>1099</v>
      </c>
      <c r="F65" s="1219" t="s">
        <v>1100</v>
      </c>
      <c r="G65" s="1219" t="s">
        <v>1101</v>
      </c>
      <c r="H65" s="1219" t="s">
        <v>1102</v>
      </c>
      <c r="I65" s="1219" t="s">
        <v>1103</v>
      </c>
      <c r="J65" s="1219"/>
      <c r="K65" s="1268"/>
      <c r="L65" s="1269"/>
      <c r="M65" s="1270"/>
      <c r="N65" s="1527"/>
      <c r="O65" s="1527"/>
      <c r="P65" s="2075"/>
      <c r="Q65" s="1522"/>
    </row>
    <row r="66" spans="1:17" ht="15">
      <c r="A66" s="1215"/>
      <c r="B66" s="1220"/>
      <c r="C66" s="1221">
        <v>100</v>
      </c>
      <c r="D66" s="1221">
        <f t="shared" ref="D66:I66" si="48">C66-$K10</f>
        <v>98</v>
      </c>
      <c r="E66" s="1221">
        <f t="shared" si="48"/>
        <v>96</v>
      </c>
      <c r="F66" s="1221">
        <f t="shared" si="48"/>
        <v>94</v>
      </c>
      <c r="G66" s="1221">
        <f t="shared" si="48"/>
        <v>92</v>
      </c>
      <c r="H66" s="1221">
        <f t="shared" si="48"/>
        <v>90</v>
      </c>
      <c r="I66" s="1221">
        <f t="shared" si="48"/>
        <v>88</v>
      </c>
      <c r="J66" s="1221"/>
      <c r="K66" s="1221"/>
      <c r="L66" s="1221"/>
      <c r="M66" s="1271"/>
      <c r="N66" s="1529"/>
      <c r="O66" s="1529"/>
      <c r="P66" s="2075"/>
      <c r="Q66" s="1522"/>
    </row>
    <row r="67" spans="1:17" ht="15">
      <c r="A67" s="1215"/>
      <c r="B67" s="1222" t="s">
        <v>1049</v>
      </c>
      <c r="C67" s="1223" t="str">
        <f>C68&amp;"（含）"&amp;"-"&amp;D68</f>
        <v>0（含）-1</v>
      </c>
      <c r="D67" s="1223" t="str">
        <f t="shared" ref="D67:L67" si="49">D68&amp;"（含）"&amp;"-"&amp;E68</f>
        <v>1（含）-2</v>
      </c>
      <c r="E67" s="1223" t="str">
        <f t="shared" si="49"/>
        <v>2（含）-3</v>
      </c>
      <c r="F67" s="1223" t="str">
        <f t="shared" si="49"/>
        <v>3（含）-4</v>
      </c>
      <c r="G67" s="1223" t="str">
        <f t="shared" si="49"/>
        <v>4（含）-5</v>
      </c>
      <c r="H67" s="1223" t="str">
        <f t="shared" si="49"/>
        <v>5（含）-6</v>
      </c>
      <c r="I67" s="1223" t="str">
        <f t="shared" si="49"/>
        <v>6（含）-</v>
      </c>
      <c r="J67" s="1223" t="str">
        <f t="shared" si="49"/>
        <v>（含）-</v>
      </c>
      <c r="K67" s="1223" t="str">
        <f t="shared" si="49"/>
        <v>（含）-</v>
      </c>
      <c r="L67" s="1223" t="str">
        <f t="shared" si="49"/>
        <v>（含）-</v>
      </c>
      <c r="M67" s="1032" t="str">
        <f>M68&amp;"（含）"&amp;"-"&amp;P68</f>
        <v>（含）-</v>
      </c>
      <c r="N67" s="1529"/>
      <c r="O67" s="1529"/>
      <c r="P67" s="2075"/>
      <c r="Q67" s="1522"/>
    </row>
    <row r="68" spans="1:17" ht="15">
      <c r="A68" s="1215"/>
      <c r="B68" s="1224"/>
      <c r="C68" s="1017">
        <v>0</v>
      </c>
      <c r="D68" s="1017">
        <v>1</v>
      </c>
      <c r="E68" s="1017">
        <v>2</v>
      </c>
      <c r="F68" s="1017">
        <v>3</v>
      </c>
      <c r="G68" s="1017">
        <v>4</v>
      </c>
      <c r="H68" s="1017">
        <v>5</v>
      </c>
      <c r="I68" s="1017">
        <v>6</v>
      </c>
      <c r="J68" s="1017"/>
      <c r="K68" s="1272"/>
      <c r="L68" s="1273"/>
      <c r="M68" s="1274"/>
      <c r="N68" s="1527"/>
      <c r="O68" s="1527"/>
      <c r="P68" s="2075"/>
      <c r="Q68" s="1522"/>
    </row>
    <row r="69" spans="1:17" ht="15">
      <c r="A69" s="1215"/>
      <c r="B69" s="1216"/>
      <c r="C69" s="1221">
        <v>100</v>
      </c>
      <c r="D69" s="1221">
        <f t="shared" ref="D69:M69" si="50">C69-$K11</f>
        <v>99</v>
      </c>
      <c r="E69" s="1221">
        <f t="shared" si="50"/>
        <v>98</v>
      </c>
      <c r="F69" s="1221">
        <f t="shared" si="50"/>
        <v>97</v>
      </c>
      <c r="G69" s="1221">
        <f t="shared" si="50"/>
        <v>96</v>
      </c>
      <c r="H69" s="1221">
        <f t="shared" si="50"/>
        <v>95</v>
      </c>
      <c r="I69" s="1221">
        <f t="shared" si="50"/>
        <v>94</v>
      </c>
      <c r="J69" s="1221">
        <f t="shared" si="50"/>
        <v>93</v>
      </c>
      <c r="K69" s="1221">
        <f t="shared" si="50"/>
        <v>92</v>
      </c>
      <c r="L69" s="1221">
        <f t="shared" si="50"/>
        <v>91</v>
      </c>
      <c r="M69" s="1271">
        <f t="shared" si="50"/>
        <v>90</v>
      </c>
      <c r="N69" s="1529"/>
      <c r="O69" s="1529"/>
      <c r="P69" s="2075"/>
      <c r="Q69" s="1522"/>
    </row>
    <row r="70" spans="1:17" s="972" customFormat="1" ht="15">
      <c r="A70" s="1225"/>
      <c r="B70" s="1218" t="str">
        <f>B12</f>
        <v>项目类型</v>
      </c>
      <c r="C70" s="1353" t="s">
        <v>1050</v>
      </c>
      <c r="D70" s="1353" t="s">
        <v>467</v>
      </c>
      <c r="E70" s="1226"/>
      <c r="F70" s="1226"/>
      <c r="G70" s="1226"/>
      <c r="H70" s="1227"/>
      <c r="I70" s="1227"/>
      <c r="J70" s="1227"/>
      <c r="K70" s="1227"/>
      <c r="L70" s="1275"/>
      <c r="M70" s="1276"/>
      <c r="N70" s="1530"/>
      <c r="O70" s="1530"/>
      <c r="P70" s="2078"/>
      <c r="Q70" s="1532"/>
    </row>
    <row r="71" spans="1:17" s="972" customFormat="1" ht="15">
      <c r="A71" s="1225"/>
      <c r="B71" s="1220"/>
      <c r="C71" s="1228"/>
      <c r="D71" s="1217"/>
      <c r="E71" s="1217"/>
      <c r="F71" s="1217"/>
      <c r="G71" s="1217"/>
      <c r="H71" s="1217"/>
      <c r="I71" s="1217"/>
      <c r="J71" s="1217"/>
      <c r="K71" s="1217"/>
      <c r="L71" s="1217"/>
      <c r="M71" s="1266"/>
      <c r="N71" s="1529"/>
      <c r="O71" s="1529"/>
      <c r="P71" s="2078"/>
      <c r="Q71" s="1532"/>
    </row>
    <row r="72" spans="1:17" s="972" customFormat="1" ht="15">
      <c r="A72" s="1225"/>
      <c r="B72" s="1218">
        <f>B13</f>
        <v>111</v>
      </c>
      <c r="C72" s="1226"/>
      <c r="D72" s="1226"/>
      <c r="E72" s="1226"/>
      <c r="F72" s="1226"/>
      <c r="G72" s="1226"/>
      <c r="H72" s="1227"/>
      <c r="I72" s="1227"/>
      <c r="J72" s="1227"/>
      <c r="K72" s="1227"/>
      <c r="L72" s="1275"/>
      <c r="M72" s="1276"/>
      <c r="N72" s="1530"/>
      <c r="O72" s="1530"/>
      <c r="P72" s="2079"/>
      <c r="Q72" s="1538"/>
    </row>
    <row r="73" spans="1:17" s="972" customFormat="1" ht="15">
      <c r="A73" s="1225"/>
      <c r="B73" s="1220"/>
      <c r="C73" s="1228"/>
      <c r="D73" s="1228"/>
      <c r="E73" s="1228"/>
      <c r="F73" s="1228"/>
      <c r="G73" s="1228"/>
      <c r="H73" s="1229"/>
      <c r="I73" s="1229"/>
      <c r="J73" s="1229"/>
      <c r="K73" s="1229"/>
      <c r="L73" s="1229"/>
      <c r="M73" s="1279"/>
      <c r="N73" s="1530"/>
      <c r="O73" s="1530"/>
      <c r="P73" s="2078"/>
      <c r="Q73" s="1532"/>
    </row>
    <row r="74" spans="1:17" s="972" customFormat="1" ht="15">
      <c r="A74" s="1225"/>
      <c r="B74" s="1222">
        <f>B14</f>
        <v>111</v>
      </c>
      <c r="C74" s="1226"/>
      <c r="D74" s="1226"/>
      <c r="E74" s="1226"/>
      <c r="F74" s="1226"/>
      <c r="G74" s="1210"/>
      <c r="H74" s="1230"/>
      <c r="I74" s="1230"/>
      <c r="J74" s="1230"/>
      <c r="K74" s="1230"/>
      <c r="L74" s="1280"/>
      <c r="M74" s="1281"/>
      <c r="N74" s="1530"/>
      <c r="O74" s="1530"/>
      <c r="P74" s="2080"/>
      <c r="Q74" s="1532"/>
    </row>
    <row r="75" spans="1:17" s="972" customFormat="1" ht="15">
      <c r="A75" s="1231"/>
      <c r="B75" s="1232"/>
      <c r="C75" s="1233"/>
      <c r="D75" s="1233"/>
      <c r="E75" s="1233"/>
      <c r="F75" s="1233"/>
      <c r="G75" s="1233"/>
      <c r="H75" s="1234"/>
      <c r="I75" s="1234"/>
      <c r="J75" s="1234"/>
      <c r="K75" s="1234"/>
      <c r="L75" s="1234"/>
      <c r="M75" s="1283"/>
      <c r="N75" s="1530"/>
      <c r="O75" s="1530"/>
      <c r="P75" s="2078"/>
      <c r="Q75" s="1532"/>
    </row>
    <row r="76" spans="1:17">
      <c r="A76" s="1213" t="s">
        <v>1051</v>
      </c>
      <c r="B76" s="1214" t="s">
        <v>1052</v>
      </c>
      <c r="C76" s="1235" t="s">
        <v>1104</v>
      </c>
      <c r="D76" s="1235" t="s">
        <v>1105</v>
      </c>
      <c r="E76" s="1235" t="s">
        <v>1106</v>
      </c>
      <c r="F76" s="1235" t="s">
        <v>1107</v>
      </c>
      <c r="G76" s="1235" t="s">
        <v>1108</v>
      </c>
      <c r="H76" s="1236"/>
      <c r="I76" s="1236"/>
      <c r="J76" s="1236"/>
      <c r="K76" s="1284"/>
      <c r="L76" s="1285"/>
      <c r="M76" s="1286"/>
      <c r="N76" s="1527"/>
      <c r="O76" s="1527"/>
      <c r="P76" s="2081"/>
      <c r="Q76" s="1522"/>
    </row>
    <row r="77" spans="1:17" ht="15">
      <c r="A77" s="1215"/>
      <c r="B77" s="1220"/>
      <c r="C77" s="1221">
        <v>100</v>
      </c>
      <c r="D77" s="1221">
        <f>C77-$K15</f>
        <v>97</v>
      </c>
      <c r="E77" s="1221">
        <f>D77-$K15</f>
        <v>94</v>
      </c>
      <c r="F77" s="1221">
        <f>E77-$K15</f>
        <v>91</v>
      </c>
      <c r="G77" s="1221">
        <f>F77-$K15</f>
        <v>88</v>
      </c>
      <c r="H77" s="1221"/>
      <c r="I77" s="1221"/>
      <c r="J77" s="1221"/>
      <c r="K77" s="1221"/>
      <c r="L77" s="1221"/>
      <c r="M77" s="1271"/>
      <c r="N77" s="1529"/>
      <c r="O77" s="1529"/>
      <c r="P77" s="2075"/>
      <c r="Q77" s="1522"/>
    </row>
    <row r="78" spans="1:17" ht="15">
      <c r="A78" s="1215"/>
      <c r="B78" s="1218" t="s">
        <v>1056</v>
      </c>
      <c r="C78" s="1237" t="s">
        <v>1104</v>
      </c>
      <c r="D78" s="1237" t="s">
        <v>1105</v>
      </c>
      <c r="E78" s="1237" t="s">
        <v>1106</v>
      </c>
      <c r="F78" s="1237" t="s">
        <v>1107</v>
      </c>
      <c r="G78" s="1237" t="s">
        <v>1108</v>
      </c>
      <c r="H78" s="1219"/>
      <c r="I78" s="1219"/>
      <c r="J78" s="1219"/>
      <c r="K78" s="1268"/>
      <c r="L78" s="1269"/>
      <c r="M78" s="1270"/>
      <c r="N78" s="1527"/>
      <c r="O78" s="1527"/>
      <c r="P78" s="2075"/>
      <c r="Q78" s="1522"/>
    </row>
    <row r="79" spans="1:17" ht="15">
      <c r="A79" s="1215"/>
      <c r="B79" s="1220"/>
      <c r="C79" s="1221">
        <v>100</v>
      </c>
      <c r="D79" s="1221">
        <f>C79-$K17</f>
        <v>97</v>
      </c>
      <c r="E79" s="1221">
        <f>D79-$K17</f>
        <v>94</v>
      </c>
      <c r="F79" s="1221">
        <f>E79-$K17</f>
        <v>91</v>
      </c>
      <c r="G79" s="1221">
        <f>F79-$K17</f>
        <v>88</v>
      </c>
      <c r="H79" s="1221"/>
      <c r="I79" s="1221"/>
      <c r="J79" s="1221"/>
      <c r="K79" s="1221"/>
      <c r="L79" s="1221"/>
      <c r="M79" s="1271"/>
      <c r="N79" s="1529"/>
      <c r="O79" s="1529"/>
      <c r="P79" s="2075"/>
      <c r="Q79" s="1522"/>
    </row>
    <row r="80" spans="1:17" ht="15">
      <c r="A80" s="1215"/>
      <c r="B80" s="1218" t="s">
        <v>1057</v>
      </c>
      <c r="C80" s="1237" t="s">
        <v>1104</v>
      </c>
      <c r="D80" s="1237" t="s">
        <v>1105</v>
      </c>
      <c r="E80" s="1237" t="s">
        <v>1106</v>
      </c>
      <c r="F80" s="1237" t="s">
        <v>1107</v>
      </c>
      <c r="G80" s="1237" t="s">
        <v>1108</v>
      </c>
      <c r="H80" s="1219"/>
      <c r="I80" s="1219"/>
      <c r="J80" s="1219"/>
      <c r="K80" s="1268"/>
      <c r="L80" s="1269"/>
      <c r="M80" s="1270"/>
      <c r="N80" s="1527"/>
      <c r="O80" s="1527"/>
      <c r="P80" s="2075"/>
      <c r="Q80" s="1522"/>
    </row>
    <row r="81" spans="1:17" ht="15">
      <c r="A81" s="1215"/>
      <c r="B81" s="1220"/>
      <c r="C81" s="1221">
        <v>100</v>
      </c>
      <c r="D81" s="1221">
        <f>C81-$K19</f>
        <v>95</v>
      </c>
      <c r="E81" s="1221">
        <f>D81-$K19</f>
        <v>90</v>
      </c>
      <c r="F81" s="1221">
        <f>E81-$K19</f>
        <v>85</v>
      </c>
      <c r="G81" s="1221">
        <f>F81-$K19</f>
        <v>80</v>
      </c>
      <c r="H81" s="1221"/>
      <c r="I81" s="1221"/>
      <c r="J81" s="1221"/>
      <c r="K81" s="1221"/>
      <c r="L81" s="1221"/>
      <c r="M81" s="1271"/>
      <c r="N81" s="1529"/>
      <c r="O81" s="1529"/>
      <c r="P81" s="2075"/>
      <c r="Q81" s="1522"/>
    </row>
    <row r="82" spans="1:17" ht="15">
      <c r="A82" s="1215"/>
      <c r="B82" s="1222" t="s">
        <v>1058</v>
      </c>
      <c r="C82" s="1219" t="s">
        <v>1109</v>
      </c>
      <c r="D82" s="1219" t="s">
        <v>1110</v>
      </c>
      <c r="E82" s="1219" t="s">
        <v>1111</v>
      </c>
      <c r="F82" s="1219" t="s">
        <v>1112</v>
      </c>
      <c r="G82" s="1219" t="s">
        <v>1113</v>
      </c>
      <c r="H82" s="1219"/>
      <c r="I82" s="1219"/>
      <c r="J82" s="1219"/>
      <c r="K82" s="1219"/>
      <c r="L82" s="1219"/>
      <c r="M82" s="1431"/>
      <c r="N82" s="1529"/>
      <c r="O82" s="1529"/>
      <c r="P82" s="2075"/>
      <c r="Q82" s="1522"/>
    </row>
    <row r="83" spans="1:17" ht="15">
      <c r="A83" s="1215"/>
      <c r="B83" s="1222"/>
      <c r="C83" s="1242">
        <v>100</v>
      </c>
      <c r="D83" s="1242">
        <f>C83-$K21</f>
        <v>99</v>
      </c>
      <c r="E83" s="1242">
        <f t="shared" ref="E83:G83" si="51">D83-$K21</f>
        <v>98</v>
      </c>
      <c r="F83" s="1242">
        <f t="shared" si="51"/>
        <v>97</v>
      </c>
      <c r="G83" s="1242">
        <f t="shared" si="51"/>
        <v>96</v>
      </c>
      <c r="H83" s="1242"/>
      <c r="I83" s="1242"/>
      <c r="J83" s="1242"/>
      <c r="K83" s="1242"/>
      <c r="L83" s="1242"/>
      <c r="M83" s="1034"/>
      <c r="N83" s="1529"/>
      <c r="O83" s="1529"/>
      <c r="P83" s="2075"/>
      <c r="Q83" s="1522"/>
    </row>
    <row r="84" spans="1:17" ht="15">
      <c r="A84" s="1215"/>
      <c r="B84" s="1218" t="s">
        <v>1059</v>
      </c>
      <c r="C84" s="1237" t="s">
        <v>1104</v>
      </c>
      <c r="D84" s="1237" t="s">
        <v>1105</v>
      </c>
      <c r="E84" s="1237" t="s">
        <v>1106</v>
      </c>
      <c r="F84" s="1237" t="s">
        <v>1107</v>
      </c>
      <c r="G84" s="1237" t="s">
        <v>1108</v>
      </c>
      <c r="H84" s="1219"/>
      <c r="I84" s="1219"/>
      <c r="J84" s="1219"/>
      <c r="K84" s="1268"/>
      <c r="L84" s="1269"/>
      <c r="M84" s="1270"/>
      <c r="N84" s="1527"/>
      <c r="O84" s="1527"/>
      <c r="P84" s="2075"/>
      <c r="Q84" s="1522"/>
    </row>
    <row r="85" spans="1:17" ht="15">
      <c r="A85" s="1215"/>
      <c r="B85" s="1220"/>
      <c r="C85" s="1221">
        <v>100</v>
      </c>
      <c r="D85" s="1221">
        <f>C85-$K23</f>
        <v>95</v>
      </c>
      <c r="E85" s="1221">
        <f>D85-$K23</f>
        <v>90</v>
      </c>
      <c r="F85" s="1221">
        <f>E85-$K23</f>
        <v>85</v>
      </c>
      <c r="G85" s="1221">
        <f>F85-$K23</f>
        <v>80</v>
      </c>
      <c r="H85" s="1221"/>
      <c r="I85" s="1221"/>
      <c r="J85" s="1221"/>
      <c r="K85" s="1221"/>
      <c r="L85" s="1221"/>
      <c r="M85" s="1271"/>
      <c r="N85" s="1529"/>
      <c r="O85" s="1529"/>
      <c r="P85" s="2075"/>
      <c r="Q85" s="1522"/>
    </row>
    <row r="86" spans="1:17" s="970" customFormat="1" ht="15">
      <c r="A86" s="1238"/>
      <c r="B86" s="1218" t="s">
        <v>1061</v>
      </c>
      <c r="C86" s="1226"/>
      <c r="D86" s="1226"/>
      <c r="E86" s="1226"/>
      <c r="F86" s="1226"/>
      <c r="G86" s="1226"/>
      <c r="H86" s="1226"/>
      <c r="I86" s="1226"/>
      <c r="J86" s="1226"/>
      <c r="K86" s="1226"/>
      <c r="L86" s="1432"/>
      <c r="M86" s="1433"/>
      <c r="N86" s="1525"/>
      <c r="O86" s="1525"/>
      <c r="P86" s="2075"/>
      <c r="Q86" s="1522"/>
    </row>
    <row r="87" spans="1:17" s="970" customFormat="1" ht="15">
      <c r="A87" s="1238"/>
      <c r="B87" s="1220"/>
      <c r="C87" s="1239">
        <v>100</v>
      </c>
      <c r="D87" s="1221">
        <f t="shared" ref="D87:M87" si="52">$C$87-($C$86-D86)*$K$25</f>
        <v>100</v>
      </c>
      <c r="E87" s="1221">
        <f t="shared" si="52"/>
        <v>100</v>
      </c>
      <c r="F87" s="1221">
        <f t="shared" si="52"/>
        <v>100</v>
      </c>
      <c r="G87" s="1221">
        <f t="shared" si="52"/>
        <v>100</v>
      </c>
      <c r="H87" s="1221">
        <f t="shared" si="52"/>
        <v>100</v>
      </c>
      <c r="I87" s="1221">
        <f t="shared" si="52"/>
        <v>100</v>
      </c>
      <c r="J87" s="1221">
        <f t="shared" si="52"/>
        <v>100</v>
      </c>
      <c r="K87" s="1221">
        <f t="shared" si="52"/>
        <v>100</v>
      </c>
      <c r="L87" s="1221">
        <f t="shared" si="52"/>
        <v>100</v>
      </c>
      <c r="M87" s="1221">
        <f t="shared" si="52"/>
        <v>100</v>
      </c>
      <c r="N87" s="1529"/>
      <c r="O87" s="1529"/>
      <c r="P87" s="2075"/>
      <c r="Q87" s="1522"/>
    </row>
    <row r="88" spans="1:17" s="970" customFormat="1" ht="15">
      <c r="A88" s="1238"/>
      <c r="B88" s="1218" t="s">
        <v>1063</v>
      </c>
      <c r="C88" s="1226"/>
      <c r="D88" s="1226"/>
      <c r="E88" s="1226"/>
      <c r="F88" s="1556"/>
      <c r="G88" s="1226"/>
      <c r="H88" s="1226"/>
      <c r="I88" s="1226"/>
      <c r="J88" s="1226"/>
      <c r="K88" s="1226"/>
      <c r="L88" s="1226"/>
      <c r="M88" s="1433"/>
      <c r="N88" s="1525"/>
      <c r="O88" s="1525"/>
      <c r="P88" s="2075"/>
      <c r="Q88" s="1522"/>
    </row>
    <row r="89" spans="1:17" s="970" customFormat="1" ht="15">
      <c r="A89" s="1238"/>
      <c r="B89" s="1220"/>
      <c r="C89" s="1239">
        <v>100</v>
      </c>
      <c r="D89" s="1221">
        <f t="shared" ref="D89:M89" si="53">C89-$K26</f>
        <v>97</v>
      </c>
      <c r="E89" s="1221">
        <f t="shared" si="53"/>
        <v>94</v>
      </c>
      <c r="F89" s="1221">
        <f t="shared" si="53"/>
        <v>91</v>
      </c>
      <c r="G89" s="1221">
        <f t="shared" si="53"/>
        <v>88</v>
      </c>
      <c r="H89" s="1221">
        <f t="shared" si="53"/>
        <v>85</v>
      </c>
      <c r="I89" s="1221">
        <f t="shared" si="53"/>
        <v>82</v>
      </c>
      <c r="J89" s="1221">
        <f t="shared" si="53"/>
        <v>79</v>
      </c>
      <c r="K89" s="1221">
        <f t="shared" si="53"/>
        <v>76</v>
      </c>
      <c r="L89" s="1221">
        <f t="shared" si="53"/>
        <v>73</v>
      </c>
      <c r="M89" s="1221">
        <f t="shared" si="53"/>
        <v>70</v>
      </c>
      <c r="N89" s="1529"/>
      <c r="O89" s="1529"/>
      <c r="P89" s="2075"/>
      <c r="Q89" s="1522"/>
    </row>
    <row r="90" spans="1:17" s="972" customFormat="1" ht="15">
      <c r="A90" s="1225"/>
      <c r="B90" s="1218">
        <f>B27</f>
        <v>111</v>
      </c>
      <c r="C90" s="1226"/>
      <c r="D90" s="1226"/>
      <c r="E90" s="1226"/>
      <c r="F90" s="1226"/>
      <c r="G90" s="1226"/>
      <c r="H90" s="1227"/>
      <c r="I90" s="1227"/>
      <c r="J90" s="1227"/>
      <c r="K90" s="1227"/>
      <c r="L90" s="1275"/>
      <c r="M90" s="1276"/>
      <c r="N90" s="1530"/>
      <c r="O90" s="1530"/>
      <c r="P90" s="2078"/>
      <c r="Q90" s="1532"/>
    </row>
    <row r="91" spans="1:17" s="972" customFormat="1" ht="15">
      <c r="A91" s="1225"/>
      <c r="B91" s="1220"/>
      <c r="C91" s="1228"/>
      <c r="D91" s="1228"/>
      <c r="E91" s="1228"/>
      <c r="F91" s="1228"/>
      <c r="G91" s="1228"/>
      <c r="H91" s="1229"/>
      <c r="I91" s="1229"/>
      <c r="J91" s="1229"/>
      <c r="K91" s="1229"/>
      <c r="L91" s="1229"/>
      <c r="M91" s="1279"/>
      <c r="N91" s="1530"/>
      <c r="O91" s="1530"/>
      <c r="P91" s="2078"/>
      <c r="Q91" s="1532"/>
    </row>
    <row r="92" spans="1:17" ht="15">
      <c r="A92" s="1215"/>
      <c r="B92" s="1218">
        <f>B28</f>
        <v>111</v>
      </c>
      <c r="C92" s="1226"/>
      <c r="D92" s="1226"/>
      <c r="E92" s="1226"/>
      <c r="F92" s="1226"/>
      <c r="G92" s="1243"/>
      <c r="H92" s="1243"/>
      <c r="I92" s="1243"/>
      <c r="J92" s="1243"/>
      <c r="K92" s="1294"/>
      <c r="L92" s="1295"/>
      <c r="M92" s="1296"/>
      <c r="N92" s="1527"/>
      <c r="O92" s="1527"/>
      <c r="P92" s="2075"/>
      <c r="Q92" s="1522"/>
    </row>
    <row r="93" spans="1:17" ht="15">
      <c r="A93" s="1215"/>
      <c r="B93" s="1220"/>
      <c r="C93" s="1228"/>
      <c r="D93" s="1217"/>
      <c r="E93" s="1217"/>
      <c r="F93" s="1217"/>
      <c r="G93" s="1217"/>
      <c r="H93" s="1217"/>
      <c r="I93" s="1217"/>
      <c r="J93" s="1217"/>
      <c r="K93" s="1217"/>
      <c r="L93" s="1217"/>
      <c r="M93" s="1266"/>
      <c r="N93" s="1529"/>
      <c r="O93" s="1529"/>
      <c r="P93" s="2075"/>
      <c r="Q93" s="1522"/>
    </row>
    <row r="94" spans="1:17" ht="15">
      <c r="A94" s="1215"/>
      <c r="B94" s="1218">
        <f>B29</f>
        <v>111</v>
      </c>
      <c r="C94" s="1226"/>
      <c r="D94" s="1226"/>
      <c r="E94" s="1226"/>
      <c r="F94" s="1226"/>
      <c r="G94" s="1243"/>
      <c r="H94" s="1243"/>
      <c r="I94" s="1243"/>
      <c r="J94" s="1243"/>
      <c r="K94" s="1294"/>
      <c r="L94" s="1295"/>
      <c r="M94" s="1296"/>
      <c r="N94" s="1527"/>
      <c r="O94" s="1527"/>
      <c r="P94" s="2075"/>
      <c r="Q94" s="1522"/>
    </row>
    <row r="95" spans="1:17" ht="15">
      <c r="A95" s="1215"/>
      <c r="B95" s="1220"/>
      <c r="C95" s="1228"/>
      <c r="D95" s="1228"/>
      <c r="E95" s="1228"/>
      <c r="F95" s="1228"/>
      <c r="G95" s="1217"/>
      <c r="H95" s="1217"/>
      <c r="I95" s="1217"/>
      <c r="J95" s="1217"/>
      <c r="K95" s="1217"/>
      <c r="L95" s="1217"/>
      <c r="M95" s="1266"/>
      <c r="N95" s="1529"/>
      <c r="O95" s="1529"/>
      <c r="P95" s="2075"/>
      <c r="Q95" s="1522"/>
    </row>
    <row r="96" spans="1:17" ht="15">
      <c r="A96" s="1215"/>
      <c r="B96" s="1218">
        <f>B30</f>
        <v>111</v>
      </c>
      <c r="C96" s="1226"/>
      <c r="D96" s="1226"/>
      <c r="E96" s="1226"/>
      <c r="F96" s="1226"/>
      <c r="G96" s="1243"/>
      <c r="H96" s="1243"/>
      <c r="I96" s="1243"/>
      <c r="J96" s="1243"/>
      <c r="K96" s="1294"/>
      <c r="L96" s="1295"/>
      <c r="M96" s="1296"/>
      <c r="N96" s="1527"/>
      <c r="O96" s="1527"/>
      <c r="P96" s="2075"/>
      <c r="Q96" s="1522"/>
    </row>
    <row r="97" spans="1:17" ht="15">
      <c r="A97" s="1215"/>
      <c r="B97" s="1220"/>
      <c r="C97" s="1233"/>
      <c r="D97" s="1233"/>
      <c r="E97" s="1233"/>
      <c r="F97" s="1233"/>
      <c r="G97" s="1217"/>
      <c r="H97" s="1217"/>
      <c r="I97" s="1217"/>
      <c r="J97" s="1217"/>
      <c r="K97" s="1217"/>
      <c r="L97" s="1217"/>
      <c r="M97" s="1266"/>
      <c r="N97" s="1529"/>
      <c r="O97" s="1529"/>
      <c r="P97" s="2075"/>
      <c r="Q97" s="1522"/>
    </row>
    <row r="98" spans="1:17" ht="15">
      <c r="A98" s="1215"/>
      <c r="B98" s="1222">
        <f>B31</f>
        <v>111</v>
      </c>
      <c r="C98" s="1244"/>
      <c r="D98" s="1244"/>
      <c r="E98" s="1244"/>
      <c r="F98" s="1244"/>
      <c r="G98" s="1244"/>
      <c r="H98" s="1244"/>
      <c r="I98" s="1244"/>
      <c r="J98" s="1244"/>
      <c r="K98" s="1297"/>
      <c r="L98" s="1298"/>
      <c r="M98" s="1299"/>
      <c r="N98" s="1527"/>
      <c r="O98" s="1527"/>
      <c r="P98" s="2075"/>
      <c r="Q98" s="1522"/>
    </row>
    <row r="99" spans="1:17" ht="15">
      <c r="A99" s="1533"/>
      <c r="B99" s="1232"/>
      <c r="C99" s="1245"/>
      <c r="D99" s="1245"/>
      <c r="E99" s="1245"/>
      <c r="F99" s="1245"/>
      <c r="G99" s="1245"/>
      <c r="H99" s="1245"/>
      <c r="I99" s="1245"/>
      <c r="J99" s="1245"/>
      <c r="K99" s="1245"/>
      <c r="L99" s="1245"/>
      <c r="M99" s="1300"/>
      <c r="N99" s="1529"/>
      <c r="O99" s="1529"/>
      <c r="P99" s="2075"/>
      <c r="Q99" s="1522"/>
    </row>
    <row r="100" spans="1:17">
      <c r="A100" s="1213" t="s">
        <v>1065</v>
      </c>
      <c r="B100" s="1214" t="s">
        <v>1066</v>
      </c>
      <c r="C100" s="1352" t="s">
        <v>1114</v>
      </c>
      <c r="D100" s="1156"/>
      <c r="E100" s="1156"/>
      <c r="F100" s="1156"/>
      <c r="G100" s="1156"/>
      <c r="H100" s="1156"/>
      <c r="I100" s="1156"/>
      <c r="J100" s="1156"/>
      <c r="K100" s="1261"/>
      <c r="L100" s="1262"/>
      <c r="M100" s="1263"/>
      <c r="N100" s="1527"/>
      <c r="O100" s="1527"/>
      <c r="P100" s="2075"/>
      <c r="Q100" s="1522"/>
    </row>
    <row r="101" spans="1:17" ht="15">
      <c r="A101" s="1215"/>
      <c r="B101" s="1220"/>
      <c r="C101" s="1221">
        <v>100</v>
      </c>
      <c r="D101" s="1221">
        <f t="shared" ref="D101:M101" si="54">C101-$K32</f>
        <v>97</v>
      </c>
      <c r="E101" s="1221">
        <f t="shared" si="54"/>
        <v>94</v>
      </c>
      <c r="F101" s="1221">
        <f t="shared" si="54"/>
        <v>91</v>
      </c>
      <c r="G101" s="1221">
        <f t="shared" si="54"/>
        <v>88</v>
      </c>
      <c r="H101" s="1221">
        <f t="shared" si="54"/>
        <v>85</v>
      </c>
      <c r="I101" s="1221">
        <f t="shared" si="54"/>
        <v>82</v>
      </c>
      <c r="J101" s="1221">
        <f t="shared" si="54"/>
        <v>79</v>
      </c>
      <c r="K101" s="1221">
        <f t="shared" si="54"/>
        <v>76</v>
      </c>
      <c r="L101" s="1221">
        <f t="shared" si="54"/>
        <v>73</v>
      </c>
      <c r="M101" s="1221">
        <f t="shared" si="54"/>
        <v>70</v>
      </c>
      <c r="N101" s="1529"/>
      <c r="O101" s="1529"/>
      <c r="P101" s="2075"/>
      <c r="Q101" s="1522"/>
    </row>
    <row r="102" spans="1:17" ht="15">
      <c r="A102" s="1215"/>
      <c r="B102" s="1218" t="s">
        <v>1069</v>
      </c>
      <c r="C102" s="1237" t="str">
        <f>C103&amp;"(含)"&amp;"-"&amp;D103</f>
        <v>1(含)-</v>
      </c>
      <c r="D102" s="1237" t="str">
        <f t="shared" ref="D102:L102" si="55">D103&amp;"(含)"&amp;"-"&amp;E103</f>
        <v>(含)-</v>
      </c>
      <c r="E102" s="1237" t="str">
        <f t="shared" si="55"/>
        <v>(含)-</v>
      </c>
      <c r="F102" s="1237" t="str">
        <f t="shared" si="55"/>
        <v>(含)-</v>
      </c>
      <c r="G102" s="1237" t="str">
        <f t="shared" si="55"/>
        <v>(含)-</v>
      </c>
      <c r="H102" s="1237" t="str">
        <f t="shared" si="55"/>
        <v>(含)-</v>
      </c>
      <c r="I102" s="1237" t="str">
        <f t="shared" si="55"/>
        <v>(含)-</v>
      </c>
      <c r="J102" s="1237" t="str">
        <f t="shared" si="55"/>
        <v>(含)-</v>
      </c>
      <c r="K102" s="1237" t="str">
        <f t="shared" si="55"/>
        <v>(含)-</v>
      </c>
      <c r="L102" s="1237" t="str">
        <f t="shared" si="55"/>
        <v>(含)-</v>
      </c>
      <c r="M102" s="1237" t="str">
        <f>M103&amp;"(含)"&amp;"-"&amp;P103</f>
        <v>(含)-</v>
      </c>
      <c r="N102" s="1525"/>
      <c r="O102" s="1525"/>
      <c r="P102" s="2075"/>
      <c r="Q102" s="1522"/>
    </row>
    <row r="103" spans="1:17" s="972" customFormat="1">
      <c r="A103" s="1246"/>
      <c r="B103" s="1247"/>
      <c r="C103" s="1202">
        <v>1</v>
      </c>
      <c r="D103" s="1202"/>
      <c r="E103" s="1202"/>
      <c r="F103" s="1202"/>
      <c r="G103" s="1202"/>
      <c r="H103" s="1202"/>
      <c r="I103" s="1202"/>
      <c r="J103" s="1301"/>
      <c r="K103" s="1301"/>
      <c r="L103" s="1302"/>
      <c r="M103" s="1303"/>
      <c r="N103" s="1530"/>
      <c r="O103" s="1530"/>
      <c r="P103" s="2078"/>
      <c r="Q103" s="1532"/>
    </row>
    <row r="104" spans="1:17" s="972" customFormat="1" ht="15">
      <c r="A104" s="1225"/>
      <c r="B104" s="1220"/>
      <c r="C104" s="1228"/>
      <c r="D104" s="1217"/>
      <c r="E104" s="1217"/>
      <c r="F104" s="1217"/>
      <c r="G104" s="1217"/>
      <c r="H104" s="1217"/>
      <c r="I104" s="1217"/>
      <c r="J104" s="1217"/>
      <c r="K104" s="1217"/>
      <c r="L104" s="1217"/>
      <c r="M104" s="1217"/>
      <c r="N104" s="1529"/>
      <c r="O104" s="1529"/>
      <c r="P104" s="2078"/>
      <c r="Q104" s="1532"/>
    </row>
    <row r="105" spans="1:17">
      <c r="A105" s="1249"/>
      <c r="B105" s="1218" t="s">
        <v>1070</v>
      </c>
      <c r="C105" s="1353" t="s">
        <v>1071</v>
      </c>
      <c r="D105" s="1226"/>
      <c r="E105" s="1243"/>
      <c r="F105" s="1243"/>
      <c r="G105" s="1243"/>
      <c r="H105" s="1243"/>
      <c r="I105" s="1243"/>
      <c r="J105" s="1243"/>
      <c r="K105" s="1294"/>
      <c r="L105" s="1295"/>
      <c r="M105" s="1296"/>
      <c r="N105" s="1527"/>
      <c r="O105" s="1527"/>
      <c r="P105" s="2075"/>
      <c r="Q105" s="1522"/>
    </row>
    <row r="106" spans="1:17" ht="15">
      <c r="A106" s="1215"/>
      <c r="B106" s="1220"/>
      <c r="C106" s="1221">
        <v>100</v>
      </c>
      <c r="D106" s="1221">
        <f t="shared" ref="D106:M106" si="56">C106-$K34</f>
        <v>99</v>
      </c>
      <c r="E106" s="1221">
        <f t="shared" si="56"/>
        <v>98</v>
      </c>
      <c r="F106" s="1221">
        <f t="shared" si="56"/>
        <v>97</v>
      </c>
      <c r="G106" s="1221">
        <f t="shared" si="56"/>
        <v>96</v>
      </c>
      <c r="H106" s="1221">
        <f t="shared" si="56"/>
        <v>95</v>
      </c>
      <c r="I106" s="1221">
        <f t="shared" si="56"/>
        <v>94</v>
      </c>
      <c r="J106" s="1221">
        <f t="shared" si="56"/>
        <v>93</v>
      </c>
      <c r="K106" s="1221">
        <f t="shared" si="56"/>
        <v>92</v>
      </c>
      <c r="L106" s="1221">
        <f t="shared" si="56"/>
        <v>91</v>
      </c>
      <c r="M106" s="1221">
        <f t="shared" si="56"/>
        <v>90</v>
      </c>
      <c r="N106" s="1529"/>
      <c r="O106" s="1529"/>
      <c r="P106" s="2075"/>
      <c r="Q106" s="1522"/>
    </row>
    <row r="107" spans="1:17">
      <c r="A107" s="1249"/>
      <c r="B107" s="1218" t="s">
        <v>1072</v>
      </c>
      <c r="C107" s="1354" t="s">
        <v>1115</v>
      </c>
      <c r="D107" s="1354" t="s">
        <v>1116</v>
      </c>
      <c r="E107" s="1243"/>
      <c r="F107" s="1243"/>
      <c r="G107" s="1243"/>
      <c r="H107" s="1243"/>
      <c r="I107" s="1243"/>
      <c r="J107" s="1243"/>
      <c r="K107" s="1294"/>
      <c r="L107" s="1295"/>
      <c r="M107" s="1296"/>
      <c r="N107" s="1527"/>
      <c r="O107" s="1527"/>
      <c r="P107" s="2075"/>
      <c r="Q107" s="1522"/>
    </row>
    <row r="108" spans="1:17" ht="15">
      <c r="A108" s="1215"/>
      <c r="B108" s="1220"/>
      <c r="C108" s="1221">
        <v>100</v>
      </c>
      <c r="D108" s="1221">
        <f t="shared" ref="D108:M108" si="57">C108-$K35</f>
        <v>99</v>
      </c>
      <c r="E108" s="1221">
        <f t="shared" si="57"/>
        <v>98</v>
      </c>
      <c r="F108" s="1221">
        <f t="shared" si="57"/>
        <v>97</v>
      </c>
      <c r="G108" s="1221">
        <f t="shared" si="57"/>
        <v>96</v>
      </c>
      <c r="H108" s="1221">
        <f t="shared" si="57"/>
        <v>95</v>
      </c>
      <c r="I108" s="1221">
        <f t="shared" si="57"/>
        <v>94</v>
      </c>
      <c r="J108" s="1221">
        <f t="shared" si="57"/>
        <v>93</v>
      </c>
      <c r="K108" s="1221">
        <f t="shared" si="57"/>
        <v>92</v>
      </c>
      <c r="L108" s="1221">
        <f t="shared" si="57"/>
        <v>91</v>
      </c>
      <c r="M108" s="1221">
        <f t="shared" si="57"/>
        <v>90</v>
      </c>
      <c r="N108" s="1529"/>
      <c r="O108" s="1529"/>
      <c r="P108" s="2075"/>
      <c r="Q108" s="1522"/>
    </row>
    <row r="109" spans="1:17">
      <c r="A109" s="1249"/>
      <c r="B109" s="1218" t="s">
        <v>1073</v>
      </c>
      <c r="C109" s="1353" t="s">
        <v>1074</v>
      </c>
      <c r="D109" s="1353" t="s">
        <v>1117</v>
      </c>
      <c r="E109" s="1226"/>
      <c r="F109" s="1243"/>
      <c r="G109" s="1243"/>
      <c r="H109" s="1243"/>
      <c r="I109" s="1243"/>
      <c r="J109" s="1243"/>
      <c r="K109" s="1294"/>
      <c r="L109" s="1295"/>
      <c r="M109" s="1296"/>
      <c r="N109" s="1527"/>
      <c r="O109" s="1527"/>
      <c r="P109" s="2075"/>
      <c r="Q109" s="1522"/>
    </row>
    <row r="110" spans="1:17" ht="15">
      <c r="A110" s="1215"/>
      <c r="B110" s="1220"/>
      <c r="C110" s="1221">
        <v>100</v>
      </c>
      <c r="D110" s="1221">
        <f t="shared" ref="D110:M110" si="58">C110-$K36</f>
        <v>99</v>
      </c>
      <c r="E110" s="1221">
        <f t="shared" si="58"/>
        <v>98</v>
      </c>
      <c r="F110" s="1221">
        <f t="shared" si="58"/>
        <v>97</v>
      </c>
      <c r="G110" s="1221">
        <f t="shared" si="58"/>
        <v>96</v>
      </c>
      <c r="H110" s="1221">
        <f t="shared" si="58"/>
        <v>95</v>
      </c>
      <c r="I110" s="1221">
        <f t="shared" si="58"/>
        <v>94</v>
      </c>
      <c r="J110" s="1221">
        <f t="shared" si="58"/>
        <v>93</v>
      </c>
      <c r="K110" s="1221">
        <f t="shared" si="58"/>
        <v>92</v>
      </c>
      <c r="L110" s="1221">
        <f t="shared" si="58"/>
        <v>91</v>
      </c>
      <c r="M110" s="1221">
        <f t="shared" si="58"/>
        <v>90</v>
      </c>
      <c r="N110" s="1529"/>
      <c r="O110" s="1529"/>
      <c r="P110" s="2075"/>
      <c r="Q110" s="1522"/>
    </row>
    <row r="111" spans="1:17" s="972" customFormat="1">
      <c r="A111" s="1246"/>
      <c r="B111" s="1218" t="s">
        <v>568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30"/>
      <c r="O111" s="1530"/>
      <c r="P111" s="2078"/>
      <c r="Q111" s="1532"/>
    </row>
    <row r="112" spans="1:17" s="972" customFormat="1">
      <c r="A112" s="1246"/>
      <c r="B112" s="1222"/>
      <c r="C112" s="905">
        <v>0.5</v>
      </c>
      <c r="D112" s="905">
        <v>0.6</v>
      </c>
      <c r="E112" s="905">
        <v>0.7</v>
      </c>
      <c r="F112" s="905">
        <v>0.8</v>
      </c>
      <c r="G112" s="905">
        <v>0.9</v>
      </c>
      <c r="H112" s="905">
        <v>1.0001</v>
      </c>
      <c r="I112" s="905"/>
      <c r="J112" s="2082"/>
      <c r="K112" s="2082"/>
      <c r="L112" s="2083"/>
      <c r="M112" s="2084"/>
      <c r="N112" s="1530"/>
      <c r="O112" s="1530"/>
      <c r="P112" s="2078"/>
      <c r="Q112" s="1532"/>
    </row>
    <row r="113" spans="1:17" s="972" customFormat="1" ht="15">
      <c r="A113" s="1225"/>
      <c r="B113" s="1220"/>
      <c r="C113" s="1239">
        <v>100</v>
      </c>
      <c r="D113" s="1221">
        <f>C113+$K37</f>
        <v>101</v>
      </c>
      <c r="E113" s="1221">
        <f>D113+$K37</f>
        <v>102</v>
      </c>
      <c r="F113" s="1221">
        <f>E113+$K37</f>
        <v>103</v>
      </c>
      <c r="G113" s="1221">
        <f>F113+$K37</f>
        <v>104</v>
      </c>
      <c r="H113" s="1221">
        <f>G113+$K37</f>
        <v>105</v>
      </c>
      <c r="I113" s="1239"/>
      <c r="J113" s="1241"/>
      <c r="K113" s="1241"/>
      <c r="L113" s="1241"/>
      <c r="M113" s="1292"/>
      <c r="N113" s="1530"/>
      <c r="O113" s="1530"/>
      <c r="P113" s="2078"/>
      <c r="Q113" s="1532"/>
    </row>
    <row r="114" spans="1:17">
      <c r="A114" s="1249"/>
      <c r="B114" s="1218" t="s">
        <v>1075</v>
      </c>
      <c r="C114" s="1353" t="s">
        <v>1118</v>
      </c>
      <c r="D114" s="1353" t="s">
        <v>1116</v>
      </c>
      <c r="E114" s="1243"/>
      <c r="F114" s="1243"/>
      <c r="G114" s="1243"/>
      <c r="H114" s="1243"/>
      <c r="I114" s="1243"/>
      <c r="J114" s="1243"/>
      <c r="K114" s="1294"/>
      <c r="L114" s="1295"/>
      <c r="M114" s="1296"/>
      <c r="N114" s="1527"/>
      <c r="O114" s="1527"/>
      <c r="P114" s="2075"/>
      <c r="Q114" s="1522"/>
    </row>
    <row r="115" spans="1:17" ht="15">
      <c r="A115" s="1215"/>
      <c r="B115" s="1220"/>
      <c r="C115" s="1221">
        <v>100</v>
      </c>
      <c r="D115" s="1221">
        <f t="shared" ref="D115:M115" si="59">C115-$K38</f>
        <v>99</v>
      </c>
      <c r="E115" s="1221">
        <f t="shared" si="59"/>
        <v>98</v>
      </c>
      <c r="F115" s="1221">
        <f t="shared" si="59"/>
        <v>97</v>
      </c>
      <c r="G115" s="1221">
        <f t="shared" si="59"/>
        <v>96</v>
      </c>
      <c r="H115" s="1221">
        <f t="shared" si="59"/>
        <v>95</v>
      </c>
      <c r="I115" s="1221">
        <f t="shared" si="59"/>
        <v>94</v>
      </c>
      <c r="J115" s="1221">
        <f t="shared" si="59"/>
        <v>93</v>
      </c>
      <c r="K115" s="1221">
        <f t="shared" si="59"/>
        <v>92</v>
      </c>
      <c r="L115" s="1221">
        <f t="shared" si="59"/>
        <v>91</v>
      </c>
      <c r="M115" s="1221">
        <f t="shared" si="59"/>
        <v>90</v>
      </c>
      <c r="N115" s="1529"/>
      <c r="O115" s="1529"/>
      <c r="P115" s="2075"/>
      <c r="Q115" s="1522"/>
    </row>
    <row r="116" spans="1:17">
      <c r="A116" s="1249"/>
      <c r="B116" s="1218" t="s">
        <v>1077</v>
      </c>
      <c r="C116" s="1353" t="s">
        <v>1078</v>
      </c>
      <c r="D116" s="1353" t="s">
        <v>1119</v>
      </c>
      <c r="E116" s="1353" t="s">
        <v>1080</v>
      </c>
      <c r="F116" s="1353" t="s">
        <v>1120</v>
      </c>
      <c r="G116" s="1353" t="s">
        <v>1079</v>
      </c>
      <c r="H116" s="1243"/>
      <c r="I116" s="1243"/>
      <c r="J116" s="1243"/>
      <c r="K116" s="1294"/>
      <c r="L116" s="1295"/>
      <c r="M116" s="1296"/>
      <c r="N116" s="1527"/>
      <c r="O116" s="1527"/>
      <c r="P116" s="2075"/>
      <c r="Q116" s="1522"/>
    </row>
    <row r="117" spans="1:17" ht="15">
      <c r="A117" s="1215"/>
      <c r="B117" s="1220"/>
      <c r="C117" s="1221">
        <v>100</v>
      </c>
      <c r="D117" s="1221">
        <f>C117-$K39</f>
        <v>99</v>
      </c>
      <c r="E117" s="1221">
        <f>D117-$K39</f>
        <v>98</v>
      </c>
      <c r="F117" s="1221">
        <f>E117-$K39</f>
        <v>97</v>
      </c>
      <c r="G117" s="1221">
        <f>F117-$K39</f>
        <v>96</v>
      </c>
      <c r="H117" s="1221"/>
      <c r="I117" s="1221"/>
      <c r="J117" s="1221"/>
      <c r="K117" s="1221"/>
      <c r="L117" s="1221"/>
      <c r="M117" s="1271"/>
      <c r="N117" s="1529"/>
      <c r="O117" s="1529"/>
      <c r="P117" s="2075"/>
      <c r="Q117" s="1522"/>
    </row>
    <row r="118" spans="1:17">
      <c r="A118" s="1249"/>
      <c r="B118" s="1218" t="s">
        <v>1081</v>
      </c>
      <c r="C118" s="1243"/>
      <c r="D118" s="1243"/>
      <c r="E118" s="1243"/>
      <c r="F118" s="1243"/>
      <c r="G118" s="1243"/>
      <c r="H118" s="1243"/>
      <c r="I118" s="1243"/>
      <c r="J118" s="1243"/>
      <c r="K118" s="1294"/>
      <c r="L118" s="1295"/>
      <c r="M118" s="1296"/>
      <c r="N118" s="1527"/>
      <c r="O118" s="1527"/>
      <c r="P118" s="2075"/>
      <c r="Q118" s="1522"/>
    </row>
    <row r="119" spans="1:17" ht="15">
      <c r="A119" s="1215"/>
      <c r="B119" s="1220"/>
      <c r="C119" s="1221">
        <v>100</v>
      </c>
      <c r="D119" s="1221">
        <f t="shared" ref="D119:M119" si="60">C119-$K40</f>
        <v>99</v>
      </c>
      <c r="E119" s="1221">
        <f t="shared" si="60"/>
        <v>98</v>
      </c>
      <c r="F119" s="1221">
        <f t="shared" si="60"/>
        <v>97</v>
      </c>
      <c r="G119" s="1221">
        <f t="shared" si="60"/>
        <v>96</v>
      </c>
      <c r="H119" s="1221">
        <f t="shared" si="60"/>
        <v>95</v>
      </c>
      <c r="I119" s="1221">
        <f t="shared" si="60"/>
        <v>94</v>
      </c>
      <c r="J119" s="1221">
        <f t="shared" si="60"/>
        <v>93</v>
      </c>
      <c r="K119" s="1221">
        <f t="shared" si="60"/>
        <v>92</v>
      </c>
      <c r="L119" s="1221">
        <f t="shared" si="60"/>
        <v>91</v>
      </c>
      <c r="M119" s="1221">
        <f t="shared" si="60"/>
        <v>90</v>
      </c>
      <c r="N119" s="1529"/>
      <c r="O119" s="1529"/>
      <c r="P119" s="2075"/>
      <c r="Q119" s="1522"/>
    </row>
    <row r="120" spans="1:17" s="972" customFormat="1" ht="27.75">
      <c r="A120" s="1246"/>
      <c r="B120" s="1218" t="s">
        <v>1082</v>
      </c>
      <c r="C120" s="1226"/>
      <c r="D120" s="1226"/>
      <c r="E120" s="1226"/>
      <c r="F120" s="1226"/>
      <c r="G120" s="1226"/>
      <c r="H120" s="1226"/>
      <c r="I120" s="1226"/>
      <c r="J120" s="1226"/>
      <c r="K120" s="1226"/>
      <c r="L120" s="1432"/>
      <c r="M120" s="1433"/>
      <c r="N120" s="1530"/>
      <c r="O120" s="1530"/>
      <c r="P120" s="2078"/>
      <c r="Q120" s="1532"/>
    </row>
    <row r="121" spans="1:17" s="972" customFormat="1" ht="15">
      <c r="A121" s="1225"/>
      <c r="B121" s="1216"/>
      <c r="C121" s="1228"/>
      <c r="D121" s="1217"/>
      <c r="E121" s="1217"/>
      <c r="F121" s="1217"/>
      <c r="G121" s="1217"/>
      <c r="H121" s="1217"/>
      <c r="I121" s="1217"/>
      <c r="J121" s="1217"/>
      <c r="K121" s="1217"/>
      <c r="L121" s="1217"/>
      <c r="M121" s="1217"/>
      <c r="N121" s="1530"/>
      <c r="O121" s="1530"/>
      <c r="P121" s="2078"/>
      <c r="Q121" s="1532"/>
    </row>
    <row r="122" spans="1:17">
      <c r="A122" s="1249"/>
      <c r="B122" s="1218" t="s">
        <v>1083</v>
      </c>
      <c r="C122" s="1353" t="s">
        <v>1085</v>
      </c>
      <c r="D122" s="1353" t="s">
        <v>1084</v>
      </c>
      <c r="E122" s="1226"/>
      <c r="F122" s="1243"/>
      <c r="G122" s="1243"/>
      <c r="H122" s="1243"/>
      <c r="I122" s="1243"/>
      <c r="J122" s="1243"/>
      <c r="K122" s="1294"/>
      <c r="L122" s="1295"/>
      <c r="M122" s="1296"/>
      <c r="N122" s="1527"/>
      <c r="O122" s="1527"/>
      <c r="P122" s="2075"/>
      <c r="Q122" s="1522"/>
    </row>
    <row r="123" spans="1:17" ht="15">
      <c r="A123" s="1215"/>
      <c r="B123" s="1220"/>
      <c r="C123" s="1221">
        <v>100</v>
      </c>
      <c r="D123" s="1221">
        <f t="shared" ref="D123:M123" si="61">C123-$K42</f>
        <v>95</v>
      </c>
      <c r="E123" s="1221">
        <f t="shared" si="61"/>
        <v>90</v>
      </c>
      <c r="F123" s="1221">
        <f t="shared" si="61"/>
        <v>85</v>
      </c>
      <c r="G123" s="1221">
        <f t="shared" si="61"/>
        <v>80</v>
      </c>
      <c r="H123" s="1221">
        <f t="shared" si="61"/>
        <v>75</v>
      </c>
      <c r="I123" s="1221">
        <f t="shared" si="61"/>
        <v>70</v>
      </c>
      <c r="J123" s="1221">
        <f t="shared" si="61"/>
        <v>65</v>
      </c>
      <c r="K123" s="1221">
        <f t="shared" si="61"/>
        <v>60</v>
      </c>
      <c r="L123" s="1221">
        <f t="shared" si="61"/>
        <v>55</v>
      </c>
      <c r="M123" s="1221">
        <f t="shared" si="61"/>
        <v>50</v>
      </c>
      <c r="N123" s="1529"/>
      <c r="O123" s="1529"/>
      <c r="P123" s="2075"/>
      <c r="Q123" s="1522"/>
    </row>
    <row r="124" spans="1:17">
      <c r="A124" s="1249"/>
      <c r="B124" s="1218" t="s">
        <v>1086</v>
      </c>
      <c r="C124" s="1237" t="s">
        <v>1104</v>
      </c>
      <c r="D124" s="1237" t="s">
        <v>1105</v>
      </c>
      <c r="E124" s="1237" t="s">
        <v>1106</v>
      </c>
      <c r="F124" s="1237" t="s">
        <v>1107</v>
      </c>
      <c r="G124" s="1237" t="s">
        <v>1108</v>
      </c>
      <c r="H124" s="1219"/>
      <c r="I124" s="1219"/>
      <c r="J124" s="1219"/>
      <c r="K124" s="1268"/>
      <c r="L124" s="1269"/>
      <c r="M124" s="1270"/>
      <c r="N124" s="1527"/>
      <c r="O124" s="1527"/>
      <c r="P124" s="2078"/>
      <c r="Q124" s="1522"/>
    </row>
    <row r="125" spans="1:17" ht="15">
      <c r="A125" s="1215"/>
      <c r="B125" s="1220"/>
      <c r="C125" s="1221">
        <v>100</v>
      </c>
      <c r="D125" s="1221">
        <f>C125-$K43</f>
        <v>99</v>
      </c>
      <c r="E125" s="1221">
        <f>D125-$K43</f>
        <v>98</v>
      </c>
      <c r="F125" s="1221">
        <f>E125-$K43</f>
        <v>97</v>
      </c>
      <c r="G125" s="1221">
        <f>F125-$K43</f>
        <v>96</v>
      </c>
      <c r="H125" s="1221"/>
      <c r="I125" s="1221"/>
      <c r="J125" s="1221"/>
      <c r="K125" s="1221"/>
      <c r="L125" s="1221"/>
      <c r="M125" s="1271"/>
      <c r="N125" s="1529"/>
      <c r="O125" s="1529"/>
      <c r="P125" s="2075"/>
      <c r="Q125" s="1522"/>
    </row>
    <row r="126" spans="1:17" s="972" customFormat="1">
      <c r="A126" s="1246"/>
      <c r="B126" s="1218">
        <f>B44</f>
        <v>0</v>
      </c>
      <c r="C126" s="1226"/>
      <c r="D126" s="1226"/>
      <c r="E126" s="1226"/>
      <c r="F126" s="1226"/>
      <c r="G126" s="1226"/>
      <c r="H126" s="1227"/>
      <c r="I126" s="1227"/>
      <c r="J126" s="1227"/>
      <c r="K126" s="1227"/>
      <c r="L126" s="1275"/>
      <c r="M126" s="1276"/>
      <c r="N126" s="1530"/>
      <c r="O126" s="1530"/>
      <c r="P126" s="2078"/>
      <c r="Q126" s="1532"/>
    </row>
    <row r="127" spans="1:17" s="972" customFormat="1" ht="15">
      <c r="A127" s="1225"/>
      <c r="B127" s="1220"/>
      <c r="C127" s="1228"/>
      <c r="D127" s="1217"/>
      <c r="E127" s="1217"/>
      <c r="F127" s="1217"/>
      <c r="G127" s="1228"/>
      <c r="H127" s="1229"/>
      <c r="I127" s="1229"/>
      <c r="J127" s="1229"/>
      <c r="K127" s="1229"/>
      <c r="L127" s="1229"/>
      <c r="M127" s="1279"/>
      <c r="N127" s="1530"/>
      <c r="O127" s="1530"/>
      <c r="P127" s="2078"/>
      <c r="Q127" s="1532"/>
    </row>
    <row r="128" spans="1:17">
      <c r="A128" s="1249"/>
      <c r="B128" s="1218">
        <f>B45</f>
        <v>0</v>
      </c>
      <c r="C128" s="1226"/>
      <c r="D128" s="1226"/>
      <c r="E128" s="1226"/>
      <c r="F128" s="1226"/>
      <c r="G128" s="1243"/>
      <c r="H128" s="1243"/>
      <c r="I128" s="1243"/>
      <c r="J128" s="1243"/>
      <c r="K128" s="1294"/>
      <c r="L128" s="1295"/>
      <c r="M128" s="1296"/>
      <c r="N128" s="1527"/>
      <c r="O128" s="1527"/>
      <c r="P128" s="2075"/>
      <c r="Q128" s="1522"/>
    </row>
    <row r="129" spans="1:17" ht="15">
      <c r="A129" s="1215"/>
      <c r="B129" s="1220"/>
      <c r="C129" s="1228"/>
      <c r="D129" s="1228"/>
      <c r="E129" s="1228"/>
      <c r="F129" s="1228"/>
      <c r="G129" s="1217"/>
      <c r="H129" s="1217"/>
      <c r="I129" s="1217"/>
      <c r="J129" s="1217"/>
      <c r="K129" s="1217"/>
      <c r="L129" s="1217"/>
      <c r="M129" s="1266"/>
      <c r="N129" s="1529"/>
      <c r="O129" s="1529"/>
      <c r="P129" s="2075"/>
      <c r="Q129" s="1522"/>
    </row>
    <row r="130" spans="1:17">
      <c r="A130" s="1249"/>
      <c r="B130" s="1222">
        <f>B46</f>
        <v>0</v>
      </c>
      <c r="C130" s="1226"/>
      <c r="D130" s="1226"/>
      <c r="E130" s="1226"/>
      <c r="F130" s="1226"/>
      <c r="G130" s="1244"/>
      <c r="H130" s="1244"/>
      <c r="I130" s="1244"/>
      <c r="J130" s="1244"/>
      <c r="K130" s="1210"/>
      <c r="L130" s="1256"/>
      <c r="M130" s="1299"/>
      <c r="N130" s="1527"/>
      <c r="O130" s="1527"/>
      <c r="P130" s="2075"/>
      <c r="Q130" s="1522"/>
    </row>
    <row r="131" spans="1:17" ht="15">
      <c r="A131" s="1533"/>
      <c r="B131" s="1232"/>
      <c r="C131" s="1233"/>
      <c r="D131" s="1233"/>
      <c r="E131" s="1233"/>
      <c r="F131" s="1233"/>
      <c r="G131" s="1245"/>
      <c r="H131" s="1245"/>
      <c r="I131" s="1245"/>
      <c r="J131" s="1245"/>
      <c r="K131" s="1245"/>
      <c r="L131" s="1245"/>
      <c r="M131" s="1300"/>
      <c r="N131" s="1529"/>
      <c r="O131" s="1529"/>
      <c r="P131" s="2075"/>
      <c r="Q131" s="1522"/>
    </row>
    <row r="136" spans="1:17">
      <c r="B136" s="2085" t="s">
        <v>1121</v>
      </c>
    </row>
    <row r="137" spans="1:17" ht="15">
      <c r="B137" s="2086" t="s">
        <v>1122</v>
      </c>
      <c r="C137" s="2087"/>
      <c r="D137" s="2087"/>
      <c r="E137" s="2087"/>
      <c r="F137" s="2087"/>
      <c r="G137" s="2088"/>
      <c r="H137" s="2089"/>
      <c r="I137" s="2112" t="s">
        <v>1123</v>
      </c>
      <c r="J137" s="2087"/>
      <c r="K137" s="2113"/>
    </row>
    <row r="138" spans="1:17" ht="15">
      <c r="B138" s="2090"/>
      <c r="C138" s="2091" t="s">
        <v>1124</v>
      </c>
      <c r="D138" s="2091" t="s">
        <v>1125</v>
      </c>
      <c r="E138" s="2092" t="s">
        <v>1126</v>
      </c>
      <c r="F138" s="2093" t="s">
        <v>1127</v>
      </c>
      <c r="G138" s="2091" t="s">
        <v>1125</v>
      </c>
      <c r="H138" s="2094" t="s">
        <v>1126</v>
      </c>
      <c r="I138" s="2114"/>
      <c r="J138" s="2091" t="s">
        <v>1128</v>
      </c>
      <c r="K138" s="2094" t="s">
        <v>1129</v>
      </c>
    </row>
    <row r="139" spans="1:17" ht="15">
      <c r="B139" s="2095">
        <v>6</v>
      </c>
      <c r="C139" s="2096">
        <v>96</v>
      </c>
      <c r="D139" s="2097" t="s">
        <v>1130</v>
      </c>
      <c r="E139" s="2098">
        <v>100</v>
      </c>
      <c r="F139" s="2099">
        <v>102.5</v>
      </c>
      <c r="G139" s="2097" t="s">
        <v>1130</v>
      </c>
      <c r="H139" s="2100">
        <v>105</v>
      </c>
      <c r="I139" s="2115" t="s">
        <v>1131</v>
      </c>
      <c r="J139" s="2096">
        <v>20</v>
      </c>
      <c r="K139" s="2116">
        <f>C145/(J139-2)</f>
        <v>4.0555555555555596E-3</v>
      </c>
    </row>
    <row r="140" spans="1:17" ht="15">
      <c r="B140" s="2101">
        <v>5</v>
      </c>
      <c r="C140" s="2102">
        <v>100</v>
      </c>
      <c r="D140" s="2102"/>
      <c r="E140" s="2103"/>
      <c r="F140" s="2104">
        <v>102</v>
      </c>
      <c r="G140" s="2102"/>
      <c r="H140" s="2105"/>
      <c r="I140" s="2117" t="s">
        <v>1132</v>
      </c>
      <c r="J140" s="315">
        <f>ROUNDUP((J139-1)/2,0)</f>
        <v>10</v>
      </c>
      <c r="K140" s="2118">
        <v>100</v>
      </c>
    </row>
    <row r="141" spans="1:17" ht="15">
      <c r="B141" s="2101">
        <v>4</v>
      </c>
      <c r="C141" s="2102">
        <v>102</v>
      </c>
      <c r="D141" s="2102"/>
      <c r="E141" s="2103"/>
      <c r="F141" s="2104">
        <v>101.5</v>
      </c>
      <c r="G141" s="2102"/>
      <c r="H141" s="2105"/>
      <c r="I141" s="2117" t="s">
        <v>1133</v>
      </c>
      <c r="J141" s="315">
        <v>1</v>
      </c>
      <c r="K141" s="2119">
        <f>ROUND(100+(J141-J140)*K139*100,1)</f>
        <v>96.4</v>
      </c>
    </row>
    <row r="142" spans="1:17" ht="15">
      <c r="B142" s="2101">
        <v>3</v>
      </c>
      <c r="C142" s="2102">
        <v>103</v>
      </c>
      <c r="D142" s="2102"/>
      <c r="E142" s="2103"/>
      <c r="F142" s="2104">
        <v>101</v>
      </c>
      <c r="G142" s="2102"/>
      <c r="H142" s="2105"/>
      <c r="I142" s="2117" t="s">
        <v>1134</v>
      </c>
      <c r="J142" s="315">
        <f>J139</f>
        <v>20</v>
      </c>
      <c r="K142" s="2120">
        <v>95</v>
      </c>
    </row>
    <row r="143" spans="1:17" ht="15">
      <c r="B143" s="2101">
        <v>2</v>
      </c>
      <c r="C143" s="2102">
        <v>100</v>
      </c>
      <c r="D143" s="2102"/>
      <c r="E143" s="2103"/>
      <c r="F143" s="2104">
        <v>100.5</v>
      </c>
      <c r="G143" s="2102"/>
      <c r="H143" s="2105"/>
      <c r="I143" s="2117" t="s">
        <v>1135</v>
      </c>
      <c r="J143" s="2102">
        <v>15</v>
      </c>
      <c r="K143" s="2119">
        <f>ROUND(100+(J143-J140)*K139*100,1)</f>
        <v>102</v>
      </c>
    </row>
    <row r="144" spans="1:17" ht="15">
      <c r="B144" s="2101">
        <v>1</v>
      </c>
      <c r="C144" s="2102">
        <v>98</v>
      </c>
      <c r="D144" s="2106" t="s">
        <v>1136</v>
      </c>
      <c r="E144" s="2103">
        <v>102</v>
      </c>
      <c r="F144" s="2107">
        <v>100</v>
      </c>
      <c r="G144" s="2106" t="s">
        <v>1136</v>
      </c>
      <c r="H144" s="2105">
        <v>105</v>
      </c>
      <c r="I144" s="2117" t="s">
        <v>1135</v>
      </c>
      <c r="J144" s="2102">
        <v>18</v>
      </c>
      <c r="K144" s="2119">
        <f>ROUND(100+(J144-J140)*K139*100,1)</f>
        <v>103.2</v>
      </c>
    </row>
    <row r="145" spans="2:11" ht="15">
      <c r="B145" s="2108" t="s">
        <v>1137</v>
      </c>
      <c r="C145" s="2109">
        <f>ROUND(MAX(C139:C144)/MIN(C139:C144)-1,3)</f>
        <v>7.2999999999999995E-2</v>
      </c>
      <c r="D145" s="2110"/>
      <c r="E145" s="2110"/>
      <c r="F145" s="2111" t="s">
        <v>1138</v>
      </c>
      <c r="G145" s="1552"/>
      <c r="H145" s="1555"/>
      <c r="I145" s="2121" t="s">
        <v>1135</v>
      </c>
      <c r="J145" s="2122">
        <v>8</v>
      </c>
      <c r="K145" s="2123">
        <f>ROUND(100+(J145-J140)*K139*100,1)</f>
        <v>99.2</v>
      </c>
    </row>
    <row r="147" spans="2:11">
      <c r="B147" s="2085" t="s">
        <v>1139</v>
      </c>
    </row>
    <row r="148" spans="2:11">
      <c r="B148" s="2085" t="s">
        <v>1140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E52">
    <cfRule type="expression" dxfId="14" priority="14" stopIfTrue="1">
      <formula>$F$52="超过30%"</formula>
    </cfRule>
  </conditionalFormatting>
  <conditionalFormatting sqref="G52">
    <cfRule type="expression" dxfId="13" priority="9" stopIfTrue="1">
      <formula>$H$52="超过30%"</formula>
    </cfRule>
  </conditionalFormatting>
  <conditionalFormatting sqref="I52">
    <cfRule type="expression" dxfId="12" priority="7" stopIfTrue="1">
      <formula>$J$52="超过30%"</formula>
    </cfRule>
  </conditionalFormatting>
  <conditionalFormatting sqref="E53">
    <cfRule type="expression" dxfId="11" priority="11" stopIfTrue="1">
      <formula>$F$53="超过20%"</formula>
    </cfRule>
  </conditionalFormatting>
  <conditionalFormatting sqref="G53">
    <cfRule type="expression" dxfId="10" priority="8" stopIfTrue="1">
      <formula>$H$53="超过20%"</formula>
    </cfRule>
  </conditionalFormatting>
  <conditionalFormatting sqref="I53">
    <cfRule type="expression" dxfId="9" priority="6" stopIfTrue="1">
      <formula>$J$53="超过20%"</formula>
    </cfRule>
  </conditionalFormatting>
  <conditionalFormatting sqref="E54">
    <cfRule type="expression" dxfId="8" priority="10" stopIfTrue="1">
      <formula>$F$54="超过30%"</formula>
    </cfRule>
  </conditionalFormatting>
  <conditionalFormatting sqref="F54">
    <cfRule type="containsText" dxfId="7" priority="16" stopIfTrue="1" operator="containsText" text="超过">
      <formula>NOT(ISERROR(SEARCH("超过",F54)))</formula>
    </cfRule>
  </conditionalFormatting>
  <conditionalFormatting sqref="G54">
    <cfRule type="expression" dxfId="6" priority="12" stopIfTrue="1">
      <formula>$H$54="超过30%"</formula>
    </cfRule>
  </conditionalFormatting>
  <conditionalFormatting sqref="H54">
    <cfRule type="containsText" dxfId="5" priority="17"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18"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J52">
    <cfRule type="containsText" dxfId="1" priority="19" stopIfTrue="1" operator="containsText" text="超过">
      <formula>NOT(ISERROR(SEARCH("超过",F52)))</formula>
    </cfRule>
  </conditionalFormatting>
  <conditionalFormatting sqref="F53 H53 J53">
    <cfRule type="containsText" dxfId="0"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D48">
      <formula1>"简单平均,加权平均"</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2"/>
  <sheetViews>
    <sheetView workbookViewId="0">
      <selection activeCell="K14" sqref="K14"/>
    </sheetView>
  </sheetViews>
  <sheetFormatPr defaultColWidth="9" defaultRowHeight="13.5"/>
  <cols>
    <col min="1" max="1" width="24.125" style="17" customWidth="1"/>
    <col min="2" max="2" width="9" style="17" hidden="1" customWidth="1"/>
    <col min="3" max="3" width="8.25" style="17" customWidth="1"/>
    <col min="4" max="5" width="9.125" style="17" customWidth="1"/>
    <col min="6" max="6" width="6.75" style="17" customWidth="1"/>
    <col min="7" max="7" width="6" style="17" customWidth="1"/>
    <col min="8" max="8" width="11.375" style="17" customWidth="1"/>
    <col min="9" max="9" width="4.5" style="17" customWidth="1"/>
    <col min="10" max="10" width="10.375" style="17" customWidth="1"/>
    <col min="11" max="11" width="11.75" style="17" customWidth="1"/>
    <col min="12" max="12" width="6.625" style="17" customWidth="1"/>
    <col min="13" max="13" width="6.75" style="17" customWidth="1"/>
    <col min="14" max="14" width="9.125" style="17" customWidth="1"/>
    <col min="15" max="15" width="6.5" style="17" customWidth="1"/>
    <col min="16" max="16" width="9" style="17"/>
    <col min="17" max="17" width="7" style="18" customWidth="1"/>
    <col min="18" max="18" width="7.75" style="17" customWidth="1"/>
    <col min="19" max="16384" width="9" style="17"/>
  </cols>
  <sheetData>
    <row r="1" spans="1:50" s="15" customFormat="1" ht="26.25" customHeight="1">
      <c r="A1" s="19" t="s">
        <v>2569</v>
      </c>
      <c r="B1" s="19" t="s">
        <v>2570</v>
      </c>
      <c r="C1" s="19" t="s">
        <v>2571</v>
      </c>
      <c r="D1" s="19" t="s">
        <v>2572</v>
      </c>
      <c r="E1" s="19" t="s">
        <v>2573</v>
      </c>
      <c r="F1" s="19" t="s">
        <v>1970</v>
      </c>
      <c r="G1" s="19" t="s">
        <v>2574</v>
      </c>
      <c r="H1" s="19" t="s">
        <v>2575</v>
      </c>
      <c r="I1" s="19" t="s">
        <v>2576</v>
      </c>
      <c r="J1" s="19" t="s">
        <v>2981</v>
      </c>
      <c r="K1" s="22" t="s">
        <v>3212</v>
      </c>
      <c r="L1" s="19" t="s">
        <v>2982</v>
      </c>
      <c r="M1" s="19" t="s">
        <v>3210</v>
      </c>
      <c r="N1" s="22" t="s">
        <v>3211</v>
      </c>
      <c r="O1" s="19" t="s">
        <v>2584</v>
      </c>
      <c r="P1" s="19" t="s">
        <v>2580</v>
      </c>
      <c r="Q1" s="19" t="s">
        <v>2585</v>
      </c>
      <c r="R1" s="24" t="s">
        <v>2983</v>
      </c>
    </row>
    <row r="2" spans="1:50" s="16" customFormat="1" ht="26.25" customHeight="1">
      <c r="A2" s="20" t="s">
        <v>3190</v>
      </c>
      <c r="B2" s="20" t="s">
        <v>345</v>
      </c>
      <c r="C2" s="20" t="s">
        <v>2599</v>
      </c>
      <c r="D2" s="20">
        <v>17006.62</v>
      </c>
      <c r="E2" s="20">
        <v>43844.08</v>
      </c>
      <c r="F2" s="20">
        <v>2.58</v>
      </c>
      <c r="G2" s="20" t="s">
        <v>2631</v>
      </c>
      <c r="H2" s="20" t="s">
        <v>1513</v>
      </c>
      <c r="I2" s="20">
        <v>0</v>
      </c>
      <c r="J2" s="20" t="s">
        <v>2985</v>
      </c>
      <c r="K2" s="3220">
        <v>43489</v>
      </c>
      <c r="L2" s="20" t="s">
        <v>2559</v>
      </c>
      <c r="M2" s="20">
        <v>98500</v>
      </c>
      <c r="N2" s="23">
        <v>22465.97</v>
      </c>
      <c r="O2" s="20" t="s">
        <v>2559</v>
      </c>
      <c r="P2" s="20" t="s">
        <v>2986</v>
      </c>
      <c r="Q2" s="20" t="s">
        <v>2597</v>
      </c>
      <c r="R2" s="25">
        <v>38000</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3" spans="1:50" s="16" customFormat="1" ht="40.5" customHeight="1">
      <c r="A3" s="20" t="s">
        <v>3207</v>
      </c>
      <c r="B3" s="20" t="s">
        <v>345</v>
      </c>
      <c r="C3" s="20" t="s">
        <v>2599</v>
      </c>
      <c r="D3" s="20">
        <v>62168.34</v>
      </c>
      <c r="E3" s="20">
        <v>186162</v>
      </c>
      <c r="F3" s="20" t="s">
        <v>2987</v>
      </c>
      <c r="G3" s="20" t="s">
        <v>2631</v>
      </c>
      <c r="H3" s="20" t="s">
        <v>1513</v>
      </c>
      <c r="I3" s="20">
        <v>0</v>
      </c>
      <c r="J3" s="20" t="s">
        <v>2988</v>
      </c>
      <c r="K3" s="3220">
        <v>43812</v>
      </c>
      <c r="L3" s="20" t="s">
        <v>2559</v>
      </c>
      <c r="M3" s="20">
        <v>434800</v>
      </c>
      <c r="N3" s="23">
        <v>23356</v>
      </c>
      <c r="O3" s="20" t="s">
        <v>2559</v>
      </c>
      <c r="P3" s="20" t="s">
        <v>2989</v>
      </c>
      <c r="Q3" s="20" t="s">
        <v>2597</v>
      </c>
      <c r="R3" s="25">
        <v>38000</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s="16" customFormat="1" ht="45.75" customHeight="1">
      <c r="A4" s="20" t="s">
        <v>3208</v>
      </c>
      <c r="B4" s="20" t="s">
        <v>345</v>
      </c>
      <c r="C4" s="20" t="s">
        <v>2589</v>
      </c>
      <c r="D4" s="20">
        <v>65039.11</v>
      </c>
      <c r="E4" s="20">
        <v>132382.13</v>
      </c>
      <c r="F4" s="20" t="s">
        <v>2990</v>
      </c>
      <c r="G4" s="20" t="s">
        <v>2591</v>
      </c>
      <c r="H4" s="20" t="s">
        <v>3209</v>
      </c>
      <c r="I4" s="20">
        <v>0</v>
      </c>
      <c r="J4" s="20" t="s">
        <v>2991</v>
      </c>
      <c r="K4" s="3220">
        <v>43850</v>
      </c>
      <c r="L4" s="20">
        <v>329000</v>
      </c>
      <c r="M4" s="20">
        <v>329000</v>
      </c>
      <c r="N4" s="23">
        <v>24852.29</v>
      </c>
      <c r="O4" s="20">
        <v>0</v>
      </c>
      <c r="P4" s="20" t="s">
        <v>2992</v>
      </c>
      <c r="Q4" s="20" t="s">
        <v>2606</v>
      </c>
      <c r="R4" s="25">
        <v>37000</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row>
    <row r="5" spans="1:50" ht="26.25" customHeight="1">
      <c r="M5" s="3168" t="s">
        <v>3126</v>
      </c>
      <c r="N5" s="17">
        <f>(N2+N3+N4)/3</f>
        <v>23558.086666666699</v>
      </c>
    </row>
    <row r="6" spans="1:50">
      <c r="A6" s="21" t="s">
        <v>2993</v>
      </c>
      <c r="M6" s="3168" t="s">
        <v>3127</v>
      </c>
      <c r="N6" s="17">
        <f>ROUND(N5*0.25,0)</f>
        <v>5890</v>
      </c>
    </row>
    <row r="71" spans="1:17">
      <c r="A71" s="21"/>
      <c r="Q71" s="17"/>
    </row>
    <row r="72" spans="1:17">
      <c r="I72" s="21"/>
      <c r="J72" s="21"/>
      <c r="K72" s="21"/>
      <c r="Q72" s="17"/>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81" customWidth="1"/>
    <col min="2" max="9" width="12.125" style="581" customWidth="1"/>
    <col min="10" max="16384" width="9" style="581"/>
  </cols>
  <sheetData>
    <row r="1" spans="1:9" ht="18">
      <c r="A1" s="3234" t="str">
        <f>IF(项目基本情况!B9="房地产市场价值","估价结果一览表","结果表-2")</f>
        <v>估价结果一览表</v>
      </c>
      <c r="B1" s="3234"/>
      <c r="C1" s="3234"/>
      <c r="D1" s="3234"/>
      <c r="E1" s="3234"/>
      <c r="F1" s="3234"/>
      <c r="G1" s="3234"/>
      <c r="H1" s="3234"/>
      <c r="I1" s="3234"/>
    </row>
    <row r="2" spans="1:9" ht="30" customHeight="1">
      <c r="A2" s="3235" t="s">
        <v>107</v>
      </c>
      <c r="B2" s="3235" t="s">
        <v>108</v>
      </c>
      <c r="C2" s="3235" t="s">
        <v>109</v>
      </c>
      <c r="D2" s="3235" t="str">
        <f>结果表!D116</f>
        <v>出让国有建设用地使用权价值</v>
      </c>
      <c r="E2" s="3235"/>
      <c r="F2" s="3235" t="str">
        <f>结果表!F116</f>
        <v>在建建筑物价值</v>
      </c>
      <c r="G2" s="3235"/>
      <c r="H2" s="3235" t="str">
        <f>IF(项目基本情况!B9="房地产市场价值","房地产市场价值","房地产价值")</f>
        <v>房地产市场价值</v>
      </c>
      <c r="I2" s="3235"/>
    </row>
    <row r="3" spans="1:9" ht="15">
      <c r="A3" s="3236"/>
      <c r="B3" s="3236"/>
      <c r="C3" s="3236"/>
      <c r="D3" s="3110" t="s">
        <v>110</v>
      </c>
      <c r="E3" s="3110" t="s">
        <v>111</v>
      </c>
      <c r="F3" s="3110" t="s">
        <v>110</v>
      </c>
      <c r="G3" s="3110" t="s">
        <v>111</v>
      </c>
      <c r="H3" s="3110" t="s">
        <v>110</v>
      </c>
      <c r="I3" s="3110" t="s">
        <v>111</v>
      </c>
    </row>
    <row r="4" spans="1:9" ht="15">
      <c r="A4" s="3111" t="str">
        <f>项目基本情况!S2</f>
        <v>北京市房地产</v>
      </c>
      <c r="B4" s="3110">
        <f>项目基本情况!C17</f>
        <v>1</v>
      </c>
      <c r="C4" s="3110">
        <f>项目基本情况!C18</f>
        <v>0.39</v>
      </c>
      <c r="D4" s="3110">
        <f>结果表!D118</f>
        <v>0</v>
      </c>
      <c r="E4" s="3110">
        <f>结果表!E118</f>
        <v>0</v>
      </c>
      <c r="F4" s="3110">
        <f>结果表!F118</f>
        <v>0</v>
      </c>
      <c r="G4" s="3110">
        <f>结果表!G118</f>
        <v>0</v>
      </c>
      <c r="H4" s="3110">
        <f ca="1">结果表!H118</f>
        <v>3</v>
      </c>
      <c r="I4" s="3110">
        <f ca="1">结果表!I118</f>
        <v>27066</v>
      </c>
    </row>
    <row r="5" spans="1:9" ht="30" customHeight="1">
      <c r="A5" s="3236" t="s">
        <v>112</v>
      </c>
      <c r="B5" s="3236"/>
      <c r="C5" s="3236"/>
      <c r="D5" s="3237" t="str">
        <f>结果表!D119</f>
        <v>零元整</v>
      </c>
      <c r="E5" s="3237"/>
      <c r="F5" s="3237" t="str">
        <f>结果表!F119</f>
        <v>零元整</v>
      </c>
      <c r="G5" s="3237"/>
      <c r="H5" s="3237" t="str">
        <f ca="1">结果表!H119</f>
        <v>叁万元整</v>
      </c>
      <c r="I5" s="3237"/>
    </row>
    <row r="6" spans="1:9" ht="15.75">
      <c r="A6" s="3238" t="str">
        <f>结果表!A120</f>
        <v/>
      </c>
      <c r="B6" s="3238"/>
      <c r="C6" s="3238"/>
      <c r="D6" s="3238">
        <f>结果表!D120</f>
        <v>0</v>
      </c>
      <c r="E6" s="3238"/>
      <c r="F6" s="3238"/>
      <c r="G6" s="3238"/>
      <c r="H6" s="3238"/>
      <c r="I6" s="3238"/>
    </row>
    <row r="7" spans="1:9" ht="15">
      <c r="A7" s="3236" t="s">
        <v>112</v>
      </c>
      <c r="B7" s="3236"/>
      <c r="C7" s="3236"/>
      <c r="D7" s="3239" t="str">
        <f>结果表!D121</f>
        <v>零元整</v>
      </c>
      <c r="E7" s="3240"/>
      <c r="F7" s="3240"/>
      <c r="G7" s="3240"/>
      <c r="H7" s="3240"/>
      <c r="I7" s="3241"/>
    </row>
    <row r="8" spans="1:9" ht="15.75">
      <c r="A8" s="3238" t="str">
        <f>结果表!A122</f>
        <v/>
      </c>
      <c r="B8" s="3238"/>
      <c r="C8" s="3238"/>
      <c r="D8" s="3238" t="str">
        <f>结果表!D122</f>
        <v>——</v>
      </c>
      <c r="E8" s="3238"/>
      <c r="F8" s="3238"/>
      <c r="G8" s="3238"/>
      <c r="H8" s="3238"/>
      <c r="I8" s="3238"/>
    </row>
    <row r="9" spans="1:9" ht="15">
      <c r="A9" s="3236" t="s">
        <v>112</v>
      </c>
      <c r="B9" s="3236"/>
      <c r="C9" s="3236"/>
      <c r="D9" s="3237" t="e">
        <f>结果表!D123</f>
        <v>#VALUE!</v>
      </c>
      <c r="E9" s="3237"/>
      <c r="F9" s="3237"/>
      <c r="G9" s="3237"/>
      <c r="H9" s="3237"/>
      <c r="I9" s="3237"/>
    </row>
    <row r="10" spans="1:9" ht="15.75">
      <c r="A10" s="3238" t="str">
        <f>结果表!A124</f>
        <v/>
      </c>
      <c r="B10" s="3238"/>
      <c r="C10" s="3238"/>
      <c r="D10" s="3238">
        <f ca="1">结果表!D124</f>
        <v>3</v>
      </c>
      <c r="E10" s="3238"/>
      <c r="F10" s="3238"/>
      <c r="G10" s="3238"/>
      <c r="H10" s="3238"/>
      <c r="I10" s="3238"/>
    </row>
    <row r="11" spans="1:9" ht="15">
      <c r="A11" s="3236" t="s">
        <v>112</v>
      </c>
      <c r="B11" s="3236"/>
      <c r="C11" s="3236"/>
      <c r="D11" s="3237" t="str">
        <f ca="1">结果表!D125</f>
        <v>叁万元整</v>
      </c>
      <c r="E11" s="3237"/>
      <c r="F11" s="3237"/>
      <c r="G11" s="3237"/>
      <c r="H11" s="3237"/>
      <c r="I11" s="3237"/>
    </row>
    <row r="12" spans="1:9" ht="15.75">
      <c r="A12" s="3238" t="str">
        <f>结果表!A126</f>
        <v/>
      </c>
      <c r="B12" s="3238"/>
      <c r="C12" s="3238"/>
      <c r="D12" s="3238" t="str">
        <f>结果表!D126</f>
        <v>——</v>
      </c>
      <c r="E12" s="3238"/>
      <c r="F12" s="3238"/>
      <c r="G12" s="3238"/>
      <c r="H12" s="3238"/>
      <c r="I12" s="3238"/>
    </row>
    <row r="13" spans="1:9" ht="15">
      <c r="A13" s="3242" t="s">
        <v>112</v>
      </c>
      <c r="B13" s="3242"/>
      <c r="C13" s="3242"/>
      <c r="D13" s="3243" t="e">
        <f>结果表!D127</f>
        <v>#VALUE!</v>
      </c>
      <c r="E13" s="3243"/>
      <c r="F13" s="3243"/>
      <c r="G13" s="3243"/>
      <c r="H13" s="3243"/>
      <c r="I13" s="3243"/>
    </row>
    <row r="14" spans="1:9">
      <c r="A14" s="3244" t="s">
        <v>113</v>
      </c>
      <c r="B14" s="3244"/>
      <c r="C14" s="3244"/>
      <c r="D14" s="3244"/>
      <c r="E14" s="3244"/>
      <c r="F14" s="3244"/>
      <c r="G14" s="3244"/>
      <c r="H14" s="3244"/>
      <c r="I14" s="3244"/>
    </row>
    <row r="16" spans="1:9" ht="18.75">
      <c r="A16" s="3112"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topLeftCell="A5" workbookViewId="0">
      <selection activeCell="E55" sqref="E55"/>
    </sheetView>
  </sheetViews>
  <sheetFormatPr defaultColWidth="9" defaultRowHeight="12"/>
  <cols>
    <col min="1" max="1" width="11.5" style="8" customWidth="1"/>
    <col min="2" max="2" width="10.625" style="8" customWidth="1"/>
    <col min="3" max="3" width="9" style="8"/>
    <col min="4" max="4" width="38.75" style="8" customWidth="1"/>
    <col min="5" max="5" width="5.5" style="8" customWidth="1"/>
    <col min="6" max="7" width="9" style="8"/>
    <col min="8" max="8" width="7" style="8" customWidth="1"/>
    <col min="9" max="9" width="6.25" style="8" customWidth="1"/>
    <col min="10" max="10" width="14.25" style="8" customWidth="1"/>
    <col min="11" max="12" width="9" style="8" hidden="1" customWidth="1"/>
    <col min="13" max="13" width="9.625" style="8" customWidth="1"/>
    <col min="14" max="14" width="7.125" style="8" customWidth="1"/>
    <col min="15" max="15" width="7.5" style="8" customWidth="1"/>
    <col min="16" max="16" width="9" style="8"/>
    <col min="17" max="17" width="4.875" style="8" customWidth="1"/>
    <col min="18" max="16384" width="9" style="8"/>
  </cols>
  <sheetData>
    <row r="1" spans="1:10" ht="36">
      <c r="A1" s="9" t="s">
        <v>1831</v>
      </c>
      <c r="B1" s="9" t="s">
        <v>691</v>
      </c>
      <c r="C1" s="9" t="s">
        <v>1832</v>
      </c>
      <c r="D1" s="9" t="s">
        <v>2994</v>
      </c>
      <c r="E1" s="10" t="s">
        <v>2995</v>
      </c>
      <c r="F1" s="9" t="s">
        <v>2996</v>
      </c>
      <c r="G1" s="10" t="s">
        <v>2997</v>
      </c>
      <c r="H1" s="10" t="s">
        <v>2998</v>
      </c>
      <c r="I1" s="12" t="s">
        <v>2999</v>
      </c>
      <c r="J1" s="13" t="s">
        <v>3000</v>
      </c>
    </row>
    <row r="2" spans="1:10" ht="38.25" customHeight="1">
      <c r="A2" s="9">
        <v>1</v>
      </c>
      <c r="B2" s="11" t="s">
        <v>3196</v>
      </c>
      <c r="C2" s="10" t="s">
        <v>1926</v>
      </c>
      <c r="D2" s="10" t="s">
        <v>3002</v>
      </c>
      <c r="E2" s="10">
        <v>452</v>
      </c>
      <c r="F2" s="10">
        <v>35000</v>
      </c>
      <c r="G2" s="12" t="s">
        <v>3003</v>
      </c>
      <c r="H2" s="12">
        <v>0.5</v>
      </c>
      <c r="I2" s="12" t="s">
        <v>1085</v>
      </c>
      <c r="J2" s="13">
        <v>43349</v>
      </c>
    </row>
    <row r="3" spans="1:10" ht="43.5" customHeight="1">
      <c r="A3" s="9">
        <v>2</v>
      </c>
      <c r="B3" s="11" t="s">
        <v>3197</v>
      </c>
      <c r="C3" s="10" t="s">
        <v>1926</v>
      </c>
      <c r="D3" s="10" t="s">
        <v>3005</v>
      </c>
      <c r="E3" s="9">
        <v>849</v>
      </c>
      <c r="F3" s="10">
        <v>35000</v>
      </c>
      <c r="G3" s="12" t="s">
        <v>3003</v>
      </c>
      <c r="H3" s="12">
        <v>0.6</v>
      </c>
      <c r="I3" s="12" t="s">
        <v>1085</v>
      </c>
      <c r="J3" s="13">
        <v>43542</v>
      </c>
    </row>
    <row r="4" spans="1:10" ht="29.25" customHeight="1">
      <c r="A4" s="9">
        <v>3</v>
      </c>
      <c r="B4" s="11" t="s">
        <v>3198</v>
      </c>
      <c r="C4" s="10" t="s">
        <v>1926</v>
      </c>
      <c r="D4" s="10" t="s">
        <v>3007</v>
      </c>
      <c r="E4" s="9">
        <v>887</v>
      </c>
      <c r="F4" s="10">
        <v>40100</v>
      </c>
      <c r="G4" s="12" t="s">
        <v>3003</v>
      </c>
      <c r="H4" s="12">
        <v>0.75</v>
      </c>
      <c r="I4" s="12" t="s">
        <v>1085</v>
      </c>
      <c r="J4" s="13">
        <v>43748</v>
      </c>
    </row>
    <row r="5" spans="1:10" ht="36" customHeight="1">
      <c r="A5" s="9">
        <v>4</v>
      </c>
      <c r="B5" s="11" t="s">
        <v>3199</v>
      </c>
      <c r="C5" s="10" t="s">
        <v>1926</v>
      </c>
      <c r="D5" s="10" t="s">
        <v>3009</v>
      </c>
      <c r="E5" s="9">
        <v>420</v>
      </c>
      <c r="F5" s="10">
        <v>38000</v>
      </c>
      <c r="G5" s="12" t="s">
        <v>3003</v>
      </c>
      <c r="H5" s="12">
        <v>0.7</v>
      </c>
      <c r="I5" s="12" t="s">
        <v>1085</v>
      </c>
      <c r="J5" s="13">
        <v>44214</v>
      </c>
    </row>
    <row r="36" spans="1:19" s="6" customFormat="1">
      <c r="A36" s="6" t="s">
        <v>753</v>
      </c>
      <c r="B36" s="6" t="s">
        <v>3010</v>
      </c>
      <c r="D36" s="6" t="s">
        <v>2569</v>
      </c>
      <c r="E36" s="6" t="s">
        <v>2571</v>
      </c>
      <c r="F36" s="6" t="s">
        <v>2572</v>
      </c>
      <c r="G36" s="6" t="s">
        <v>2573</v>
      </c>
      <c r="H36" s="6" t="s">
        <v>1970</v>
      </c>
      <c r="I36" s="6" t="s">
        <v>2574</v>
      </c>
      <c r="J36" s="6" t="s">
        <v>2575</v>
      </c>
      <c r="K36" s="6" t="s">
        <v>2576</v>
      </c>
      <c r="L36" s="6" t="s">
        <v>2981</v>
      </c>
      <c r="M36" s="6" t="s">
        <v>2579</v>
      </c>
      <c r="N36" s="6" t="s">
        <v>2982</v>
      </c>
      <c r="O36" s="6" t="s">
        <v>2581</v>
      </c>
      <c r="P36" s="6" t="s">
        <v>2583</v>
      </c>
      <c r="Q36" s="6" t="s">
        <v>2584</v>
      </c>
      <c r="R36" s="6" t="s">
        <v>2580</v>
      </c>
      <c r="S36" s="6" t="s">
        <v>2585</v>
      </c>
    </row>
    <row r="37" spans="1:19" s="6" customFormat="1">
      <c r="D37" s="6" t="s">
        <v>3011</v>
      </c>
      <c r="E37" s="6" t="s">
        <v>2589</v>
      </c>
      <c r="F37" s="6">
        <v>41608.92</v>
      </c>
      <c r="G37" s="6">
        <v>110813.27</v>
      </c>
      <c r="H37" s="6" t="s">
        <v>3012</v>
      </c>
      <c r="I37" s="6" t="s">
        <v>2591</v>
      </c>
      <c r="J37" s="6" t="s">
        <v>2741</v>
      </c>
      <c r="K37" s="6" t="s">
        <v>2593</v>
      </c>
      <c r="L37" s="6" t="s">
        <v>2620</v>
      </c>
      <c r="M37" s="6" t="s">
        <v>2595</v>
      </c>
      <c r="N37" s="6">
        <v>616000</v>
      </c>
      <c r="O37" s="6">
        <v>644000</v>
      </c>
      <c r="P37" s="6">
        <v>58115.77</v>
      </c>
      <c r="Q37" s="6">
        <v>4.55</v>
      </c>
      <c r="R37" s="6" t="s">
        <v>3013</v>
      </c>
      <c r="S37" s="6" t="s">
        <v>2606</v>
      </c>
    </row>
    <row r="38" spans="1:19" s="6" customFormat="1">
      <c r="D38" s="6" t="s">
        <v>3014</v>
      </c>
      <c r="E38" s="6" t="s">
        <v>2599</v>
      </c>
      <c r="F38" s="6">
        <v>13681.37</v>
      </c>
      <c r="G38" s="6">
        <v>38307.82</v>
      </c>
      <c r="H38" s="6" t="s">
        <v>2600</v>
      </c>
      <c r="I38" s="6" t="s">
        <v>2591</v>
      </c>
      <c r="J38" s="6" t="s">
        <v>2646</v>
      </c>
      <c r="K38" s="6">
        <v>0</v>
      </c>
      <c r="L38" s="6" t="s">
        <v>3015</v>
      </c>
      <c r="M38" s="6" t="s">
        <v>3015</v>
      </c>
      <c r="N38" s="6">
        <v>173500</v>
      </c>
      <c r="O38" s="6">
        <v>179000</v>
      </c>
      <c r="P38" s="6">
        <v>46726.75</v>
      </c>
      <c r="Q38" s="6">
        <v>3.17</v>
      </c>
      <c r="R38" s="6" t="s">
        <v>3016</v>
      </c>
      <c r="S38" s="6" t="s">
        <v>2601</v>
      </c>
    </row>
    <row r="39" spans="1:19" s="6" customFormat="1">
      <c r="D39" s="6" t="s">
        <v>3017</v>
      </c>
      <c r="E39" s="6" t="s">
        <v>2589</v>
      </c>
      <c r="F39" s="6">
        <v>101127.8</v>
      </c>
      <c r="G39" s="6">
        <v>155908</v>
      </c>
      <c r="H39" s="6" t="s">
        <v>3018</v>
      </c>
      <c r="I39" s="6" t="s">
        <v>2591</v>
      </c>
      <c r="J39" s="6" t="s">
        <v>3019</v>
      </c>
      <c r="K39" s="6">
        <v>0</v>
      </c>
      <c r="L39" s="6" t="s">
        <v>3020</v>
      </c>
      <c r="M39" s="6" t="s">
        <v>3020</v>
      </c>
      <c r="N39" s="6">
        <v>555600</v>
      </c>
      <c r="O39" s="6">
        <v>555600</v>
      </c>
      <c r="P39" s="6">
        <v>35636.400000000001</v>
      </c>
      <c r="Q39" s="6">
        <v>0</v>
      </c>
      <c r="R39" s="6" t="s">
        <v>3021</v>
      </c>
      <c r="S39" s="6" t="s">
        <v>2597</v>
      </c>
    </row>
    <row r="40" spans="1:19" s="6" customFormat="1">
      <c r="D40" s="6" t="s">
        <v>3022</v>
      </c>
      <c r="E40" s="6" t="s">
        <v>2589</v>
      </c>
      <c r="F40" s="6">
        <v>73884.72</v>
      </c>
      <c r="G40" s="6">
        <v>267169.69</v>
      </c>
      <c r="H40" s="6" t="s">
        <v>3023</v>
      </c>
      <c r="I40" s="6" t="s">
        <v>2591</v>
      </c>
      <c r="J40" s="6" t="s">
        <v>3024</v>
      </c>
      <c r="K40" s="6">
        <v>0</v>
      </c>
      <c r="L40" s="6" t="s">
        <v>3025</v>
      </c>
      <c r="M40" s="6" t="s">
        <v>3025</v>
      </c>
      <c r="N40" s="6">
        <v>697800</v>
      </c>
      <c r="O40" s="6">
        <v>697800</v>
      </c>
      <c r="P40" s="6">
        <v>26118.22</v>
      </c>
      <c r="Q40" s="6">
        <v>0</v>
      </c>
      <c r="R40" s="6" t="s">
        <v>3016</v>
      </c>
      <c r="S40" s="6" t="s">
        <v>2601</v>
      </c>
    </row>
    <row r="41" spans="1:19" s="6" customFormat="1">
      <c r="D41" s="6" t="s">
        <v>3026</v>
      </c>
      <c r="E41" s="6" t="s">
        <v>2589</v>
      </c>
      <c r="F41" s="6">
        <v>38379.370000000003</v>
      </c>
      <c r="G41" s="6">
        <v>117825</v>
      </c>
      <c r="H41" s="6" t="s">
        <v>3027</v>
      </c>
      <c r="I41" s="6" t="s">
        <v>2591</v>
      </c>
      <c r="J41" s="6" t="s">
        <v>2848</v>
      </c>
      <c r="K41" s="6">
        <v>0</v>
      </c>
      <c r="L41" s="6" t="s">
        <v>2751</v>
      </c>
      <c r="M41" s="6" t="s">
        <v>2751</v>
      </c>
      <c r="N41" s="6">
        <v>297500</v>
      </c>
      <c r="O41" s="6">
        <v>297500</v>
      </c>
      <c r="P41" s="6">
        <v>25249.31</v>
      </c>
      <c r="Q41" s="6">
        <v>0</v>
      </c>
      <c r="R41" s="6" t="s">
        <v>3028</v>
      </c>
      <c r="S41" s="6" t="s">
        <v>2597</v>
      </c>
    </row>
    <row r="42" spans="1:19" s="6" customFormat="1">
      <c r="D42" s="6" t="s">
        <v>3029</v>
      </c>
      <c r="E42" s="6" t="s">
        <v>2599</v>
      </c>
      <c r="F42" s="6">
        <v>26794.69</v>
      </c>
      <c r="G42" s="6">
        <v>75025</v>
      </c>
      <c r="H42" s="6" t="s">
        <v>2600</v>
      </c>
      <c r="I42" s="6" t="s">
        <v>2591</v>
      </c>
      <c r="J42" s="6" t="s">
        <v>1513</v>
      </c>
      <c r="K42" s="6">
        <v>0</v>
      </c>
      <c r="L42" s="6" t="s">
        <v>3030</v>
      </c>
      <c r="M42" s="6" t="s">
        <v>3030</v>
      </c>
      <c r="N42" s="6">
        <v>310000</v>
      </c>
      <c r="O42" s="6">
        <v>365000</v>
      </c>
      <c r="P42" s="6">
        <v>48650.44</v>
      </c>
      <c r="Q42" s="6">
        <v>17.739999999999998</v>
      </c>
      <c r="R42" s="6" t="s">
        <v>3031</v>
      </c>
      <c r="S42" s="6" t="s">
        <v>2597</v>
      </c>
    </row>
    <row r="43" spans="1:19" s="6" customFormat="1">
      <c r="D43" s="6" t="s">
        <v>3032</v>
      </c>
      <c r="E43" s="6" t="s">
        <v>2599</v>
      </c>
      <c r="F43" s="6">
        <v>23302.84</v>
      </c>
      <c r="G43" s="6">
        <v>65248</v>
      </c>
      <c r="H43" s="6" t="s">
        <v>2600</v>
      </c>
      <c r="I43" s="6" t="s">
        <v>2591</v>
      </c>
      <c r="J43" s="6" t="s">
        <v>1513</v>
      </c>
      <c r="K43" s="6">
        <v>0</v>
      </c>
      <c r="L43" s="6" t="s">
        <v>3030</v>
      </c>
      <c r="M43" s="6" t="s">
        <v>3030</v>
      </c>
      <c r="N43" s="6">
        <v>270000</v>
      </c>
      <c r="O43" s="6">
        <v>340000</v>
      </c>
      <c r="P43" s="6">
        <v>52108.87</v>
      </c>
      <c r="Q43" s="6">
        <v>25.93</v>
      </c>
      <c r="R43" s="6" t="s">
        <v>3033</v>
      </c>
      <c r="S43" s="6" t="s">
        <v>2597</v>
      </c>
    </row>
    <row r="44" spans="1:19" s="6" customFormat="1">
      <c r="D44" s="6" t="s">
        <v>3034</v>
      </c>
      <c r="E44" s="6" t="s">
        <v>2589</v>
      </c>
      <c r="F44" s="6">
        <v>61068.41</v>
      </c>
      <c r="G44" s="6">
        <v>148649</v>
      </c>
      <c r="H44" s="6" t="s">
        <v>3035</v>
      </c>
      <c r="I44" s="6" t="s">
        <v>2591</v>
      </c>
      <c r="J44" s="6" t="s">
        <v>3036</v>
      </c>
      <c r="K44" s="6">
        <v>0</v>
      </c>
      <c r="L44" s="6" t="s">
        <v>3037</v>
      </c>
      <c r="M44" s="6" t="s">
        <v>3037</v>
      </c>
      <c r="N44" s="6">
        <v>510000</v>
      </c>
      <c r="O44" s="6">
        <v>510000</v>
      </c>
      <c r="P44" s="6">
        <v>34309.01</v>
      </c>
      <c r="Q44" s="6">
        <v>0</v>
      </c>
      <c r="R44" s="6" t="s">
        <v>3038</v>
      </c>
      <c r="S44" s="6" t="s">
        <v>2597</v>
      </c>
    </row>
    <row r="45" spans="1:19" s="6" customFormat="1">
      <c r="D45" s="6" t="s">
        <v>3039</v>
      </c>
      <c r="E45" s="6" t="s">
        <v>2589</v>
      </c>
      <c r="F45" s="6">
        <v>64377.39</v>
      </c>
      <c r="G45" s="6">
        <v>214138</v>
      </c>
      <c r="H45" s="6" t="s">
        <v>3040</v>
      </c>
      <c r="I45" s="6" t="s">
        <v>2591</v>
      </c>
      <c r="J45" s="6" t="s">
        <v>3041</v>
      </c>
      <c r="K45" s="6">
        <v>0</v>
      </c>
      <c r="L45" s="6" t="s">
        <v>2790</v>
      </c>
      <c r="M45" s="6" t="s">
        <v>2790</v>
      </c>
      <c r="N45" s="6">
        <v>657500</v>
      </c>
      <c r="O45" s="6">
        <v>734000</v>
      </c>
      <c r="P45" s="6">
        <v>34276.949999999997</v>
      </c>
      <c r="Q45" s="6">
        <v>11.63</v>
      </c>
      <c r="R45" s="6" t="s">
        <v>3042</v>
      </c>
      <c r="S45" s="6" t="s">
        <v>2597</v>
      </c>
    </row>
    <row r="46" spans="1:19" s="6" customFormat="1">
      <c r="D46" s="6" t="s">
        <v>3043</v>
      </c>
      <c r="E46" s="6" t="s">
        <v>2589</v>
      </c>
      <c r="F46" s="6">
        <v>48463.79</v>
      </c>
      <c r="G46" s="6">
        <v>116359</v>
      </c>
      <c r="H46" s="6">
        <v>2.4</v>
      </c>
      <c r="I46" s="6" t="s">
        <v>2591</v>
      </c>
      <c r="J46" s="6" t="s">
        <v>2592</v>
      </c>
      <c r="K46" s="6">
        <v>0</v>
      </c>
      <c r="L46" s="6" t="s">
        <v>3044</v>
      </c>
      <c r="M46" s="6" t="s">
        <v>3044</v>
      </c>
      <c r="N46" s="6">
        <v>495300</v>
      </c>
      <c r="O46" s="6">
        <v>495300</v>
      </c>
      <c r="P46" s="6">
        <v>42566.54</v>
      </c>
      <c r="Q46" s="6">
        <v>0</v>
      </c>
      <c r="R46" s="6" t="s">
        <v>3045</v>
      </c>
      <c r="S46" s="6" t="s">
        <v>2597</v>
      </c>
    </row>
    <row r="47" spans="1:19" s="7" customFormat="1" ht="24">
      <c r="A47" s="7">
        <f>B47*10000/G47</f>
        <v>12108.517273027501</v>
      </c>
      <c r="B47" s="7">
        <v>53088.68</v>
      </c>
      <c r="C47" s="11" t="s">
        <v>3008</v>
      </c>
      <c r="D47" s="7" t="s">
        <v>3194</v>
      </c>
      <c r="E47" s="7" t="s">
        <v>2599</v>
      </c>
      <c r="F47" s="7">
        <v>17006.62</v>
      </c>
      <c r="G47" s="7">
        <v>43844.08</v>
      </c>
      <c r="H47" s="7">
        <v>2.58</v>
      </c>
      <c r="I47" s="7" t="s">
        <v>2631</v>
      </c>
      <c r="J47" s="7" t="s">
        <v>1513</v>
      </c>
      <c r="K47" s="7">
        <v>0</v>
      </c>
      <c r="L47" s="7" t="s">
        <v>2985</v>
      </c>
      <c r="M47" s="7" t="s">
        <v>2985</v>
      </c>
      <c r="N47" s="7" t="s">
        <v>2559</v>
      </c>
      <c r="O47" s="7">
        <v>98500</v>
      </c>
      <c r="P47" s="14">
        <v>22465.97</v>
      </c>
      <c r="Q47" s="7" t="s">
        <v>2559</v>
      </c>
      <c r="R47" s="7" t="s">
        <v>2986</v>
      </c>
      <c r="S47" s="7" t="s">
        <v>2597</v>
      </c>
    </row>
    <row r="48" spans="1:19" s="7" customFormat="1">
      <c r="A48" s="7">
        <f>B48*10000/G48</f>
        <v>25951.758277712299</v>
      </c>
      <c r="B48" s="7">
        <v>396594.77</v>
      </c>
      <c r="C48" s="11" t="s">
        <v>3006</v>
      </c>
      <c r="D48" s="7" t="s">
        <v>3193</v>
      </c>
      <c r="E48" s="7" t="s">
        <v>2599</v>
      </c>
      <c r="F48" s="7">
        <v>61127.91</v>
      </c>
      <c r="G48" s="7">
        <v>152820</v>
      </c>
      <c r="H48" s="7">
        <v>2.5</v>
      </c>
      <c r="I48" s="7" t="s">
        <v>2591</v>
      </c>
      <c r="J48" s="7" t="s">
        <v>1513</v>
      </c>
      <c r="K48" s="7">
        <v>0</v>
      </c>
      <c r="L48" s="7" t="s">
        <v>3047</v>
      </c>
      <c r="M48" s="7" t="s">
        <v>3047</v>
      </c>
      <c r="N48" s="7">
        <v>483400</v>
      </c>
      <c r="O48" s="7">
        <v>483400</v>
      </c>
      <c r="P48" s="14">
        <v>31631.99</v>
      </c>
      <c r="Q48" s="7">
        <v>0</v>
      </c>
      <c r="R48" s="7" t="s">
        <v>3048</v>
      </c>
      <c r="S48" s="7" t="s">
        <v>2597</v>
      </c>
    </row>
    <row r="49" spans="1:19" s="6" customFormat="1">
      <c r="D49" s="6" t="s">
        <v>3049</v>
      </c>
      <c r="E49" s="6" t="s">
        <v>2589</v>
      </c>
      <c r="F49" s="6">
        <v>202550.5</v>
      </c>
      <c r="G49" s="6">
        <v>346496</v>
      </c>
      <c r="H49" s="6">
        <v>1.7</v>
      </c>
      <c r="I49" s="6" t="s">
        <v>2591</v>
      </c>
      <c r="J49" s="6" t="s">
        <v>3050</v>
      </c>
      <c r="K49" s="6">
        <v>0</v>
      </c>
      <c r="L49" s="6" t="s">
        <v>3051</v>
      </c>
      <c r="M49" s="6" t="s">
        <v>3051</v>
      </c>
      <c r="N49" s="6">
        <v>694000</v>
      </c>
      <c r="O49" s="6">
        <v>780000</v>
      </c>
      <c r="P49" s="6">
        <v>22511.08</v>
      </c>
      <c r="Q49" s="6">
        <v>12.39</v>
      </c>
      <c r="R49" s="6" t="s">
        <v>3052</v>
      </c>
      <c r="S49" s="6" t="s">
        <v>2606</v>
      </c>
    </row>
    <row r="50" spans="1:19" s="6" customFormat="1">
      <c r="D50" s="6" t="s">
        <v>3053</v>
      </c>
      <c r="E50" s="6" t="s">
        <v>2589</v>
      </c>
      <c r="F50" s="6">
        <v>216429.7</v>
      </c>
      <c r="G50" s="6">
        <v>347895</v>
      </c>
      <c r="H50" s="6">
        <v>1.607</v>
      </c>
      <c r="I50" s="6" t="s">
        <v>2591</v>
      </c>
      <c r="J50" s="6" t="s">
        <v>3054</v>
      </c>
      <c r="K50" s="6">
        <v>0</v>
      </c>
      <c r="L50" s="6" t="s">
        <v>3055</v>
      </c>
      <c r="M50" s="6" t="s">
        <v>3055</v>
      </c>
      <c r="N50" s="6">
        <v>719000</v>
      </c>
      <c r="O50" s="6">
        <v>860000</v>
      </c>
      <c r="P50" s="6">
        <v>24720.09</v>
      </c>
      <c r="Q50" s="6">
        <v>19.61</v>
      </c>
      <c r="R50" s="6" t="s">
        <v>3056</v>
      </c>
      <c r="S50" s="6" t="s">
        <v>2606</v>
      </c>
    </row>
    <row r="51" spans="1:19" s="7" customFormat="1" ht="24">
      <c r="A51" s="7">
        <f>B51*10000/G51</f>
        <v>15165.911291341001</v>
      </c>
      <c r="B51" s="7">
        <v>108082.9</v>
      </c>
      <c r="C51" s="11" t="s">
        <v>3004</v>
      </c>
      <c r="D51" s="7" t="s">
        <v>3192</v>
      </c>
      <c r="E51" s="7" t="s">
        <v>2599</v>
      </c>
      <c r="F51" s="7">
        <v>25399.58</v>
      </c>
      <c r="G51" s="7">
        <v>71267</v>
      </c>
      <c r="H51" s="7">
        <v>2.8</v>
      </c>
      <c r="I51" s="7" t="s">
        <v>2591</v>
      </c>
      <c r="J51" s="7" t="s">
        <v>1513</v>
      </c>
      <c r="K51" s="7">
        <v>0</v>
      </c>
      <c r="L51" s="7" t="s">
        <v>3057</v>
      </c>
      <c r="M51" s="7" t="s">
        <v>3057</v>
      </c>
      <c r="N51" s="7">
        <v>160000</v>
      </c>
      <c r="O51" s="7">
        <v>206500</v>
      </c>
      <c r="P51" s="14">
        <v>28975.54</v>
      </c>
      <c r="Q51" s="7">
        <v>29.06</v>
      </c>
      <c r="R51" s="7" t="s">
        <v>3058</v>
      </c>
      <c r="S51" s="7" t="s">
        <v>2606</v>
      </c>
    </row>
    <row r="52" spans="1:19" s="7" customFormat="1">
      <c r="A52" s="7">
        <f>B52*10000/G52</f>
        <v>13269.181506139301</v>
      </c>
      <c r="B52" s="7">
        <v>57600.19</v>
      </c>
      <c r="C52" s="11" t="s">
        <v>3001</v>
      </c>
      <c r="D52" s="7" t="s">
        <v>3191</v>
      </c>
      <c r="E52" s="7" t="s">
        <v>3195</v>
      </c>
      <c r="F52" s="7">
        <v>27130.69</v>
      </c>
      <c r="G52" s="7">
        <v>43409</v>
      </c>
      <c r="H52" s="7">
        <v>1.6</v>
      </c>
      <c r="I52" s="7" t="s">
        <v>2591</v>
      </c>
      <c r="J52" s="7" t="s">
        <v>1513</v>
      </c>
      <c r="K52" s="7">
        <v>0</v>
      </c>
      <c r="L52" s="7" t="s">
        <v>3059</v>
      </c>
      <c r="M52" s="7" t="s">
        <v>3059</v>
      </c>
      <c r="N52" s="7">
        <v>85000</v>
      </c>
      <c r="O52" s="7">
        <v>123500</v>
      </c>
      <c r="P52" s="14">
        <v>28450.31</v>
      </c>
      <c r="Q52" s="7">
        <v>45.29</v>
      </c>
      <c r="R52" s="7" t="s">
        <v>3060</v>
      </c>
      <c r="S52" s="7" t="s">
        <v>2601</v>
      </c>
    </row>
    <row r="53" spans="1:19" s="6" customFormat="1">
      <c r="D53" s="6" t="s">
        <v>3061</v>
      </c>
      <c r="E53" s="6" t="s">
        <v>2589</v>
      </c>
      <c r="F53" s="6">
        <v>289526.8</v>
      </c>
      <c r="G53" s="6">
        <v>979900</v>
      </c>
      <c r="H53" s="6" t="s">
        <v>3062</v>
      </c>
      <c r="I53" s="6" t="s">
        <v>2631</v>
      </c>
      <c r="J53" s="6" t="s">
        <v>3063</v>
      </c>
      <c r="K53" s="6">
        <v>0</v>
      </c>
      <c r="L53" s="6" t="s">
        <v>3064</v>
      </c>
      <c r="M53" s="6" t="s">
        <v>3064</v>
      </c>
      <c r="N53" s="6" t="s">
        <v>2559</v>
      </c>
      <c r="O53" s="6">
        <v>1852637</v>
      </c>
      <c r="P53" s="6">
        <v>18906.38</v>
      </c>
      <c r="Q53" s="6" t="s">
        <v>2559</v>
      </c>
      <c r="R53" s="6" t="s">
        <v>3065</v>
      </c>
      <c r="S53" s="6" t="s">
        <v>2601</v>
      </c>
    </row>
    <row r="54" spans="1:19" s="6" customFormat="1">
      <c r="D54" s="6" t="s">
        <v>3066</v>
      </c>
      <c r="E54" s="6" t="s">
        <v>2589</v>
      </c>
      <c r="F54" s="6">
        <v>106573.7</v>
      </c>
      <c r="G54" s="6">
        <v>334883</v>
      </c>
      <c r="H54" s="6">
        <v>3.14</v>
      </c>
      <c r="I54" s="6" t="s">
        <v>2591</v>
      </c>
      <c r="J54" s="6" t="s">
        <v>3041</v>
      </c>
      <c r="K54" s="6">
        <v>0</v>
      </c>
      <c r="L54" s="6" t="s">
        <v>3067</v>
      </c>
      <c r="M54" s="6" t="s">
        <v>3067</v>
      </c>
      <c r="N54" s="6">
        <v>460000</v>
      </c>
      <c r="O54" s="6">
        <v>590000</v>
      </c>
      <c r="P54" s="6">
        <v>17618.09</v>
      </c>
      <c r="Q54" s="6">
        <v>28.26</v>
      </c>
      <c r="R54" s="6" t="s">
        <v>3068</v>
      </c>
      <c r="S54" s="6" t="s">
        <v>2597</v>
      </c>
    </row>
    <row r="55" spans="1:19" s="6" customFormat="1">
      <c r="D55" s="6" t="s">
        <v>3069</v>
      </c>
      <c r="E55" s="6" t="s">
        <v>2589</v>
      </c>
      <c r="F55" s="6">
        <v>116645.8</v>
      </c>
      <c r="G55" s="6">
        <v>151706</v>
      </c>
      <c r="H55" s="6">
        <v>1.3</v>
      </c>
      <c r="I55" s="6" t="s">
        <v>2591</v>
      </c>
      <c r="J55" s="6" t="s">
        <v>3070</v>
      </c>
      <c r="K55" s="6">
        <v>0</v>
      </c>
      <c r="L55" s="6" t="s">
        <v>3071</v>
      </c>
      <c r="M55" s="6" t="s">
        <v>3071</v>
      </c>
      <c r="N55" s="6">
        <v>330000</v>
      </c>
      <c r="O55" s="6">
        <v>491700</v>
      </c>
      <c r="P55" s="6">
        <v>32411.360000000001</v>
      </c>
      <c r="Q55" s="6">
        <v>49</v>
      </c>
      <c r="R55" s="6" t="s">
        <v>3072</v>
      </c>
      <c r="S55" s="6" t="s">
        <v>2597</v>
      </c>
    </row>
    <row r="56" spans="1:19" s="6" customFormat="1">
      <c r="D56" s="6" t="s">
        <v>3073</v>
      </c>
      <c r="E56" s="6" t="s">
        <v>2589</v>
      </c>
      <c r="F56" s="6">
        <v>38317.980000000003</v>
      </c>
      <c r="G56" s="6">
        <v>100690</v>
      </c>
      <c r="H56" s="6">
        <v>2.63</v>
      </c>
      <c r="I56" s="6" t="s">
        <v>2591</v>
      </c>
      <c r="J56" s="6" t="s">
        <v>2713</v>
      </c>
      <c r="K56" s="6">
        <v>0</v>
      </c>
      <c r="L56" s="6" t="s">
        <v>3074</v>
      </c>
      <c r="M56" s="6" t="s">
        <v>3074</v>
      </c>
      <c r="N56" s="6">
        <v>158000</v>
      </c>
      <c r="O56" s="6">
        <v>158000</v>
      </c>
      <c r="P56" s="6">
        <v>15691.72</v>
      </c>
      <c r="Q56" s="6">
        <v>0</v>
      </c>
      <c r="R56" s="6" t="s">
        <v>3075</v>
      </c>
      <c r="S56" s="6" t="s">
        <v>2601</v>
      </c>
    </row>
    <row r="57" spans="1:19" s="6" customFormat="1">
      <c r="D57" s="6" t="s">
        <v>3076</v>
      </c>
      <c r="E57" s="6" t="s">
        <v>2589</v>
      </c>
      <c r="F57" s="6">
        <v>111501</v>
      </c>
      <c r="G57" s="6">
        <v>355890</v>
      </c>
      <c r="H57" s="6" t="s">
        <v>3077</v>
      </c>
      <c r="I57" s="6" t="s">
        <v>2631</v>
      </c>
      <c r="J57" s="6" t="s">
        <v>3078</v>
      </c>
      <c r="K57" s="6">
        <v>0</v>
      </c>
      <c r="L57" s="6" t="s">
        <v>3079</v>
      </c>
      <c r="M57" s="6" t="s">
        <v>3079</v>
      </c>
      <c r="N57" s="6" t="s">
        <v>2559</v>
      </c>
      <c r="O57" s="6">
        <v>381201</v>
      </c>
      <c r="P57" s="6">
        <v>10711.2</v>
      </c>
      <c r="Q57" s="6" t="s">
        <v>2559</v>
      </c>
      <c r="R57" s="6" t="s">
        <v>3080</v>
      </c>
      <c r="S57" s="6" t="s">
        <v>2597</v>
      </c>
    </row>
    <row r="58" spans="1:19" s="6" customFormat="1">
      <c r="D58" s="6" t="s">
        <v>3081</v>
      </c>
      <c r="E58" s="6" t="s">
        <v>2589</v>
      </c>
      <c r="F58" s="6">
        <v>103357</v>
      </c>
      <c r="G58" s="6">
        <v>318121</v>
      </c>
      <c r="H58" s="6" t="s">
        <v>3082</v>
      </c>
      <c r="I58" s="6" t="s">
        <v>2631</v>
      </c>
      <c r="J58" s="6" t="s">
        <v>3083</v>
      </c>
      <c r="K58" s="6">
        <v>0</v>
      </c>
      <c r="L58" s="6" t="s">
        <v>3079</v>
      </c>
      <c r="M58" s="6" t="s">
        <v>3079</v>
      </c>
      <c r="N58" s="6" t="s">
        <v>2559</v>
      </c>
      <c r="O58" s="6">
        <v>330000</v>
      </c>
      <c r="P58" s="6">
        <v>10373.4</v>
      </c>
      <c r="Q58" s="6" t="s">
        <v>2559</v>
      </c>
      <c r="R58" s="6" t="s">
        <v>2871</v>
      </c>
      <c r="S58" s="6" t="s">
        <v>2597</v>
      </c>
    </row>
    <row r="59" spans="1:19" s="6" customFormat="1">
      <c r="D59" s="6" t="s">
        <v>3084</v>
      </c>
      <c r="E59" s="6" t="s">
        <v>2589</v>
      </c>
      <c r="F59" s="6">
        <v>38097.08</v>
      </c>
      <c r="G59" s="6">
        <v>133701</v>
      </c>
      <c r="H59" s="6">
        <v>2.5099999999999998</v>
      </c>
      <c r="I59" s="6" t="s">
        <v>2631</v>
      </c>
      <c r="J59" s="6" t="s">
        <v>3070</v>
      </c>
      <c r="K59" s="6">
        <v>0</v>
      </c>
      <c r="L59" s="6" t="s">
        <v>3085</v>
      </c>
      <c r="M59" s="6" t="s">
        <v>3085</v>
      </c>
      <c r="N59" s="6" t="s">
        <v>2559</v>
      </c>
      <c r="O59" s="6">
        <v>201800</v>
      </c>
      <c r="P59" s="6">
        <v>15093.37</v>
      </c>
      <c r="Q59" s="6" t="s">
        <v>2559</v>
      </c>
      <c r="R59" s="6" t="s">
        <v>3065</v>
      </c>
      <c r="S59" s="6" t="s">
        <v>2597</v>
      </c>
    </row>
    <row r="60" spans="1:19" s="6" customFormat="1">
      <c r="D60" s="6" t="s">
        <v>3086</v>
      </c>
      <c r="E60" s="6" t="s">
        <v>2599</v>
      </c>
      <c r="F60" s="6">
        <v>23600</v>
      </c>
      <c r="G60" s="6">
        <v>35400</v>
      </c>
      <c r="H60" s="6">
        <v>1.5</v>
      </c>
      <c r="I60" s="6" t="s">
        <v>2631</v>
      </c>
      <c r="J60" s="6" t="s">
        <v>3087</v>
      </c>
      <c r="K60" s="6">
        <v>0</v>
      </c>
      <c r="L60" s="6" t="s">
        <v>3088</v>
      </c>
      <c r="M60" s="6" t="s">
        <v>3088</v>
      </c>
      <c r="N60" s="6">
        <v>14400</v>
      </c>
      <c r="O60" s="6">
        <v>25000</v>
      </c>
      <c r="P60" s="6">
        <v>7062.14</v>
      </c>
      <c r="Q60" s="6">
        <v>73.61</v>
      </c>
      <c r="R60" s="6" t="s">
        <v>3089</v>
      </c>
      <c r="S60" s="6" t="s">
        <v>2597</v>
      </c>
    </row>
    <row r="61" spans="1:19" s="6" customFormat="1">
      <c r="D61" s="6" t="s">
        <v>3090</v>
      </c>
      <c r="E61" s="6" t="s">
        <v>2589</v>
      </c>
      <c r="F61" s="6">
        <v>40985</v>
      </c>
      <c r="G61" s="6">
        <v>140578.5</v>
      </c>
      <c r="H61" s="6">
        <v>3.4</v>
      </c>
      <c r="I61" s="6" t="s">
        <v>2591</v>
      </c>
      <c r="J61" s="6" t="s">
        <v>3091</v>
      </c>
      <c r="K61" s="6">
        <v>0</v>
      </c>
      <c r="L61" s="6" t="s">
        <v>3092</v>
      </c>
      <c r="M61" s="6" t="s">
        <v>3092</v>
      </c>
      <c r="N61" s="6">
        <v>73775</v>
      </c>
      <c r="O61" s="6">
        <v>74825</v>
      </c>
      <c r="P61" s="6">
        <v>5322.64</v>
      </c>
      <c r="Q61" s="6">
        <v>1.42</v>
      </c>
      <c r="R61" s="6" t="s">
        <v>3093</v>
      </c>
      <c r="S61" s="6" t="s">
        <v>2597</v>
      </c>
    </row>
    <row r="62" spans="1:19" s="6" customFormat="1">
      <c r="D62" s="6" t="s">
        <v>3094</v>
      </c>
      <c r="E62" s="6" t="s">
        <v>2589</v>
      </c>
      <c r="F62" s="6">
        <v>8532.43</v>
      </c>
      <c r="G62" s="6">
        <v>21331.07</v>
      </c>
      <c r="H62" s="6">
        <v>2.5</v>
      </c>
      <c r="I62" s="6" t="s">
        <v>2591</v>
      </c>
      <c r="J62" s="6" t="s">
        <v>3091</v>
      </c>
      <c r="K62" s="6">
        <v>0</v>
      </c>
      <c r="L62" s="6" t="s">
        <v>3095</v>
      </c>
      <c r="M62" s="6" t="s">
        <v>3095</v>
      </c>
      <c r="N62" s="6">
        <v>8160</v>
      </c>
      <c r="O62" s="6">
        <v>8260</v>
      </c>
      <c r="P62" s="6">
        <v>3872.28</v>
      </c>
      <c r="Q62" s="6">
        <v>1.23</v>
      </c>
      <c r="R62" s="6" t="s">
        <v>3096</v>
      </c>
      <c r="S62" s="6" t="s">
        <v>2597</v>
      </c>
    </row>
    <row r="63" spans="1:19" s="6" customFormat="1">
      <c r="D63" s="6" t="s">
        <v>3097</v>
      </c>
      <c r="E63" s="6" t="s">
        <v>2589</v>
      </c>
      <c r="F63" s="6">
        <v>12305.81</v>
      </c>
      <c r="G63" s="6">
        <v>25125</v>
      </c>
      <c r="H63" s="6">
        <v>2</v>
      </c>
      <c r="I63" s="6" t="s">
        <v>2631</v>
      </c>
      <c r="J63" s="6" t="s">
        <v>3091</v>
      </c>
      <c r="K63" s="6">
        <v>0</v>
      </c>
      <c r="L63" s="6" t="s">
        <v>3098</v>
      </c>
      <c r="M63" s="6" t="s">
        <v>3098</v>
      </c>
      <c r="N63" s="6" t="s">
        <v>2559</v>
      </c>
      <c r="O63" s="6">
        <v>5373</v>
      </c>
      <c r="P63" s="6">
        <v>2138.5100000000002</v>
      </c>
      <c r="Q63" s="6" t="s">
        <v>2559</v>
      </c>
      <c r="R63" s="6" t="s">
        <v>3099</v>
      </c>
      <c r="S63" s="6" t="s">
        <v>2597</v>
      </c>
    </row>
    <row r="64" spans="1:19" s="6" customFormat="1">
      <c r="D64" s="6" t="s">
        <v>3100</v>
      </c>
      <c r="E64" s="6" t="s">
        <v>2589</v>
      </c>
      <c r="F64" s="6">
        <v>137589</v>
      </c>
      <c r="G64" s="6">
        <v>350742.3</v>
      </c>
      <c r="H64" s="6" t="s">
        <v>3101</v>
      </c>
      <c r="I64" s="6" t="s">
        <v>2631</v>
      </c>
      <c r="J64" s="6" t="s">
        <v>3102</v>
      </c>
      <c r="K64" s="6">
        <v>0</v>
      </c>
      <c r="L64" s="6" t="s">
        <v>3103</v>
      </c>
      <c r="M64" s="6" t="s">
        <v>3103</v>
      </c>
      <c r="N64" s="6" t="s">
        <v>2559</v>
      </c>
      <c r="O64" s="6">
        <v>122500</v>
      </c>
      <c r="P64" s="6">
        <v>3492.59</v>
      </c>
      <c r="Q64" s="6" t="s">
        <v>2559</v>
      </c>
      <c r="R64" s="6" t="s">
        <v>3104</v>
      </c>
      <c r="S64" s="6" t="s">
        <v>2606</v>
      </c>
    </row>
    <row r="65" spans="4:19" s="6" customFormat="1">
      <c r="D65" s="6" t="s">
        <v>3105</v>
      </c>
      <c r="E65" s="6" t="s">
        <v>2589</v>
      </c>
      <c r="F65" s="6">
        <v>105663.2</v>
      </c>
      <c r="G65" s="6">
        <v>310050</v>
      </c>
      <c r="H65" s="6">
        <v>3</v>
      </c>
      <c r="I65" s="6" t="s">
        <v>2631</v>
      </c>
      <c r="J65" s="6" t="s">
        <v>3106</v>
      </c>
      <c r="K65" s="6">
        <v>0</v>
      </c>
      <c r="L65" s="6" t="s">
        <v>3107</v>
      </c>
      <c r="M65" s="6" t="s">
        <v>3107</v>
      </c>
      <c r="N65" s="6">
        <v>157800</v>
      </c>
      <c r="O65" s="6">
        <v>165000</v>
      </c>
      <c r="P65" s="6">
        <v>5321.72</v>
      </c>
      <c r="Q65" s="6">
        <v>4.5599999999999996</v>
      </c>
      <c r="R65" s="6" t="s">
        <v>3093</v>
      </c>
      <c r="S65" s="6" t="s">
        <v>2601</v>
      </c>
    </row>
    <row r="66" spans="4:19" s="6" customFormat="1">
      <c r="D66" s="6" t="s">
        <v>3108</v>
      </c>
      <c r="E66" s="6" t="s">
        <v>2599</v>
      </c>
      <c r="F66" s="6">
        <v>10468.299999999999</v>
      </c>
      <c r="G66" s="6">
        <v>52545</v>
      </c>
      <c r="H66" s="6">
        <v>5</v>
      </c>
      <c r="I66" s="6" t="s">
        <v>2631</v>
      </c>
      <c r="J66" s="6" t="s">
        <v>3109</v>
      </c>
      <c r="K66" s="6">
        <v>0</v>
      </c>
      <c r="L66" s="6" t="s">
        <v>3110</v>
      </c>
      <c r="M66" s="6" t="s">
        <v>3110</v>
      </c>
      <c r="N66" s="6">
        <v>18300</v>
      </c>
      <c r="O66" s="6">
        <v>22841</v>
      </c>
      <c r="P66" s="6">
        <v>4346.93</v>
      </c>
      <c r="Q66" s="6">
        <v>24.81</v>
      </c>
      <c r="R66" s="6" t="s">
        <v>3111</v>
      </c>
      <c r="S66" s="6" t="s">
        <v>2601</v>
      </c>
    </row>
    <row r="67" spans="4:19" s="6" customFormat="1">
      <c r="D67" s="6" t="s">
        <v>3112</v>
      </c>
      <c r="E67" s="6" t="s">
        <v>2589</v>
      </c>
      <c r="F67" s="6">
        <v>188130.1</v>
      </c>
      <c r="G67" s="6">
        <v>427200</v>
      </c>
      <c r="H67" s="6">
        <v>2.27</v>
      </c>
      <c r="I67" s="6" t="s">
        <v>2631</v>
      </c>
      <c r="J67" s="6" t="s">
        <v>3113</v>
      </c>
      <c r="K67" s="6">
        <v>0</v>
      </c>
      <c r="L67" s="6" t="s">
        <v>3114</v>
      </c>
      <c r="M67" s="6" t="s">
        <v>3114</v>
      </c>
      <c r="N67" s="6">
        <v>106400</v>
      </c>
      <c r="O67" s="6">
        <v>124800</v>
      </c>
      <c r="P67" s="6">
        <v>2921.34</v>
      </c>
      <c r="Q67" s="6">
        <v>17.29</v>
      </c>
      <c r="R67" s="6" t="s">
        <v>2986</v>
      </c>
      <c r="S67" s="6" t="s">
        <v>2597</v>
      </c>
    </row>
    <row r="68" spans="4:19" s="6" customFormat="1">
      <c r="D68" s="6" t="s">
        <v>3115</v>
      </c>
      <c r="E68" s="6" t="s">
        <v>2589</v>
      </c>
      <c r="F68" s="6">
        <v>46542</v>
      </c>
      <c r="G68" s="6">
        <v>154834.6</v>
      </c>
      <c r="H68" s="6">
        <v>3.33</v>
      </c>
      <c r="I68" s="6" t="s">
        <v>2631</v>
      </c>
      <c r="J68" s="6" t="s">
        <v>3116</v>
      </c>
      <c r="K68" s="6">
        <v>0</v>
      </c>
      <c r="L68" s="6" t="s">
        <v>3117</v>
      </c>
      <c r="M68" s="6" t="s">
        <v>3117</v>
      </c>
      <c r="N68" s="6" t="s">
        <v>2559</v>
      </c>
      <c r="O68" s="6">
        <v>43732.08</v>
      </c>
      <c r="P68" s="6">
        <v>2824.44</v>
      </c>
      <c r="Q68" s="6" t="s">
        <v>2559</v>
      </c>
      <c r="R68" s="6" t="s">
        <v>3118</v>
      </c>
      <c r="S68" s="6" t="s">
        <v>2601</v>
      </c>
    </row>
    <row r="69" spans="4:19" s="6" customFormat="1">
      <c r="D69" s="6" t="s">
        <v>3119</v>
      </c>
      <c r="E69" s="6" t="s">
        <v>2589</v>
      </c>
      <c r="F69" s="6">
        <v>5737</v>
      </c>
      <c r="G69" s="6">
        <v>6300</v>
      </c>
      <c r="H69" s="6">
        <v>1.6</v>
      </c>
      <c r="I69" s="6" t="s">
        <v>2591</v>
      </c>
      <c r="J69" s="6" t="s">
        <v>3120</v>
      </c>
      <c r="K69" s="6">
        <v>0</v>
      </c>
      <c r="L69" s="6" t="s">
        <v>3121</v>
      </c>
      <c r="M69" s="6" t="s">
        <v>3121</v>
      </c>
      <c r="N69" s="6">
        <v>1232.9100000000001</v>
      </c>
      <c r="O69" s="6">
        <v>1810</v>
      </c>
      <c r="P69" s="6">
        <v>2873.01</v>
      </c>
      <c r="Q69" s="6">
        <v>46.81</v>
      </c>
      <c r="R69" s="6" t="s">
        <v>3122</v>
      </c>
      <c r="S69" s="6" t="s">
        <v>2601</v>
      </c>
    </row>
  </sheetData>
  <phoneticPr fontId="22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E23" sqref="E23"/>
    </sheetView>
  </sheetViews>
  <sheetFormatPr defaultColWidth="9" defaultRowHeight="13.5"/>
  <cols>
    <col min="1" max="1" width="62.375" style="2" customWidth="1"/>
    <col min="2" max="2" width="6.25" style="2" customWidth="1"/>
    <col min="3" max="3" width="13.75" style="2" customWidth="1"/>
    <col min="4" max="4" width="12" style="2" customWidth="1"/>
    <col min="5" max="7" width="13.875" style="2" customWidth="1"/>
    <col min="8" max="8" width="9.875" style="2" customWidth="1"/>
    <col min="9" max="9" width="7.875" style="2" customWidth="1"/>
    <col min="10" max="10" width="15.375" style="2" customWidth="1"/>
    <col min="11" max="11" width="7.875" style="2" customWidth="1"/>
    <col min="12" max="13" width="9" style="2" customWidth="1"/>
    <col min="14" max="15" width="10.625" style="2" customWidth="1"/>
    <col min="16" max="16" width="14.375" style="2" customWidth="1"/>
    <col min="17" max="17" width="6.25" style="2" customWidth="1"/>
    <col min="18" max="18" width="74" style="2" customWidth="1"/>
    <col min="19" max="19" width="7.875" style="2" customWidth="1"/>
    <col min="20" max="258" width="9" style="2"/>
    <col min="259" max="259" width="97.25" style="2" customWidth="1"/>
    <col min="260" max="260" width="6.25" style="2" customWidth="1"/>
    <col min="261" max="263" width="13.875" style="2" customWidth="1"/>
    <col min="264" max="264" width="28" style="2" customWidth="1"/>
    <col min="265" max="265" width="7.875" style="2" customWidth="1"/>
    <col min="266" max="266" width="50.75" style="2" customWidth="1"/>
    <col min="267" max="267" width="7.875" style="2" customWidth="1"/>
    <col min="268" max="269" width="9" style="2" customWidth="1"/>
    <col min="270" max="271" width="10.625" style="2" customWidth="1"/>
    <col min="272" max="272" width="14.375" style="2" customWidth="1"/>
    <col min="273" max="273" width="6.25" style="2" customWidth="1"/>
    <col min="274" max="274" width="74" style="2" customWidth="1"/>
    <col min="275" max="275" width="7.875" style="2" customWidth="1"/>
    <col min="276" max="514" width="9" style="2"/>
    <col min="515" max="515" width="97.25" style="2" customWidth="1"/>
    <col min="516" max="516" width="6.25" style="2" customWidth="1"/>
    <col min="517" max="519" width="13.875" style="2" customWidth="1"/>
    <col min="520" max="520" width="28" style="2" customWidth="1"/>
    <col min="521" max="521" width="7.875" style="2" customWidth="1"/>
    <col min="522" max="522" width="50.75" style="2" customWidth="1"/>
    <col min="523" max="523" width="7.875" style="2" customWidth="1"/>
    <col min="524" max="525" width="9" style="2" customWidth="1"/>
    <col min="526" max="527" width="10.625" style="2" customWidth="1"/>
    <col min="528" max="528" width="14.375" style="2" customWidth="1"/>
    <col min="529" max="529" width="6.25" style="2" customWidth="1"/>
    <col min="530" max="530" width="74" style="2" customWidth="1"/>
    <col min="531" max="531" width="7.875" style="2" customWidth="1"/>
    <col min="532" max="770" width="9" style="2"/>
    <col min="771" max="771" width="97.25" style="2" customWidth="1"/>
    <col min="772" max="772" width="6.25" style="2" customWidth="1"/>
    <col min="773" max="775" width="13.875" style="2" customWidth="1"/>
    <col min="776" max="776" width="28" style="2" customWidth="1"/>
    <col min="777" max="777" width="7.875" style="2" customWidth="1"/>
    <col min="778" max="778" width="50.75" style="2" customWidth="1"/>
    <col min="779" max="779" width="7.875" style="2" customWidth="1"/>
    <col min="780" max="781" width="9" style="2" customWidth="1"/>
    <col min="782" max="783" width="10.625" style="2" customWidth="1"/>
    <col min="784" max="784" width="14.375" style="2" customWidth="1"/>
    <col min="785" max="785" width="6.25" style="2" customWidth="1"/>
    <col min="786" max="786" width="74" style="2" customWidth="1"/>
    <col min="787" max="787" width="7.875" style="2" customWidth="1"/>
    <col min="788" max="1026" width="9" style="2"/>
    <col min="1027" max="1027" width="97.25" style="2" customWidth="1"/>
    <col min="1028" max="1028" width="6.25" style="2" customWidth="1"/>
    <col min="1029" max="1031" width="13.875" style="2" customWidth="1"/>
    <col min="1032" max="1032" width="28" style="2" customWidth="1"/>
    <col min="1033" max="1033" width="7.875" style="2" customWidth="1"/>
    <col min="1034" max="1034" width="50.75" style="2" customWidth="1"/>
    <col min="1035" max="1035" width="7.875" style="2" customWidth="1"/>
    <col min="1036" max="1037" width="9" style="2" customWidth="1"/>
    <col min="1038" max="1039" width="10.625" style="2" customWidth="1"/>
    <col min="1040" max="1040" width="14.375" style="2" customWidth="1"/>
    <col min="1041" max="1041" width="6.25" style="2" customWidth="1"/>
    <col min="1042" max="1042" width="74" style="2" customWidth="1"/>
    <col min="1043" max="1043" width="7.875" style="2" customWidth="1"/>
    <col min="1044" max="1282" width="9" style="2"/>
    <col min="1283" max="1283" width="97.25" style="2" customWidth="1"/>
    <col min="1284" max="1284" width="6.25" style="2" customWidth="1"/>
    <col min="1285" max="1287" width="13.875" style="2" customWidth="1"/>
    <col min="1288" max="1288" width="28" style="2" customWidth="1"/>
    <col min="1289" max="1289" width="7.875" style="2" customWidth="1"/>
    <col min="1290" max="1290" width="50.75" style="2" customWidth="1"/>
    <col min="1291" max="1291" width="7.875" style="2" customWidth="1"/>
    <col min="1292" max="1293" width="9" style="2" customWidth="1"/>
    <col min="1294" max="1295" width="10.625" style="2" customWidth="1"/>
    <col min="1296" max="1296" width="14.375" style="2" customWidth="1"/>
    <col min="1297" max="1297" width="6.25" style="2" customWidth="1"/>
    <col min="1298" max="1298" width="74" style="2" customWidth="1"/>
    <col min="1299" max="1299" width="7.875" style="2" customWidth="1"/>
    <col min="1300" max="1538" width="9" style="2"/>
    <col min="1539" max="1539" width="97.25" style="2" customWidth="1"/>
    <col min="1540" max="1540" width="6.25" style="2" customWidth="1"/>
    <col min="1541" max="1543" width="13.875" style="2" customWidth="1"/>
    <col min="1544" max="1544" width="28" style="2" customWidth="1"/>
    <col min="1545" max="1545" width="7.875" style="2" customWidth="1"/>
    <col min="1546" max="1546" width="50.75" style="2" customWidth="1"/>
    <col min="1547" max="1547" width="7.875" style="2" customWidth="1"/>
    <col min="1548" max="1549" width="9" style="2" customWidth="1"/>
    <col min="1550" max="1551" width="10.625" style="2" customWidth="1"/>
    <col min="1552" max="1552" width="14.375" style="2" customWidth="1"/>
    <col min="1553" max="1553" width="6.25" style="2" customWidth="1"/>
    <col min="1554" max="1554" width="74" style="2" customWidth="1"/>
    <col min="1555" max="1555" width="7.875" style="2" customWidth="1"/>
    <col min="1556" max="1794" width="9" style="2"/>
    <col min="1795" max="1795" width="97.25" style="2" customWidth="1"/>
    <col min="1796" max="1796" width="6.25" style="2" customWidth="1"/>
    <col min="1797" max="1799" width="13.875" style="2" customWidth="1"/>
    <col min="1800" max="1800" width="28" style="2" customWidth="1"/>
    <col min="1801" max="1801" width="7.875" style="2" customWidth="1"/>
    <col min="1802" max="1802" width="50.75" style="2" customWidth="1"/>
    <col min="1803" max="1803" width="7.875" style="2" customWidth="1"/>
    <col min="1804" max="1805" width="9" style="2" customWidth="1"/>
    <col min="1806" max="1807" width="10.625" style="2" customWidth="1"/>
    <col min="1808" max="1808" width="14.375" style="2" customWidth="1"/>
    <col min="1809" max="1809" width="6.25" style="2" customWidth="1"/>
    <col min="1810" max="1810" width="74" style="2" customWidth="1"/>
    <col min="1811" max="1811" width="7.875" style="2" customWidth="1"/>
    <col min="1812" max="2050" width="9" style="2"/>
    <col min="2051" max="2051" width="97.25" style="2" customWidth="1"/>
    <col min="2052" max="2052" width="6.25" style="2" customWidth="1"/>
    <col min="2053" max="2055" width="13.875" style="2" customWidth="1"/>
    <col min="2056" max="2056" width="28" style="2" customWidth="1"/>
    <col min="2057" max="2057" width="7.875" style="2" customWidth="1"/>
    <col min="2058" max="2058" width="50.75" style="2" customWidth="1"/>
    <col min="2059" max="2059" width="7.875" style="2" customWidth="1"/>
    <col min="2060" max="2061" width="9" style="2" customWidth="1"/>
    <col min="2062" max="2063" width="10.625" style="2" customWidth="1"/>
    <col min="2064" max="2064" width="14.375" style="2" customWidth="1"/>
    <col min="2065" max="2065" width="6.25" style="2" customWidth="1"/>
    <col min="2066" max="2066" width="74" style="2" customWidth="1"/>
    <col min="2067" max="2067" width="7.875" style="2" customWidth="1"/>
    <col min="2068" max="2306" width="9" style="2"/>
    <col min="2307" max="2307" width="97.25" style="2" customWidth="1"/>
    <col min="2308" max="2308" width="6.25" style="2" customWidth="1"/>
    <col min="2309" max="2311" width="13.875" style="2" customWidth="1"/>
    <col min="2312" max="2312" width="28" style="2" customWidth="1"/>
    <col min="2313" max="2313" width="7.875" style="2" customWidth="1"/>
    <col min="2314" max="2314" width="50.75" style="2" customWidth="1"/>
    <col min="2315" max="2315" width="7.875" style="2" customWidth="1"/>
    <col min="2316" max="2317" width="9" style="2" customWidth="1"/>
    <col min="2318" max="2319" width="10.625" style="2" customWidth="1"/>
    <col min="2320" max="2320" width="14.375" style="2" customWidth="1"/>
    <col min="2321" max="2321" width="6.25" style="2" customWidth="1"/>
    <col min="2322" max="2322" width="74" style="2" customWidth="1"/>
    <col min="2323" max="2323" width="7.875" style="2" customWidth="1"/>
    <col min="2324" max="2562" width="9" style="2"/>
    <col min="2563" max="2563" width="97.25" style="2" customWidth="1"/>
    <col min="2564" max="2564" width="6.25" style="2" customWidth="1"/>
    <col min="2565" max="2567" width="13.875" style="2" customWidth="1"/>
    <col min="2568" max="2568" width="28" style="2" customWidth="1"/>
    <col min="2569" max="2569" width="7.875" style="2" customWidth="1"/>
    <col min="2570" max="2570" width="50.75" style="2" customWidth="1"/>
    <col min="2571" max="2571" width="7.875" style="2" customWidth="1"/>
    <col min="2572" max="2573" width="9" style="2" customWidth="1"/>
    <col min="2574" max="2575" width="10.625" style="2" customWidth="1"/>
    <col min="2576" max="2576" width="14.375" style="2" customWidth="1"/>
    <col min="2577" max="2577" width="6.25" style="2" customWidth="1"/>
    <col min="2578" max="2578" width="74" style="2" customWidth="1"/>
    <col min="2579" max="2579" width="7.875" style="2" customWidth="1"/>
    <col min="2580" max="2818" width="9" style="2"/>
    <col min="2819" max="2819" width="97.25" style="2" customWidth="1"/>
    <col min="2820" max="2820" width="6.25" style="2" customWidth="1"/>
    <col min="2821" max="2823" width="13.875" style="2" customWidth="1"/>
    <col min="2824" max="2824" width="28" style="2" customWidth="1"/>
    <col min="2825" max="2825" width="7.875" style="2" customWidth="1"/>
    <col min="2826" max="2826" width="50.75" style="2" customWidth="1"/>
    <col min="2827" max="2827" width="7.875" style="2" customWidth="1"/>
    <col min="2828" max="2829" width="9" style="2" customWidth="1"/>
    <col min="2830" max="2831" width="10.625" style="2" customWidth="1"/>
    <col min="2832" max="2832" width="14.375" style="2" customWidth="1"/>
    <col min="2833" max="2833" width="6.25" style="2" customWidth="1"/>
    <col min="2834" max="2834" width="74" style="2" customWidth="1"/>
    <col min="2835" max="2835" width="7.875" style="2" customWidth="1"/>
    <col min="2836" max="3074" width="9" style="2"/>
    <col min="3075" max="3075" width="97.25" style="2" customWidth="1"/>
    <col min="3076" max="3076" width="6.25" style="2" customWidth="1"/>
    <col min="3077" max="3079" width="13.875" style="2" customWidth="1"/>
    <col min="3080" max="3080" width="28" style="2" customWidth="1"/>
    <col min="3081" max="3081" width="7.875" style="2" customWidth="1"/>
    <col min="3082" max="3082" width="50.75" style="2" customWidth="1"/>
    <col min="3083" max="3083" width="7.875" style="2" customWidth="1"/>
    <col min="3084" max="3085" width="9" style="2" customWidth="1"/>
    <col min="3086" max="3087" width="10.625" style="2" customWidth="1"/>
    <col min="3088" max="3088" width="14.375" style="2" customWidth="1"/>
    <col min="3089" max="3089" width="6.25" style="2" customWidth="1"/>
    <col min="3090" max="3090" width="74" style="2" customWidth="1"/>
    <col min="3091" max="3091" width="7.875" style="2" customWidth="1"/>
    <col min="3092" max="3330" width="9" style="2"/>
    <col min="3331" max="3331" width="97.25" style="2" customWidth="1"/>
    <col min="3332" max="3332" width="6.25" style="2" customWidth="1"/>
    <col min="3333" max="3335" width="13.875" style="2" customWidth="1"/>
    <col min="3336" max="3336" width="28" style="2" customWidth="1"/>
    <col min="3337" max="3337" width="7.875" style="2" customWidth="1"/>
    <col min="3338" max="3338" width="50.75" style="2" customWidth="1"/>
    <col min="3339" max="3339" width="7.875" style="2" customWidth="1"/>
    <col min="3340" max="3341" width="9" style="2" customWidth="1"/>
    <col min="3342" max="3343" width="10.625" style="2" customWidth="1"/>
    <col min="3344" max="3344" width="14.375" style="2" customWidth="1"/>
    <col min="3345" max="3345" width="6.25" style="2" customWidth="1"/>
    <col min="3346" max="3346" width="74" style="2" customWidth="1"/>
    <col min="3347" max="3347" width="7.875" style="2" customWidth="1"/>
    <col min="3348" max="3586" width="9" style="2"/>
    <col min="3587" max="3587" width="97.25" style="2" customWidth="1"/>
    <col min="3588" max="3588" width="6.25" style="2" customWidth="1"/>
    <col min="3589" max="3591" width="13.875" style="2" customWidth="1"/>
    <col min="3592" max="3592" width="28" style="2" customWidth="1"/>
    <col min="3593" max="3593" width="7.875" style="2" customWidth="1"/>
    <col min="3594" max="3594" width="50.75" style="2" customWidth="1"/>
    <col min="3595" max="3595" width="7.875" style="2" customWidth="1"/>
    <col min="3596" max="3597" width="9" style="2" customWidth="1"/>
    <col min="3598" max="3599" width="10.625" style="2" customWidth="1"/>
    <col min="3600" max="3600" width="14.375" style="2" customWidth="1"/>
    <col min="3601" max="3601" width="6.25" style="2" customWidth="1"/>
    <col min="3602" max="3602" width="74" style="2" customWidth="1"/>
    <col min="3603" max="3603" width="7.875" style="2" customWidth="1"/>
    <col min="3604" max="3842" width="9" style="2"/>
    <col min="3843" max="3843" width="97.25" style="2" customWidth="1"/>
    <col min="3844" max="3844" width="6.25" style="2" customWidth="1"/>
    <col min="3845" max="3847" width="13.875" style="2" customWidth="1"/>
    <col min="3848" max="3848" width="28" style="2" customWidth="1"/>
    <col min="3849" max="3849" width="7.875" style="2" customWidth="1"/>
    <col min="3850" max="3850" width="50.75" style="2" customWidth="1"/>
    <col min="3851" max="3851" width="7.875" style="2" customWidth="1"/>
    <col min="3852" max="3853" width="9" style="2" customWidth="1"/>
    <col min="3854" max="3855" width="10.625" style="2" customWidth="1"/>
    <col min="3856" max="3856" width="14.375" style="2" customWidth="1"/>
    <col min="3857" max="3857" width="6.25" style="2" customWidth="1"/>
    <col min="3858" max="3858" width="74" style="2" customWidth="1"/>
    <col min="3859" max="3859" width="7.875" style="2" customWidth="1"/>
    <col min="3860" max="4098" width="9" style="2"/>
    <col min="4099" max="4099" width="97.25" style="2" customWidth="1"/>
    <col min="4100" max="4100" width="6.25" style="2" customWidth="1"/>
    <col min="4101" max="4103" width="13.875" style="2" customWidth="1"/>
    <col min="4104" max="4104" width="28" style="2" customWidth="1"/>
    <col min="4105" max="4105" width="7.875" style="2" customWidth="1"/>
    <col min="4106" max="4106" width="50.75" style="2" customWidth="1"/>
    <col min="4107" max="4107" width="7.875" style="2" customWidth="1"/>
    <col min="4108" max="4109" width="9" style="2" customWidth="1"/>
    <col min="4110" max="4111" width="10.625" style="2" customWidth="1"/>
    <col min="4112" max="4112" width="14.375" style="2" customWidth="1"/>
    <col min="4113" max="4113" width="6.25" style="2" customWidth="1"/>
    <col min="4114" max="4114" width="74" style="2" customWidth="1"/>
    <col min="4115" max="4115" width="7.875" style="2" customWidth="1"/>
    <col min="4116" max="4354" width="9" style="2"/>
    <col min="4355" max="4355" width="97.25" style="2" customWidth="1"/>
    <col min="4356" max="4356" width="6.25" style="2" customWidth="1"/>
    <col min="4357" max="4359" width="13.875" style="2" customWidth="1"/>
    <col min="4360" max="4360" width="28" style="2" customWidth="1"/>
    <col min="4361" max="4361" width="7.875" style="2" customWidth="1"/>
    <col min="4362" max="4362" width="50.75" style="2" customWidth="1"/>
    <col min="4363" max="4363" width="7.875" style="2" customWidth="1"/>
    <col min="4364" max="4365" width="9" style="2" customWidth="1"/>
    <col min="4366" max="4367" width="10.625" style="2" customWidth="1"/>
    <col min="4368" max="4368" width="14.375" style="2" customWidth="1"/>
    <col min="4369" max="4369" width="6.25" style="2" customWidth="1"/>
    <col min="4370" max="4370" width="74" style="2" customWidth="1"/>
    <col min="4371" max="4371" width="7.875" style="2" customWidth="1"/>
    <col min="4372" max="4610" width="9" style="2"/>
    <col min="4611" max="4611" width="97.25" style="2" customWidth="1"/>
    <col min="4612" max="4612" width="6.25" style="2" customWidth="1"/>
    <col min="4613" max="4615" width="13.875" style="2" customWidth="1"/>
    <col min="4616" max="4616" width="28" style="2" customWidth="1"/>
    <col min="4617" max="4617" width="7.875" style="2" customWidth="1"/>
    <col min="4618" max="4618" width="50.75" style="2" customWidth="1"/>
    <col min="4619" max="4619" width="7.875" style="2" customWidth="1"/>
    <col min="4620" max="4621" width="9" style="2" customWidth="1"/>
    <col min="4622" max="4623" width="10.625" style="2" customWidth="1"/>
    <col min="4624" max="4624" width="14.375" style="2" customWidth="1"/>
    <col min="4625" max="4625" width="6.25" style="2" customWidth="1"/>
    <col min="4626" max="4626" width="74" style="2" customWidth="1"/>
    <col min="4627" max="4627" width="7.875" style="2" customWidth="1"/>
    <col min="4628" max="4866" width="9" style="2"/>
    <col min="4867" max="4867" width="97.25" style="2" customWidth="1"/>
    <col min="4868" max="4868" width="6.25" style="2" customWidth="1"/>
    <col min="4869" max="4871" width="13.875" style="2" customWidth="1"/>
    <col min="4872" max="4872" width="28" style="2" customWidth="1"/>
    <col min="4873" max="4873" width="7.875" style="2" customWidth="1"/>
    <col min="4874" max="4874" width="50.75" style="2" customWidth="1"/>
    <col min="4875" max="4875" width="7.875" style="2" customWidth="1"/>
    <col min="4876" max="4877" width="9" style="2" customWidth="1"/>
    <col min="4878" max="4879" width="10.625" style="2" customWidth="1"/>
    <col min="4880" max="4880" width="14.375" style="2" customWidth="1"/>
    <col min="4881" max="4881" width="6.25" style="2" customWidth="1"/>
    <col min="4882" max="4882" width="74" style="2" customWidth="1"/>
    <col min="4883" max="4883" width="7.875" style="2" customWidth="1"/>
    <col min="4884" max="5122" width="9" style="2"/>
    <col min="5123" max="5123" width="97.25" style="2" customWidth="1"/>
    <col min="5124" max="5124" width="6.25" style="2" customWidth="1"/>
    <col min="5125" max="5127" width="13.875" style="2" customWidth="1"/>
    <col min="5128" max="5128" width="28" style="2" customWidth="1"/>
    <col min="5129" max="5129" width="7.875" style="2" customWidth="1"/>
    <col min="5130" max="5130" width="50.75" style="2" customWidth="1"/>
    <col min="5131" max="5131" width="7.875" style="2" customWidth="1"/>
    <col min="5132" max="5133" width="9" style="2" customWidth="1"/>
    <col min="5134" max="5135" width="10.625" style="2" customWidth="1"/>
    <col min="5136" max="5136" width="14.375" style="2" customWidth="1"/>
    <col min="5137" max="5137" width="6.25" style="2" customWidth="1"/>
    <col min="5138" max="5138" width="74" style="2" customWidth="1"/>
    <col min="5139" max="5139" width="7.875" style="2" customWidth="1"/>
    <col min="5140" max="5378" width="9" style="2"/>
    <col min="5379" max="5379" width="97.25" style="2" customWidth="1"/>
    <col min="5380" max="5380" width="6.25" style="2" customWidth="1"/>
    <col min="5381" max="5383" width="13.875" style="2" customWidth="1"/>
    <col min="5384" max="5384" width="28" style="2" customWidth="1"/>
    <col min="5385" max="5385" width="7.875" style="2" customWidth="1"/>
    <col min="5386" max="5386" width="50.75" style="2" customWidth="1"/>
    <col min="5387" max="5387" width="7.875" style="2" customWidth="1"/>
    <col min="5388" max="5389" width="9" style="2" customWidth="1"/>
    <col min="5390" max="5391" width="10.625" style="2" customWidth="1"/>
    <col min="5392" max="5392" width="14.375" style="2" customWidth="1"/>
    <col min="5393" max="5393" width="6.25" style="2" customWidth="1"/>
    <col min="5394" max="5394" width="74" style="2" customWidth="1"/>
    <col min="5395" max="5395" width="7.875" style="2" customWidth="1"/>
    <col min="5396" max="5634" width="9" style="2"/>
    <col min="5635" max="5635" width="97.25" style="2" customWidth="1"/>
    <col min="5636" max="5636" width="6.25" style="2" customWidth="1"/>
    <col min="5637" max="5639" width="13.875" style="2" customWidth="1"/>
    <col min="5640" max="5640" width="28" style="2" customWidth="1"/>
    <col min="5641" max="5641" width="7.875" style="2" customWidth="1"/>
    <col min="5642" max="5642" width="50.75" style="2" customWidth="1"/>
    <col min="5643" max="5643" width="7.875" style="2" customWidth="1"/>
    <col min="5644" max="5645" width="9" style="2" customWidth="1"/>
    <col min="5646" max="5647" width="10.625" style="2" customWidth="1"/>
    <col min="5648" max="5648" width="14.375" style="2" customWidth="1"/>
    <col min="5649" max="5649" width="6.25" style="2" customWidth="1"/>
    <col min="5650" max="5650" width="74" style="2" customWidth="1"/>
    <col min="5651" max="5651" width="7.875" style="2" customWidth="1"/>
    <col min="5652" max="5890" width="9" style="2"/>
    <col min="5891" max="5891" width="97.25" style="2" customWidth="1"/>
    <col min="5892" max="5892" width="6.25" style="2" customWidth="1"/>
    <col min="5893" max="5895" width="13.875" style="2" customWidth="1"/>
    <col min="5896" max="5896" width="28" style="2" customWidth="1"/>
    <col min="5897" max="5897" width="7.875" style="2" customWidth="1"/>
    <col min="5898" max="5898" width="50.75" style="2" customWidth="1"/>
    <col min="5899" max="5899" width="7.875" style="2" customWidth="1"/>
    <col min="5900" max="5901" width="9" style="2" customWidth="1"/>
    <col min="5902" max="5903" width="10.625" style="2" customWidth="1"/>
    <col min="5904" max="5904" width="14.375" style="2" customWidth="1"/>
    <col min="5905" max="5905" width="6.25" style="2" customWidth="1"/>
    <col min="5906" max="5906" width="74" style="2" customWidth="1"/>
    <col min="5907" max="5907" width="7.875" style="2" customWidth="1"/>
    <col min="5908" max="6146" width="9" style="2"/>
    <col min="6147" max="6147" width="97.25" style="2" customWidth="1"/>
    <col min="6148" max="6148" width="6.25" style="2" customWidth="1"/>
    <col min="6149" max="6151" width="13.875" style="2" customWidth="1"/>
    <col min="6152" max="6152" width="28" style="2" customWidth="1"/>
    <col min="6153" max="6153" width="7.875" style="2" customWidth="1"/>
    <col min="6154" max="6154" width="50.75" style="2" customWidth="1"/>
    <col min="6155" max="6155" width="7.875" style="2" customWidth="1"/>
    <col min="6156" max="6157" width="9" style="2" customWidth="1"/>
    <col min="6158" max="6159" width="10.625" style="2" customWidth="1"/>
    <col min="6160" max="6160" width="14.375" style="2" customWidth="1"/>
    <col min="6161" max="6161" width="6.25" style="2" customWidth="1"/>
    <col min="6162" max="6162" width="74" style="2" customWidth="1"/>
    <col min="6163" max="6163" width="7.875" style="2" customWidth="1"/>
    <col min="6164" max="6402" width="9" style="2"/>
    <col min="6403" max="6403" width="97.25" style="2" customWidth="1"/>
    <col min="6404" max="6404" width="6.25" style="2" customWidth="1"/>
    <col min="6405" max="6407" width="13.875" style="2" customWidth="1"/>
    <col min="6408" max="6408" width="28" style="2" customWidth="1"/>
    <col min="6409" max="6409" width="7.875" style="2" customWidth="1"/>
    <col min="6410" max="6410" width="50.75" style="2" customWidth="1"/>
    <col min="6411" max="6411" width="7.875" style="2" customWidth="1"/>
    <col min="6412" max="6413" width="9" style="2" customWidth="1"/>
    <col min="6414" max="6415" width="10.625" style="2" customWidth="1"/>
    <col min="6416" max="6416" width="14.375" style="2" customWidth="1"/>
    <col min="6417" max="6417" width="6.25" style="2" customWidth="1"/>
    <col min="6418" max="6418" width="74" style="2" customWidth="1"/>
    <col min="6419" max="6419" width="7.875" style="2" customWidth="1"/>
    <col min="6420" max="6658" width="9" style="2"/>
    <col min="6659" max="6659" width="97.25" style="2" customWidth="1"/>
    <col min="6660" max="6660" width="6.25" style="2" customWidth="1"/>
    <col min="6661" max="6663" width="13.875" style="2" customWidth="1"/>
    <col min="6664" max="6664" width="28" style="2" customWidth="1"/>
    <col min="6665" max="6665" width="7.875" style="2" customWidth="1"/>
    <col min="6666" max="6666" width="50.75" style="2" customWidth="1"/>
    <col min="6667" max="6667" width="7.875" style="2" customWidth="1"/>
    <col min="6668" max="6669" width="9" style="2" customWidth="1"/>
    <col min="6670" max="6671" width="10.625" style="2" customWidth="1"/>
    <col min="6672" max="6672" width="14.375" style="2" customWidth="1"/>
    <col min="6673" max="6673" width="6.25" style="2" customWidth="1"/>
    <col min="6674" max="6674" width="74" style="2" customWidth="1"/>
    <col min="6675" max="6675" width="7.875" style="2" customWidth="1"/>
    <col min="6676" max="6914" width="9" style="2"/>
    <col min="6915" max="6915" width="97.25" style="2" customWidth="1"/>
    <col min="6916" max="6916" width="6.25" style="2" customWidth="1"/>
    <col min="6917" max="6919" width="13.875" style="2" customWidth="1"/>
    <col min="6920" max="6920" width="28" style="2" customWidth="1"/>
    <col min="6921" max="6921" width="7.875" style="2" customWidth="1"/>
    <col min="6922" max="6922" width="50.75" style="2" customWidth="1"/>
    <col min="6923" max="6923" width="7.875" style="2" customWidth="1"/>
    <col min="6924" max="6925" width="9" style="2" customWidth="1"/>
    <col min="6926" max="6927" width="10.625" style="2" customWidth="1"/>
    <col min="6928" max="6928" width="14.375" style="2" customWidth="1"/>
    <col min="6929" max="6929" width="6.25" style="2" customWidth="1"/>
    <col min="6930" max="6930" width="74" style="2" customWidth="1"/>
    <col min="6931" max="6931" width="7.875" style="2" customWidth="1"/>
    <col min="6932" max="7170" width="9" style="2"/>
    <col min="7171" max="7171" width="97.25" style="2" customWidth="1"/>
    <col min="7172" max="7172" width="6.25" style="2" customWidth="1"/>
    <col min="7173" max="7175" width="13.875" style="2" customWidth="1"/>
    <col min="7176" max="7176" width="28" style="2" customWidth="1"/>
    <col min="7177" max="7177" width="7.875" style="2" customWidth="1"/>
    <col min="7178" max="7178" width="50.75" style="2" customWidth="1"/>
    <col min="7179" max="7179" width="7.875" style="2" customWidth="1"/>
    <col min="7180" max="7181" width="9" style="2" customWidth="1"/>
    <col min="7182" max="7183" width="10.625" style="2" customWidth="1"/>
    <col min="7184" max="7184" width="14.375" style="2" customWidth="1"/>
    <col min="7185" max="7185" width="6.25" style="2" customWidth="1"/>
    <col min="7186" max="7186" width="74" style="2" customWidth="1"/>
    <col min="7187" max="7187" width="7.875" style="2" customWidth="1"/>
    <col min="7188" max="7426" width="9" style="2"/>
    <col min="7427" max="7427" width="97.25" style="2" customWidth="1"/>
    <col min="7428" max="7428" width="6.25" style="2" customWidth="1"/>
    <col min="7429" max="7431" width="13.875" style="2" customWidth="1"/>
    <col min="7432" max="7432" width="28" style="2" customWidth="1"/>
    <col min="7433" max="7433" width="7.875" style="2" customWidth="1"/>
    <col min="7434" max="7434" width="50.75" style="2" customWidth="1"/>
    <col min="7435" max="7435" width="7.875" style="2" customWidth="1"/>
    <col min="7436" max="7437" width="9" style="2" customWidth="1"/>
    <col min="7438" max="7439" width="10.625" style="2" customWidth="1"/>
    <col min="7440" max="7440" width="14.375" style="2" customWidth="1"/>
    <col min="7441" max="7441" width="6.25" style="2" customWidth="1"/>
    <col min="7442" max="7442" width="74" style="2" customWidth="1"/>
    <col min="7443" max="7443" width="7.875" style="2" customWidth="1"/>
    <col min="7444" max="7682" width="9" style="2"/>
    <col min="7683" max="7683" width="97.25" style="2" customWidth="1"/>
    <col min="7684" max="7684" width="6.25" style="2" customWidth="1"/>
    <col min="7685" max="7687" width="13.875" style="2" customWidth="1"/>
    <col min="7688" max="7688" width="28" style="2" customWidth="1"/>
    <col min="7689" max="7689" width="7.875" style="2" customWidth="1"/>
    <col min="7690" max="7690" width="50.75" style="2" customWidth="1"/>
    <col min="7691" max="7691" width="7.875" style="2" customWidth="1"/>
    <col min="7692" max="7693" width="9" style="2" customWidth="1"/>
    <col min="7694" max="7695" width="10.625" style="2" customWidth="1"/>
    <col min="7696" max="7696" width="14.375" style="2" customWidth="1"/>
    <col min="7697" max="7697" width="6.25" style="2" customWidth="1"/>
    <col min="7698" max="7698" width="74" style="2" customWidth="1"/>
    <col min="7699" max="7699" width="7.875" style="2" customWidth="1"/>
    <col min="7700" max="7938" width="9" style="2"/>
    <col min="7939" max="7939" width="97.25" style="2" customWidth="1"/>
    <col min="7940" max="7940" width="6.25" style="2" customWidth="1"/>
    <col min="7941" max="7943" width="13.875" style="2" customWidth="1"/>
    <col min="7944" max="7944" width="28" style="2" customWidth="1"/>
    <col min="7945" max="7945" width="7.875" style="2" customWidth="1"/>
    <col min="7946" max="7946" width="50.75" style="2" customWidth="1"/>
    <col min="7947" max="7947" width="7.875" style="2" customWidth="1"/>
    <col min="7948" max="7949" width="9" style="2" customWidth="1"/>
    <col min="7950" max="7951" width="10.625" style="2" customWidth="1"/>
    <col min="7952" max="7952" width="14.375" style="2" customWidth="1"/>
    <col min="7953" max="7953" width="6.25" style="2" customWidth="1"/>
    <col min="7954" max="7954" width="74" style="2" customWidth="1"/>
    <col min="7955" max="7955" width="7.875" style="2" customWidth="1"/>
    <col min="7956" max="8194" width="9" style="2"/>
    <col min="8195" max="8195" width="97.25" style="2" customWidth="1"/>
    <col min="8196" max="8196" width="6.25" style="2" customWidth="1"/>
    <col min="8197" max="8199" width="13.875" style="2" customWidth="1"/>
    <col min="8200" max="8200" width="28" style="2" customWidth="1"/>
    <col min="8201" max="8201" width="7.875" style="2" customWidth="1"/>
    <col min="8202" max="8202" width="50.75" style="2" customWidth="1"/>
    <col min="8203" max="8203" width="7.875" style="2" customWidth="1"/>
    <col min="8204" max="8205" width="9" style="2" customWidth="1"/>
    <col min="8206" max="8207" width="10.625" style="2" customWidth="1"/>
    <col min="8208" max="8208" width="14.375" style="2" customWidth="1"/>
    <col min="8209" max="8209" width="6.25" style="2" customWidth="1"/>
    <col min="8210" max="8210" width="74" style="2" customWidth="1"/>
    <col min="8211" max="8211" width="7.875" style="2" customWidth="1"/>
    <col min="8212" max="8450" width="9" style="2"/>
    <col min="8451" max="8451" width="97.25" style="2" customWidth="1"/>
    <col min="8452" max="8452" width="6.25" style="2" customWidth="1"/>
    <col min="8453" max="8455" width="13.875" style="2" customWidth="1"/>
    <col min="8456" max="8456" width="28" style="2" customWidth="1"/>
    <col min="8457" max="8457" width="7.875" style="2" customWidth="1"/>
    <col min="8458" max="8458" width="50.75" style="2" customWidth="1"/>
    <col min="8459" max="8459" width="7.875" style="2" customWidth="1"/>
    <col min="8460" max="8461" width="9" style="2" customWidth="1"/>
    <col min="8462" max="8463" width="10.625" style="2" customWidth="1"/>
    <col min="8464" max="8464" width="14.375" style="2" customWidth="1"/>
    <col min="8465" max="8465" width="6.25" style="2" customWidth="1"/>
    <col min="8466" max="8466" width="74" style="2" customWidth="1"/>
    <col min="8467" max="8467" width="7.875" style="2" customWidth="1"/>
    <col min="8468" max="8706" width="9" style="2"/>
    <col min="8707" max="8707" width="97.25" style="2" customWidth="1"/>
    <col min="8708" max="8708" width="6.25" style="2" customWidth="1"/>
    <col min="8709" max="8711" width="13.875" style="2" customWidth="1"/>
    <col min="8712" max="8712" width="28" style="2" customWidth="1"/>
    <col min="8713" max="8713" width="7.875" style="2" customWidth="1"/>
    <col min="8714" max="8714" width="50.75" style="2" customWidth="1"/>
    <col min="8715" max="8715" width="7.875" style="2" customWidth="1"/>
    <col min="8716" max="8717" width="9" style="2" customWidth="1"/>
    <col min="8718" max="8719" width="10.625" style="2" customWidth="1"/>
    <col min="8720" max="8720" width="14.375" style="2" customWidth="1"/>
    <col min="8721" max="8721" width="6.25" style="2" customWidth="1"/>
    <col min="8722" max="8722" width="74" style="2" customWidth="1"/>
    <col min="8723" max="8723" width="7.875" style="2" customWidth="1"/>
    <col min="8724" max="8962" width="9" style="2"/>
    <col min="8963" max="8963" width="97.25" style="2" customWidth="1"/>
    <col min="8964" max="8964" width="6.25" style="2" customWidth="1"/>
    <col min="8965" max="8967" width="13.875" style="2" customWidth="1"/>
    <col min="8968" max="8968" width="28" style="2" customWidth="1"/>
    <col min="8969" max="8969" width="7.875" style="2" customWidth="1"/>
    <col min="8970" max="8970" width="50.75" style="2" customWidth="1"/>
    <col min="8971" max="8971" width="7.875" style="2" customWidth="1"/>
    <col min="8972" max="8973" width="9" style="2" customWidth="1"/>
    <col min="8974" max="8975" width="10.625" style="2" customWidth="1"/>
    <col min="8976" max="8976" width="14.375" style="2" customWidth="1"/>
    <col min="8977" max="8977" width="6.25" style="2" customWidth="1"/>
    <col min="8978" max="8978" width="74" style="2" customWidth="1"/>
    <col min="8979" max="8979" width="7.875" style="2" customWidth="1"/>
    <col min="8980" max="9218" width="9" style="2"/>
    <col min="9219" max="9219" width="97.25" style="2" customWidth="1"/>
    <col min="9220" max="9220" width="6.25" style="2" customWidth="1"/>
    <col min="9221" max="9223" width="13.875" style="2" customWidth="1"/>
    <col min="9224" max="9224" width="28" style="2" customWidth="1"/>
    <col min="9225" max="9225" width="7.875" style="2" customWidth="1"/>
    <col min="9226" max="9226" width="50.75" style="2" customWidth="1"/>
    <col min="9227" max="9227" width="7.875" style="2" customWidth="1"/>
    <col min="9228" max="9229" width="9" style="2" customWidth="1"/>
    <col min="9230" max="9231" width="10.625" style="2" customWidth="1"/>
    <col min="9232" max="9232" width="14.375" style="2" customWidth="1"/>
    <col min="9233" max="9233" width="6.25" style="2" customWidth="1"/>
    <col min="9234" max="9234" width="74" style="2" customWidth="1"/>
    <col min="9235" max="9235" width="7.875" style="2" customWidth="1"/>
    <col min="9236" max="9474" width="9" style="2"/>
    <col min="9475" max="9475" width="97.25" style="2" customWidth="1"/>
    <col min="9476" max="9476" width="6.25" style="2" customWidth="1"/>
    <col min="9477" max="9479" width="13.875" style="2" customWidth="1"/>
    <col min="9480" max="9480" width="28" style="2" customWidth="1"/>
    <col min="9481" max="9481" width="7.875" style="2" customWidth="1"/>
    <col min="9482" max="9482" width="50.75" style="2" customWidth="1"/>
    <col min="9483" max="9483" width="7.875" style="2" customWidth="1"/>
    <col min="9484" max="9485" width="9" style="2" customWidth="1"/>
    <col min="9486" max="9487" width="10.625" style="2" customWidth="1"/>
    <col min="9488" max="9488" width="14.375" style="2" customWidth="1"/>
    <col min="9489" max="9489" width="6.25" style="2" customWidth="1"/>
    <col min="9490" max="9490" width="74" style="2" customWidth="1"/>
    <col min="9491" max="9491" width="7.875" style="2" customWidth="1"/>
    <col min="9492" max="9730" width="9" style="2"/>
    <col min="9731" max="9731" width="97.25" style="2" customWidth="1"/>
    <col min="9732" max="9732" width="6.25" style="2" customWidth="1"/>
    <col min="9733" max="9735" width="13.875" style="2" customWidth="1"/>
    <col min="9736" max="9736" width="28" style="2" customWidth="1"/>
    <col min="9737" max="9737" width="7.875" style="2" customWidth="1"/>
    <col min="9738" max="9738" width="50.75" style="2" customWidth="1"/>
    <col min="9739" max="9739" width="7.875" style="2" customWidth="1"/>
    <col min="9740" max="9741" width="9" style="2" customWidth="1"/>
    <col min="9742" max="9743" width="10.625" style="2" customWidth="1"/>
    <col min="9744" max="9744" width="14.375" style="2" customWidth="1"/>
    <col min="9745" max="9745" width="6.25" style="2" customWidth="1"/>
    <col min="9746" max="9746" width="74" style="2" customWidth="1"/>
    <col min="9747" max="9747" width="7.875" style="2" customWidth="1"/>
    <col min="9748" max="9986" width="9" style="2"/>
    <col min="9987" max="9987" width="97.25" style="2" customWidth="1"/>
    <col min="9988" max="9988" width="6.25" style="2" customWidth="1"/>
    <col min="9989" max="9991" width="13.875" style="2" customWidth="1"/>
    <col min="9992" max="9992" width="28" style="2" customWidth="1"/>
    <col min="9993" max="9993" width="7.875" style="2" customWidth="1"/>
    <col min="9994" max="9994" width="50.75" style="2" customWidth="1"/>
    <col min="9995" max="9995" width="7.875" style="2" customWidth="1"/>
    <col min="9996" max="9997" width="9" style="2" customWidth="1"/>
    <col min="9998" max="9999" width="10.625" style="2" customWidth="1"/>
    <col min="10000" max="10000" width="14.375" style="2" customWidth="1"/>
    <col min="10001" max="10001" width="6.25" style="2" customWidth="1"/>
    <col min="10002" max="10002" width="74" style="2" customWidth="1"/>
    <col min="10003" max="10003" width="7.875" style="2" customWidth="1"/>
    <col min="10004" max="10242" width="9" style="2"/>
    <col min="10243" max="10243" width="97.25" style="2" customWidth="1"/>
    <col min="10244" max="10244" width="6.25" style="2" customWidth="1"/>
    <col min="10245" max="10247" width="13.875" style="2" customWidth="1"/>
    <col min="10248" max="10248" width="28" style="2" customWidth="1"/>
    <col min="10249" max="10249" width="7.875" style="2" customWidth="1"/>
    <col min="10250" max="10250" width="50.75" style="2" customWidth="1"/>
    <col min="10251" max="10251" width="7.875" style="2" customWidth="1"/>
    <col min="10252" max="10253" width="9" style="2" customWidth="1"/>
    <col min="10254" max="10255" width="10.625" style="2" customWidth="1"/>
    <col min="10256" max="10256" width="14.375" style="2" customWidth="1"/>
    <col min="10257" max="10257" width="6.25" style="2" customWidth="1"/>
    <col min="10258" max="10258" width="74" style="2" customWidth="1"/>
    <col min="10259" max="10259" width="7.875" style="2" customWidth="1"/>
    <col min="10260" max="10498" width="9" style="2"/>
    <col min="10499" max="10499" width="97.25" style="2" customWidth="1"/>
    <col min="10500" max="10500" width="6.25" style="2" customWidth="1"/>
    <col min="10501" max="10503" width="13.875" style="2" customWidth="1"/>
    <col min="10504" max="10504" width="28" style="2" customWidth="1"/>
    <col min="10505" max="10505" width="7.875" style="2" customWidth="1"/>
    <col min="10506" max="10506" width="50.75" style="2" customWidth="1"/>
    <col min="10507" max="10507" width="7.875" style="2" customWidth="1"/>
    <col min="10508" max="10509" width="9" style="2" customWidth="1"/>
    <col min="10510" max="10511" width="10.625" style="2" customWidth="1"/>
    <col min="10512" max="10512" width="14.375" style="2" customWidth="1"/>
    <col min="10513" max="10513" width="6.25" style="2" customWidth="1"/>
    <col min="10514" max="10514" width="74" style="2" customWidth="1"/>
    <col min="10515" max="10515" width="7.875" style="2" customWidth="1"/>
    <col min="10516" max="10754" width="9" style="2"/>
    <col min="10755" max="10755" width="97.25" style="2" customWidth="1"/>
    <col min="10756" max="10756" width="6.25" style="2" customWidth="1"/>
    <col min="10757" max="10759" width="13.875" style="2" customWidth="1"/>
    <col min="10760" max="10760" width="28" style="2" customWidth="1"/>
    <col min="10761" max="10761" width="7.875" style="2" customWidth="1"/>
    <col min="10762" max="10762" width="50.75" style="2" customWidth="1"/>
    <col min="10763" max="10763" width="7.875" style="2" customWidth="1"/>
    <col min="10764" max="10765" width="9" style="2" customWidth="1"/>
    <col min="10766" max="10767" width="10.625" style="2" customWidth="1"/>
    <col min="10768" max="10768" width="14.375" style="2" customWidth="1"/>
    <col min="10769" max="10769" width="6.25" style="2" customWidth="1"/>
    <col min="10770" max="10770" width="74" style="2" customWidth="1"/>
    <col min="10771" max="10771" width="7.875" style="2" customWidth="1"/>
    <col min="10772" max="11010" width="9" style="2"/>
    <col min="11011" max="11011" width="97.25" style="2" customWidth="1"/>
    <col min="11012" max="11012" width="6.25" style="2" customWidth="1"/>
    <col min="11013" max="11015" width="13.875" style="2" customWidth="1"/>
    <col min="11016" max="11016" width="28" style="2" customWidth="1"/>
    <col min="11017" max="11017" width="7.875" style="2" customWidth="1"/>
    <col min="11018" max="11018" width="50.75" style="2" customWidth="1"/>
    <col min="11019" max="11019" width="7.875" style="2" customWidth="1"/>
    <col min="11020" max="11021" width="9" style="2" customWidth="1"/>
    <col min="11022" max="11023" width="10.625" style="2" customWidth="1"/>
    <col min="11024" max="11024" width="14.375" style="2" customWidth="1"/>
    <col min="11025" max="11025" width="6.25" style="2" customWidth="1"/>
    <col min="11026" max="11026" width="74" style="2" customWidth="1"/>
    <col min="11027" max="11027" width="7.875" style="2" customWidth="1"/>
    <col min="11028" max="11266" width="9" style="2"/>
    <col min="11267" max="11267" width="97.25" style="2" customWidth="1"/>
    <col min="11268" max="11268" width="6.25" style="2" customWidth="1"/>
    <col min="11269" max="11271" width="13.875" style="2" customWidth="1"/>
    <col min="11272" max="11272" width="28" style="2" customWidth="1"/>
    <col min="11273" max="11273" width="7.875" style="2" customWidth="1"/>
    <col min="11274" max="11274" width="50.75" style="2" customWidth="1"/>
    <col min="11275" max="11275" width="7.875" style="2" customWidth="1"/>
    <col min="11276" max="11277" width="9" style="2" customWidth="1"/>
    <col min="11278" max="11279" width="10.625" style="2" customWidth="1"/>
    <col min="11280" max="11280" width="14.375" style="2" customWidth="1"/>
    <col min="11281" max="11281" width="6.25" style="2" customWidth="1"/>
    <col min="11282" max="11282" width="74" style="2" customWidth="1"/>
    <col min="11283" max="11283" width="7.875" style="2" customWidth="1"/>
    <col min="11284" max="11522" width="9" style="2"/>
    <col min="11523" max="11523" width="97.25" style="2" customWidth="1"/>
    <col min="11524" max="11524" width="6.25" style="2" customWidth="1"/>
    <col min="11525" max="11527" width="13.875" style="2" customWidth="1"/>
    <col min="11528" max="11528" width="28" style="2" customWidth="1"/>
    <col min="11529" max="11529" width="7.875" style="2" customWidth="1"/>
    <col min="11530" max="11530" width="50.75" style="2" customWidth="1"/>
    <col min="11531" max="11531" width="7.875" style="2" customWidth="1"/>
    <col min="11532" max="11533" width="9" style="2" customWidth="1"/>
    <col min="11534" max="11535" width="10.625" style="2" customWidth="1"/>
    <col min="11536" max="11536" width="14.375" style="2" customWidth="1"/>
    <col min="11537" max="11537" width="6.25" style="2" customWidth="1"/>
    <col min="11538" max="11538" width="74" style="2" customWidth="1"/>
    <col min="11539" max="11539" width="7.875" style="2" customWidth="1"/>
    <col min="11540" max="11778" width="9" style="2"/>
    <col min="11779" max="11779" width="97.25" style="2" customWidth="1"/>
    <col min="11780" max="11780" width="6.25" style="2" customWidth="1"/>
    <col min="11781" max="11783" width="13.875" style="2" customWidth="1"/>
    <col min="11784" max="11784" width="28" style="2" customWidth="1"/>
    <col min="11785" max="11785" width="7.875" style="2" customWidth="1"/>
    <col min="11786" max="11786" width="50.75" style="2" customWidth="1"/>
    <col min="11787" max="11787" width="7.875" style="2" customWidth="1"/>
    <col min="11788" max="11789" width="9" style="2" customWidth="1"/>
    <col min="11790" max="11791" width="10.625" style="2" customWidth="1"/>
    <col min="11792" max="11792" width="14.375" style="2" customWidth="1"/>
    <col min="11793" max="11793" width="6.25" style="2" customWidth="1"/>
    <col min="11794" max="11794" width="74" style="2" customWidth="1"/>
    <col min="11795" max="11795" width="7.875" style="2" customWidth="1"/>
    <col min="11796" max="12034" width="9" style="2"/>
    <col min="12035" max="12035" width="97.25" style="2" customWidth="1"/>
    <col min="12036" max="12036" width="6.25" style="2" customWidth="1"/>
    <col min="12037" max="12039" width="13.875" style="2" customWidth="1"/>
    <col min="12040" max="12040" width="28" style="2" customWidth="1"/>
    <col min="12041" max="12041" width="7.875" style="2" customWidth="1"/>
    <col min="12042" max="12042" width="50.75" style="2" customWidth="1"/>
    <col min="12043" max="12043" width="7.875" style="2" customWidth="1"/>
    <col min="12044" max="12045" width="9" style="2" customWidth="1"/>
    <col min="12046" max="12047" width="10.625" style="2" customWidth="1"/>
    <col min="12048" max="12048" width="14.375" style="2" customWidth="1"/>
    <col min="12049" max="12049" width="6.25" style="2" customWidth="1"/>
    <col min="12050" max="12050" width="74" style="2" customWidth="1"/>
    <col min="12051" max="12051" width="7.875" style="2" customWidth="1"/>
    <col min="12052" max="12290" width="9" style="2"/>
    <col min="12291" max="12291" width="97.25" style="2" customWidth="1"/>
    <col min="12292" max="12292" width="6.25" style="2" customWidth="1"/>
    <col min="12293" max="12295" width="13.875" style="2" customWidth="1"/>
    <col min="12296" max="12296" width="28" style="2" customWidth="1"/>
    <col min="12297" max="12297" width="7.875" style="2" customWidth="1"/>
    <col min="12298" max="12298" width="50.75" style="2" customWidth="1"/>
    <col min="12299" max="12299" width="7.875" style="2" customWidth="1"/>
    <col min="12300" max="12301" width="9" style="2" customWidth="1"/>
    <col min="12302" max="12303" width="10.625" style="2" customWidth="1"/>
    <col min="12304" max="12304" width="14.375" style="2" customWidth="1"/>
    <col min="12305" max="12305" width="6.25" style="2" customWidth="1"/>
    <col min="12306" max="12306" width="74" style="2" customWidth="1"/>
    <col min="12307" max="12307" width="7.875" style="2" customWidth="1"/>
    <col min="12308" max="12546" width="9" style="2"/>
    <col min="12547" max="12547" width="97.25" style="2" customWidth="1"/>
    <col min="12548" max="12548" width="6.25" style="2" customWidth="1"/>
    <col min="12549" max="12551" width="13.875" style="2" customWidth="1"/>
    <col min="12552" max="12552" width="28" style="2" customWidth="1"/>
    <col min="12553" max="12553" width="7.875" style="2" customWidth="1"/>
    <col min="12554" max="12554" width="50.75" style="2" customWidth="1"/>
    <col min="12555" max="12555" width="7.875" style="2" customWidth="1"/>
    <col min="12556" max="12557" width="9" style="2" customWidth="1"/>
    <col min="12558" max="12559" width="10.625" style="2" customWidth="1"/>
    <col min="12560" max="12560" width="14.375" style="2" customWidth="1"/>
    <col min="12561" max="12561" width="6.25" style="2" customWidth="1"/>
    <col min="12562" max="12562" width="74" style="2" customWidth="1"/>
    <col min="12563" max="12563" width="7.875" style="2" customWidth="1"/>
    <col min="12564" max="12802" width="9" style="2"/>
    <col min="12803" max="12803" width="97.25" style="2" customWidth="1"/>
    <col min="12804" max="12804" width="6.25" style="2" customWidth="1"/>
    <col min="12805" max="12807" width="13.875" style="2" customWidth="1"/>
    <col min="12808" max="12808" width="28" style="2" customWidth="1"/>
    <col min="12809" max="12809" width="7.875" style="2" customWidth="1"/>
    <col min="12810" max="12810" width="50.75" style="2" customWidth="1"/>
    <col min="12811" max="12811" width="7.875" style="2" customWidth="1"/>
    <col min="12812" max="12813" width="9" style="2" customWidth="1"/>
    <col min="12814" max="12815" width="10.625" style="2" customWidth="1"/>
    <col min="12816" max="12816" width="14.375" style="2" customWidth="1"/>
    <col min="12817" max="12817" width="6.25" style="2" customWidth="1"/>
    <col min="12818" max="12818" width="74" style="2" customWidth="1"/>
    <col min="12819" max="12819" width="7.875" style="2" customWidth="1"/>
    <col min="12820" max="13058" width="9" style="2"/>
    <col min="13059" max="13059" width="97.25" style="2" customWidth="1"/>
    <col min="13060" max="13060" width="6.25" style="2" customWidth="1"/>
    <col min="13061" max="13063" width="13.875" style="2" customWidth="1"/>
    <col min="13064" max="13064" width="28" style="2" customWidth="1"/>
    <col min="13065" max="13065" width="7.875" style="2" customWidth="1"/>
    <col min="13066" max="13066" width="50.75" style="2" customWidth="1"/>
    <col min="13067" max="13067" width="7.875" style="2" customWidth="1"/>
    <col min="13068" max="13069" width="9" style="2" customWidth="1"/>
    <col min="13070" max="13071" width="10.625" style="2" customWidth="1"/>
    <col min="13072" max="13072" width="14.375" style="2" customWidth="1"/>
    <col min="13073" max="13073" width="6.25" style="2" customWidth="1"/>
    <col min="13074" max="13074" width="74" style="2" customWidth="1"/>
    <col min="13075" max="13075" width="7.875" style="2" customWidth="1"/>
    <col min="13076" max="13314" width="9" style="2"/>
    <col min="13315" max="13315" width="97.25" style="2" customWidth="1"/>
    <col min="13316" max="13316" width="6.25" style="2" customWidth="1"/>
    <col min="13317" max="13319" width="13.875" style="2" customWidth="1"/>
    <col min="13320" max="13320" width="28" style="2" customWidth="1"/>
    <col min="13321" max="13321" width="7.875" style="2" customWidth="1"/>
    <col min="13322" max="13322" width="50.75" style="2" customWidth="1"/>
    <col min="13323" max="13323" width="7.875" style="2" customWidth="1"/>
    <col min="13324" max="13325" width="9" style="2" customWidth="1"/>
    <col min="13326" max="13327" width="10.625" style="2" customWidth="1"/>
    <col min="13328" max="13328" width="14.375" style="2" customWidth="1"/>
    <col min="13329" max="13329" width="6.25" style="2" customWidth="1"/>
    <col min="13330" max="13330" width="74" style="2" customWidth="1"/>
    <col min="13331" max="13331" width="7.875" style="2" customWidth="1"/>
    <col min="13332" max="13570" width="9" style="2"/>
    <col min="13571" max="13571" width="97.25" style="2" customWidth="1"/>
    <col min="13572" max="13572" width="6.25" style="2" customWidth="1"/>
    <col min="13573" max="13575" width="13.875" style="2" customWidth="1"/>
    <col min="13576" max="13576" width="28" style="2" customWidth="1"/>
    <col min="13577" max="13577" width="7.875" style="2" customWidth="1"/>
    <col min="13578" max="13578" width="50.75" style="2" customWidth="1"/>
    <col min="13579" max="13579" width="7.875" style="2" customWidth="1"/>
    <col min="13580" max="13581" width="9" style="2" customWidth="1"/>
    <col min="13582" max="13583" width="10.625" style="2" customWidth="1"/>
    <col min="13584" max="13584" width="14.375" style="2" customWidth="1"/>
    <col min="13585" max="13585" width="6.25" style="2" customWidth="1"/>
    <col min="13586" max="13586" width="74" style="2" customWidth="1"/>
    <col min="13587" max="13587" width="7.875" style="2" customWidth="1"/>
    <col min="13588" max="13826" width="9" style="2"/>
    <col min="13827" max="13827" width="97.25" style="2" customWidth="1"/>
    <col min="13828" max="13828" width="6.25" style="2" customWidth="1"/>
    <col min="13829" max="13831" width="13.875" style="2" customWidth="1"/>
    <col min="13832" max="13832" width="28" style="2" customWidth="1"/>
    <col min="13833" max="13833" width="7.875" style="2" customWidth="1"/>
    <col min="13834" max="13834" width="50.75" style="2" customWidth="1"/>
    <col min="13835" max="13835" width="7.875" style="2" customWidth="1"/>
    <col min="13836" max="13837" width="9" style="2" customWidth="1"/>
    <col min="13838" max="13839" width="10.625" style="2" customWidth="1"/>
    <col min="13840" max="13840" width="14.375" style="2" customWidth="1"/>
    <col min="13841" max="13841" width="6.25" style="2" customWidth="1"/>
    <col min="13842" max="13842" width="74" style="2" customWidth="1"/>
    <col min="13843" max="13843" width="7.875" style="2" customWidth="1"/>
    <col min="13844" max="14082" width="9" style="2"/>
    <col min="14083" max="14083" width="97.25" style="2" customWidth="1"/>
    <col min="14084" max="14084" width="6.25" style="2" customWidth="1"/>
    <col min="14085" max="14087" width="13.875" style="2" customWidth="1"/>
    <col min="14088" max="14088" width="28" style="2" customWidth="1"/>
    <col min="14089" max="14089" width="7.875" style="2" customWidth="1"/>
    <col min="14090" max="14090" width="50.75" style="2" customWidth="1"/>
    <col min="14091" max="14091" width="7.875" style="2" customWidth="1"/>
    <col min="14092" max="14093" width="9" style="2" customWidth="1"/>
    <col min="14094" max="14095" width="10.625" style="2" customWidth="1"/>
    <col min="14096" max="14096" width="14.375" style="2" customWidth="1"/>
    <col min="14097" max="14097" width="6.25" style="2" customWidth="1"/>
    <col min="14098" max="14098" width="74" style="2" customWidth="1"/>
    <col min="14099" max="14099" width="7.875" style="2" customWidth="1"/>
    <col min="14100" max="14338" width="9" style="2"/>
    <col min="14339" max="14339" width="97.25" style="2" customWidth="1"/>
    <col min="14340" max="14340" width="6.25" style="2" customWidth="1"/>
    <col min="14341" max="14343" width="13.875" style="2" customWidth="1"/>
    <col min="14344" max="14344" width="28" style="2" customWidth="1"/>
    <col min="14345" max="14345" width="7.875" style="2" customWidth="1"/>
    <col min="14346" max="14346" width="50.75" style="2" customWidth="1"/>
    <col min="14347" max="14347" width="7.875" style="2" customWidth="1"/>
    <col min="14348" max="14349" width="9" style="2" customWidth="1"/>
    <col min="14350" max="14351" width="10.625" style="2" customWidth="1"/>
    <col min="14352" max="14352" width="14.375" style="2" customWidth="1"/>
    <col min="14353" max="14353" width="6.25" style="2" customWidth="1"/>
    <col min="14354" max="14354" width="74" style="2" customWidth="1"/>
    <col min="14355" max="14355" width="7.875" style="2" customWidth="1"/>
    <col min="14356" max="14594" width="9" style="2"/>
    <col min="14595" max="14595" width="97.25" style="2" customWidth="1"/>
    <col min="14596" max="14596" width="6.25" style="2" customWidth="1"/>
    <col min="14597" max="14599" width="13.875" style="2" customWidth="1"/>
    <col min="14600" max="14600" width="28" style="2" customWidth="1"/>
    <col min="14601" max="14601" width="7.875" style="2" customWidth="1"/>
    <col min="14602" max="14602" width="50.75" style="2" customWidth="1"/>
    <col min="14603" max="14603" width="7.875" style="2" customWidth="1"/>
    <col min="14604" max="14605" width="9" style="2" customWidth="1"/>
    <col min="14606" max="14607" width="10.625" style="2" customWidth="1"/>
    <col min="14608" max="14608" width="14.375" style="2" customWidth="1"/>
    <col min="14609" max="14609" width="6.25" style="2" customWidth="1"/>
    <col min="14610" max="14610" width="74" style="2" customWidth="1"/>
    <col min="14611" max="14611" width="7.875" style="2" customWidth="1"/>
    <col min="14612" max="14850" width="9" style="2"/>
    <col min="14851" max="14851" width="97.25" style="2" customWidth="1"/>
    <col min="14852" max="14852" width="6.25" style="2" customWidth="1"/>
    <col min="14853" max="14855" width="13.875" style="2" customWidth="1"/>
    <col min="14856" max="14856" width="28" style="2" customWidth="1"/>
    <col min="14857" max="14857" width="7.875" style="2" customWidth="1"/>
    <col min="14858" max="14858" width="50.75" style="2" customWidth="1"/>
    <col min="14859" max="14859" width="7.875" style="2" customWidth="1"/>
    <col min="14860" max="14861" width="9" style="2" customWidth="1"/>
    <col min="14862" max="14863" width="10.625" style="2" customWidth="1"/>
    <col min="14864" max="14864" width="14.375" style="2" customWidth="1"/>
    <col min="14865" max="14865" width="6.25" style="2" customWidth="1"/>
    <col min="14866" max="14866" width="74" style="2" customWidth="1"/>
    <col min="14867" max="14867" width="7.875" style="2" customWidth="1"/>
    <col min="14868" max="15106" width="9" style="2"/>
    <col min="15107" max="15107" width="97.25" style="2" customWidth="1"/>
    <col min="15108" max="15108" width="6.25" style="2" customWidth="1"/>
    <col min="15109" max="15111" width="13.875" style="2" customWidth="1"/>
    <col min="15112" max="15112" width="28" style="2" customWidth="1"/>
    <col min="15113" max="15113" width="7.875" style="2" customWidth="1"/>
    <col min="15114" max="15114" width="50.75" style="2" customWidth="1"/>
    <col min="15115" max="15115" width="7.875" style="2" customWidth="1"/>
    <col min="15116" max="15117" width="9" style="2" customWidth="1"/>
    <col min="15118" max="15119" width="10.625" style="2" customWidth="1"/>
    <col min="15120" max="15120" width="14.375" style="2" customWidth="1"/>
    <col min="15121" max="15121" width="6.25" style="2" customWidth="1"/>
    <col min="15122" max="15122" width="74" style="2" customWidth="1"/>
    <col min="15123" max="15123" width="7.875" style="2" customWidth="1"/>
    <col min="15124" max="15362" width="9" style="2"/>
    <col min="15363" max="15363" width="97.25" style="2" customWidth="1"/>
    <col min="15364" max="15364" width="6.25" style="2" customWidth="1"/>
    <col min="15365" max="15367" width="13.875" style="2" customWidth="1"/>
    <col min="15368" max="15368" width="28" style="2" customWidth="1"/>
    <col min="15369" max="15369" width="7.875" style="2" customWidth="1"/>
    <col min="15370" max="15370" width="50.75" style="2" customWidth="1"/>
    <col min="15371" max="15371" width="7.875" style="2" customWidth="1"/>
    <col min="15372" max="15373" width="9" style="2" customWidth="1"/>
    <col min="15374" max="15375" width="10.625" style="2" customWidth="1"/>
    <col min="15376" max="15376" width="14.375" style="2" customWidth="1"/>
    <col min="15377" max="15377" width="6.25" style="2" customWidth="1"/>
    <col min="15378" max="15378" width="74" style="2" customWidth="1"/>
    <col min="15379" max="15379" width="7.875" style="2" customWidth="1"/>
    <col min="15380" max="15618" width="9" style="2"/>
    <col min="15619" max="15619" width="97.25" style="2" customWidth="1"/>
    <col min="15620" max="15620" width="6.25" style="2" customWidth="1"/>
    <col min="15621" max="15623" width="13.875" style="2" customWidth="1"/>
    <col min="15624" max="15624" width="28" style="2" customWidth="1"/>
    <col min="15625" max="15625" width="7.875" style="2" customWidth="1"/>
    <col min="15626" max="15626" width="50.75" style="2" customWidth="1"/>
    <col min="15627" max="15627" width="7.875" style="2" customWidth="1"/>
    <col min="15628" max="15629" width="9" style="2" customWidth="1"/>
    <col min="15630" max="15631" width="10.625" style="2" customWidth="1"/>
    <col min="15632" max="15632" width="14.375" style="2" customWidth="1"/>
    <col min="15633" max="15633" width="6.25" style="2" customWidth="1"/>
    <col min="15634" max="15634" width="74" style="2" customWidth="1"/>
    <col min="15635" max="15635" width="7.875" style="2" customWidth="1"/>
    <col min="15636" max="15874" width="9" style="2"/>
    <col min="15875" max="15875" width="97.25" style="2" customWidth="1"/>
    <col min="15876" max="15876" width="6.25" style="2" customWidth="1"/>
    <col min="15877" max="15879" width="13.875" style="2" customWidth="1"/>
    <col min="15880" max="15880" width="28" style="2" customWidth="1"/>
    <col min="15881" max="15881" width="7.875" style="2" customWidth="1"/>
    <col min="15882" max="15882" width="50.75" style="2" customWidth="1"/>
    <col min="15883" max="15883" width="7.875" style="2" customWidth="1"/>
    <col min="15884" max="15885" width="9" style="2" customWidth="1"/>
    <col min="15886" max="15887" width="10.625" style="2" customWidth="1"/>
    <col min="15888" max="15888" width="14.375" style="2" customWidth="1"/>
    <col min="15889" max="15889" width="6.25" style="2" customWidth="1"/>
    <col min="15890" max="15890" width="74" style="2" customWidth="1"/>
    <col min="15891" max="15891" width="7.875" style="2" customWidth="1"/>
    <col min="15892" max="16130" width="9" style="2"/>
    <col min="16131" max="16131" width="97.25" style="2" customWidth="1"/>
    <col min="16132" max="16132" width="6.25" style="2" customWidth="1"/>
    <col min="16133" max="16135" width="13.875" style="2" customWidth="1"/>
    <col min="16136" max="16136" width="28" style="2" customWidth="1"/>
    <col min="16137" max="16137" width="7.875" style="2" customWidth="1"/>
    <col min="16138" max="16138" width="50.75" style="2" customWidth="1"/>
    <col min="16139" max="16139" width="7.875" style="2" customWidth="1"/>
    <col min="16140" max="16141" width="9" style="2" customWidth="1"/>
    <col min="16142" max="16143" width="10.625" style="2" customWidth="1"/>
    <col min="16144" max="16144" width="14.375" style="2" customWidth="1"/>
    <col min="16145" max="16145" width="6.25" style="2" customWidth="1"/>
    <col min="16146" max="16146" width="74" style="2" customWidth="1"/>
    <col min="16147" max="16147" width="7.875" style="2" customWidth="1"/>
    <col min="16148" max="16384" width="9" style="2"/>
  </cols>
  <sheetData>
    <row r="1" spans="1:19">
      <c r="A1" s="2" t="s">
        <v>2569</v>
      </c>
      <c r="B1" s="2" t="s">
        <v>2570</v>
      </c>
      <c r="C1" s="3" t="s">
        <v>3123</v>
      </c>
      <c r="D1" s="3" t="s">
        <v>3124</v>
      </c>
      <c r="E1" s="2" t="s">
        <v>2571</v>
      </c>
      <c r="F1" s="2" t="s">
        <v>2572</v>
      </c>
      <c r="G1" s="2" t="s">
        <v>2573</v>
      </c>
      <c r="H1" s="2" t="s">
        <v>1970</v>
      </c>
      <c r="I1" s="2" t="s">
        <v>2574</v>
      </c>
      <c r="J1" s="2" t="s">
        <v>2575</v>
      </c>
      <c r="K1" s="2" t="s">
        <v>2576</v>
      </c>
      <c r="L1" s="2" t="s">
        <v>2981</v>
      </c>
      <c r="M1" s="2" t="s">
        <v>2579</v>
      </c>
      <c r="N1" s="2" t="s">
        <v>2982</v>
      </c>
      <c r="O1" s="2" t="s">
        <v>2581</v>
      </c>
      <c r="P1" s="2" t="s">
        <v>2583</v>
      </c>
      <c r="Q1" s="2" t="s">
        <v>2584</v>
      </c>
      <c r="R1" s="2" t="s">
        <v>2580</v>
      </c>
      <c r="S1" s="2" t="s">
        <v>2585</v>
      </c>
    </row>
    <row r="2" spans="1:19">
      <c r="A2" s="2" t="s">
        <v>3011</v>
      </c>
      <c r="B2" s="2" t="s">
        <v>345</v>
      </c>
      <c r="C2" s="4">
        <v>541744.56000000006</v>
      </c>
      <c r="D2" s="4">
        <f>ROUND(C2*10000/G2,0)</f>
        <v>48888</v>
      </c>
      <c r="E2" s="2" t="s">
        <v>2589</v>
      </c>
      <c r="F2" s="2">
        <v>41608.92</v>
      </c>
      <c r="G2" s="2">
        <v>110813.27</v>
      </c>
      <c r="H2" s="2" t="s">
        <v>3012</v>
      </c>
      <c r="I2" s="2" t="s">
        <v>2591</v>
      </c>
      <c r="J2" s="2" t="s">
        <v>2741</v>
      </c>
      <c r="K2" s="2" t="s">
        <v>2593</v>
      </c>
      <c r="L2" s="2" t="s">
        <v>2620</v>
      </c>
      <c r="M2" s="2" t="s">
        <v>2595</v>
      </c>
      <c r="N2" s="2">
        <v>616000</v>
      </c>
      <c r="O2" s="2">
        <v>644000</v>
      </c>
      <c r="P2" s="2">
        <v>58115.77</v>
      </c>
      <c r="Q2" s="2">
        <v>4.55</v>
      </c>
      <c r="R2" s="2" t="s">
        <v>3013</v>
      </c>
      <c r="S2" s="2" t="s">
        <v>2606</v>
      </c>
    </row>
    <row r="3" spans="1:19">
      <c r="A3" s="2" t="s">
        <v>3014</v>
      </c>
      <c r="B3" s="2" t="s">
        <v>345</v>
      </c>
      <c r="C3" s="4">
        <v>148252</v>
      </c>
      <c r="D3" s="4">
        <f t="shared" ref="D3:D13" si="0">ROUND(C3*10000/G3,0)</f>
        <v>38700</v>
      </c>
      <c r="E3" s="2" t="s">
        <v>2599</v>
      </c>
      <c r="F3" s="2">
        <v>13681.37</v>
      </c>
      <c r="G3" s="2">
        <v>38307.82</v>
      </c>
      <c r="H3" s="2" t="s">
        <v>2600</v>
      </c>
      <c r="I3" s="2" t="s">
        <v>2591</v>
      </c>
      <c r="J3" s="2" t="s">
        <v>2646</v>
      </c>
      <c r="K3" s="2">
        <v>0</v>
      </c>
      <c r="L3" s="2" t="s">
        <v>3015</v>
      </c>
      <c r="M3" s="2" t="s">
        <v>3015</v>
      </c>
      <c r="N3" s="2">
        <v>173500</v>
      </c>
      <c r="O3" s="2">
        <v>179000</v>
      </c>
      <c r="P3" s="2">
        <v>46726.75</v>
      </c>
      <c r="Q3" s="2">
        <v>3.17</v>
      </c>
      <c r="R3" s="2" t="s">
        <v>3016</v>
      </c>
      <c r="S3" s="2" t="s">
        <v>2601</v>
      </c>
    </row>
    <row r="4" spans="1:19">
      <c r="A4" s="2" t="s">
        <v>3017</v>
      </c>
      <c r="B4" s="2" t="s">
        <v>345</v>
      </c>
      <c r="C4" s="4">
        <v>486813.15899999999</v>
      </c>
      <c r="D4" s="4">
        <f t="shared" si="0"/>
        <v>31224</v>
      </c>
      <c r="E4" s="2" t="s">
        <v>2589</v>
      </c>
      <c r="F4" s="2">
        <v>101127.8</v>
      </c>
      <c r="G4" s="2">
        <v>155908</v>
      </c>
      <c r="H4" s="2" t="s">
        <v>3018</v>
      </c>
      <c r="I4" s="2" t="s">
        <v>2591</v>
      </c>
      <c r="J4" s="2" t="s">
        <v>3019</v>
      </c>
      <c r="K4" s="2">
        <v>0</v>
      </c>
      <c r="L4" s="2" t="s">
        <v>3020</v>
      </c>
      <c r="M4" s="2" t="s">
        <v>3020</v>
      </c>
      <c r="N4" s="2">
        <v>555600</v>
      </c>
      <c r="O4" s="2">
        <v>555600</v>
      </c>
      <c r="P4" s="2">
        <v>35636.400000000001</v>
      </c>
      <c r="Q4" s="2">
        <v>0</v>
      </c>
      <c r="R4" s="2" t="s">
        <v>3021</v>
      </c>
      <c r="S4" s="2" t="s">
        <v>2597</v>
      </c>
    </row>
    <row r="5" spans="1:19" s="1" customFormat="1">
      <c r="A5" s="1" t="s">
        <v>3022</v>
      </c>
      <c r="B5" s="1" t="s">
        <v>345</v>
      </c>
      <c r="C5" s="5">
        <v>573033</v>
      </c>
      <c r="D5" s="5">
        <f t="shared" si="0"/>
        <v>21448</v>
      </c>
      <c r="E5" s="1" t="s">
        <v>2589</v>
      </c>
      <c r="F5" s="1">
        <v>73884.72</v>
      </c>
      <c r="G5" s="1">
        <v>267169.69</v>
      </c>
      <c r="H5" s="1" t="s">
        <v>3023</v>
      </c>
      <c r="I5" s="1" t="s">
        <v>2591</v>
      </c>
      <c r="J5" s="1" t="s">
        <v>3024</v>
      </c>
      <c r="K5" s="1">
        <v>0</v>
      </c>
      <c r="L5" s="1" t="s">
        <v>3025</v>
      </c>
      <c r="M5" s="1" t="s">
        <v>3025</v>
      </c>
      <c r="N5" s="1">
        <v>697800</v>
      </c>
      <c r="O5" s="1">
        <v>697800</v>
      </c>
      <c r="P5" s="1">
        <v>26118.22</v>
      </c>
      <c r="Q5" s="1">
        <v>0</v>
      </c>
      <c r="R5" s="1" t="s">
        <v>3016</v>
      </c>
      <c r="S5" s="1" t="s">
        <v>2601</v>
      </c>
    </row>
    <row r="6" spans="1:19" s="1" customFormat="1">
      <c r="A6" s="1" t="s">
        <v>3026</v>
      </c>
      <c r="B6" s="1" t="s">
        <v>345</v>
      </c>
      <c r="C6" s="5">
        <v>247061.53</v>
      </c>
      <c r="D6" s="5">
        <f t="shared" si="0"/>
        <v>20969</v>
      </c>
      <c r="E6" s="1" t="s">
        <v>2589</v>
      </c>
      <c r="F6" s="1">
        <v>38379.370000000003</v>
      </c>
      <c r="G6" s="1">
        <v>117825</v>
      </c>
      <c r="H6" s="1" t="s">
        <v>3027</v>
      </c>
      <c r="I6" s="1" t="s">
        <v>2591</v>
      </c>
      <c r="J6" s="1" t="s">
        <v>2848</v>
      </c>
      <c r="K6" s="1">
        <v>0</v>
      </c>
      <c r="L6" s="1" t="s">
        <v>2751</v>
      </c>
      <c r="M6" s="1" t="s">
        <v>2751</v>
      </c>
      <c r="N6" s="1">
        <v>297500</v>
      </c>
      <c r="O6" s="1">
        <v>297500</v>
      </c>
      <c r="P6" s="1">
        <v>25249.31</v>
      </c>
      <c r="Q6" s="1">
        <v>0</v>
      </c>
      <c r="R6" s="1" t="s">
        <v>3028</v>
      </c>
      <c r="S6" s="1" t="s">
        <v>2597</v>
      </c>
    </row>
    <row r="7" spans="1:19" s="1" customFormat="1">
      <c r="A7" s="1" t="s">
        <v>3029</v>
      </c>
      <c r="B7" s="1" t="s">
        <v>345</v>
      </c>
      <c r="C7" s="5">
        <v>252834.69500000001</v>
      </c>
      <c r="D7" s="5">
        <f t="shared" si="0"/>
        <v>33700</v>
      </c>
      <c r="E7" s="1" t="s">
        <v>2599</v>
      </c>
      <c r="F7" s="1">
        <v>26794.69</v>
      </c>
      <c r="G7" s="1">
        <v>75025</v>
      </c>
      <c r="H7" s="1" t="s">
        <v>2600</v>
      </c>
      <c r="I7" s="1" t="s">
        <v>2591</v>
      </c>
      <c r="J7" s="1" t="s">
        <v>1513</v>
      </c>
      <c r="K7" s="1">
        <v>0</v>
      </c>
      <c r="L7" s="1" t="s">
        <v>3030</v>
      </c>
      <c r="M7" s="1" t="s">
        <v>3030</v>
      </c>
      <c r="N7" s="1">
        <v>310000</v>
      </c>
      <c r="O7" s="1">
        <v>365000</v>
      </c>
      <c r="P7" s="1">
        <v>48650.44</v>
      </c>
      <c r="Q7" s="1">
        <v>17.739999999999998</v>
      </c>
      <c r="R7" s="1" t="s">
        <v>3031</v>
      </c>
      <c r="S7" s="1" t="s">
        <v>2597</v>
      </c>
    </row>
    <row r="8" spans="1:19" s="1" customFormat="1">
      <c r="A8" s="1" t="s">
        <v>3032</v>
      </c>
      <c r="B8" s="1" t="s">
        <v>345</v>
      </c>
      <c r="C8" s="5">
        <v>219885.598</v>
      </c>
      <c r="D8" s="5">
        <f t="shared" si="0"/>
        <v>33700</v>
      </c>
      <c r="E8" s="1" t="s">
        <v>2599</v>
      </c>
      <c r="F8" s="1">
        <v>23302.84</v>
      </c>
      <c r="G8" s="1">
        <v>65248</v>
      </c>
      <c r="H8" s="1" t="s">
        <v>2600</v>
      </c>
      <c r="I8" s="1" t="s">
        <v>2591</v>
      </c>
      <c r="J8" s="1" t="s">
        <v>1513</v>
      </c>
      <c r="K8" s="1">
        <v>0</v>
      </c>
      <c r="L8" s="1" t="s">
        <v>3030</v>
      </c>
      <c r="M8" s="1" t="s">
        <v>3030</v>
      </c>
      <c r="N8" s="1">
        <v>270000</v>
      </c>
      <c r="O8" s="1">
        <v>340000</v>
      </c>
      <c r="P8" s="1">
        <v>52108.87</v>
      </c>
      <c r="Q8" s="1">
        <v>25.93</v>
      </c>
      <c r="R8" s="1" t="s">
        <v>3033</v>
      </c>
      <c r="S8" s="1" t="s">
        <v>2597</v>
      </c>
    </row>
    <row r="9" spans="1:19" s="1" customFormat="1">
      <c r="A9" s="1" t="s">
        <v>3034</v>
      </c>
      <c r="B9" s="1" t="s">
        <v>345</v>
      </c>
      <c r="C9" s="5">
        <v>422124.18800000002</v>
      </c>
      <c r="D9" s="5">
        <f t="shared" si="0"/>
        <v>28397</v>
      </c>
      <c r="E9" s="1" t="s">
        <v>2589</v>
      </c>
      <c r="F9" s="1">
        <v>61068.41</v>
      </c>
      <c r="G9" s="1">
        <v>148649</v>
      </c>
      <c r="H9" s="1" t="s">
        <v>3035</v>
      </c>
      <c r="I9" s="1" t="s">
        <v>2591</v>
      </c>
      <c r="J9" s="1" t="s">
        <v>3036</v>
      </c>
      <c r="K9" s="1">
        <v>0</v>
      </c>
      <c r="L9" s="1" t="s">
        <v>3037</v>
      </c>
      <c r="M9" s="1" t="s">
        <v>3037</v>
      </c>
      <c r="N9" s="1">
        <v>510000</v>
      </c>
      <c r="O9" s="1">
        <v>510000</v>
      </c>
      <c r="P9" s="1">
        <v>34309.01</v>
      </c>
      <c r="Q9" s="1">
        <v>0</v>
      </c>
      <c r="R9" s="1" t="s">
        <v>3038</v>
      </c>
      <c r="S9" s="1" t="s">
        <v>2597</v>
      </c>
    </row>
    <row r="10" spans="1:19" s="1" customFormat="1">
      <c r="A10" s="1" t="s">
        <v>3039</v>
      </c>
      <c r="B10" s="1" t="s">
        <v>345</v>
      </c>
      <c r="C10" s="5">
        <v>546825.48</v>
      </c>
      <c r="D10" s="5">
        <f t="shared" si="0"/>
        <v>25536</v>
      </c>
      <c r="E10" s="1" t="s">
        <v>2589</v>
      </c>
      <c r="F10" s="1">
        <v>64377.39</v>
      </c>
      <c r="G10" s="1">
        <v>214138</v>
      </c>
      <c r="H10" s="1" t="s">
        <v>3040</v>
      </c>
      <c r="I10" s="1" t="s">
        <v>2591</v>
      </c>
      <c r="J10" s="1" t="s">
        <v>3041</v>
      </c>
      <c r="K10" s="1">
        <v>0</v>
      </c>
      <c r="L10" s="1" t="s">
        <v>2790</v>
      </c>
      <c r="M10" s="1" t="s">
        <v>2790</v>
      </c>
      <c r="N10" s="1">
        <v>657500</v>
      </c>
      <c r="O10" s="1">
        <v>734000</v>
      </c>
      <c r="P10" s="1">
        <v>34276.949999999997</v>
      </c>
      <c r="Q10" s="1">
        <v>11.63</v>
      </c>
      <c r="R10" s="1" t="s">
        <v>3042</v>
      </c>
      <c r="S10" s="1" t="s">
        <v>2597</v>
      </c>
    </row>
    <row r="11" spans="1:19" s="1" customFormat="1">
      <c r="A11" s="1" t="s">
        <v>3043</v>
      </c>
      <c r="B11" s="1" t="s">
        <v>345</v>
      </c>
      <c r="C11" s="5">
        <v>419814.87</v>
      </c>
      <c r="D11" s="5">
        <f t="shared" si="0"/>
        <v>36079</v>
      </c>
      <c r="E11" s="1" t="s">
        <v>2589</v>
      </c>
      <c r="F11" s="1">
        <v>48463.79</v>
      </c>
      <c r="G11" s="1">
        <v>116359</v>
      </c>
      <c r="H11" s="1">
        <v>2.4</v>
      </c>
      <c r="I11" s="1" t="s">
        <v>2591</v>
      </c>
      <c r="J11" s="1" t="s">
        <v>2592</v>
      </c>
      <c r="K11" s="1">
        <v>0</v>
      </c>
      <c r="L11" s="1" t="s">
        <v>3044</v>
      </c>
      <c r="M11" s="1" t="s">
        <v>3044</v>
      </c>
      <c r="N11" s="1">
        <v>495300</v>
      </c>
      <c r="O11" s="1">
        <v>495300</v>
      </c>
      <c r="P11" s="1">
        <v>42566.54</v>
      </c>
      <c r="Q11" s="1">
        <v>0</v>
      </c>
      <c r="R11" s="1" t="s">
        <v>3045</v>
      </c>
      <c r="S11" s="1" t="s">
        <v>2597</v>
      </c>
    </row>
    <row r="12" spans="1:19">
      <c r="A12" s="2" t="s">
        <v>2984</v>
      </c>
      <c r="B12" s="2" t="s">
        <v>345</v>
      </c>
      <c r="C12" s="4">
        <v>53088.68</v>
      </c>
      <c r="D12" s="4">
        <f t="shared" si="0"/>
        <v>12109</v>
      </c>
      <c r="E12" s="2" t="s">
        <v>2599</v>
      </c>
      <c r="F12" s="2">
        <v>17006.62</v>
      </c>
      <c r="G12" s="2">
        <v>43844.08</v>
      </c>
      <c r="H12" s="2">
        <v>2.58</v>
      </c>
      <c r="I12" s="2" t="s">
        <v>2631</v>
      </c>
      <c r="J12" s="2" t="s">
        <v>1513</v>
      </c>
      <c r="K12" s="2">
        <v>0</v>
      </c>
      <c r="L12" s="2" t="s">
        <v>2985</v>
      </c>
      <c r="M12" s="2" t="s">
        <v>2985</v>
      </c>
      <c r="N12" s="2" t="s">
        <v>2559</v>
      </c>
      <c r="O12" s="2">
        <v>98500</v>
      </c>
      <c r="P12" s="2">
        <v>22465.97</v>
      </c>
      <c r="Q12" s="2" t="s">
        <v>2559</v>
      </c>
      <c r="R12" s="2" t="s">
        <v>2986</v>
      </c>
      <c r="S12" s="2" t="s">
        <v>2597</v>
      </c>
    </row>
    <row r="13" spans="1:19">
      <c r="A13" s="2" t="s">
        <v>3046</v>
      </c>
      <c r="B13" s="2" t="s">
        <v>345</v>
      </c>
      <c r="C13" s="4">
        <v>396594.77</v>
      </c>
      <c r="D13" s="4">
        <f t="shared" si="0"/>
        <v>25952</v>
      </c>
      <c r="E13" s="2" t="s">
        <v>2599</v>
      </c>
      <c r="F13" s="2">
        <v>61127.91</v>
      </c>
      <c r="G13" s="2">
        <v>152820</v>
      </c>
      <c r="H13" s="2">
        <v>2.5</v>
      </c>
      <c r="I13" s="2" t="s">
        <v>2591</v>
      </c>
      <c r="J13" s="2" t="s">
        <v>1513</v>
      </c>
      <c r="K13" s="2">
        <v>0</v>
      </c>
      <c r="L13" s="2" t="s">
        <v>3047</v>
      </c>
      <c r="M13" s="2" t="s">
        <v>3047</v>
      </c>
      <c r="N13" s="2">
        <v>483400</v>
      </c>
      <c r="O13" s="2">
        <v>483400</v>
      </c>
      <c r="P13" s="2">
        <v>31631.99</v>
      </c>
      <c r="Q13" s="2">
        <v>0</v>
      </c>
      <c r="R13" s="2" t="s">
        <v>3048</v>
      </c>
      <c r="S13" s="2" t="s">
        <v>2597</v>
      </c>
    </row>
  </sheetData>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0" zoomScale="90" zoomScaleNormal="70" zoomScaleSheetLayoutView="90" workbookViewId="0">
      <selection activeCell="F30" sqref="F30"/>
    </sheetView>
  </sheetViews>
  <sheetFormatPr defaultColWidth="8.375" defaultRowHeight="12.75"/>
  <cols>
    <col min="1" max="1" width="10.375" style="231" customWidth="1"/>
    <col min="2" max="2" width="29.25" style="232" customWidth="1"/>
    <col min="3" max="3" width="12.125" style="232" customWidth="1"/>
    <col min="4" max="5" width="11.25" style="233" customWidth="1"/>
    <col min="6" max="6" width="9.5" style="232" customWidth="1"/>
    <col min="7" max="7" width="31.875" style="232" customWidth="1"/>
    <col min="8" max="254" width="9" style="232" customWidth="1"/>
    <col min="255" max="16384" width="8.375" style="232"/>
  </cols>
  <sheetData>
    <row r="1" spans="1:9" s="226" customFormat="1" ht="20.25">
      <c r="A1" s="234" t="s">
        <v>922</v>
      </c>
      <c r="B1" s="2021"/>
      <c r="C1" s="236"/>
      <c r="D1" s="236"/>
      <c r="E1" s="236"/>
      <c r="F1" s="236"/>
      <c r="G1" s="2023">
        <f>MATCH(B1,'数据-取费表'!A6:A16,0)+5</f>
        <v>7</v>
      </c>
    </row>
    <row r="2" spans="1:9" s="226" customFormat="1" ht="18" customHeight="1">
      <c r="A2" s="238" t="s">
        <v>923</v>
      </c>
      <c r="B2" s="239">
        <f ca="1">IF(D2="——",C52,C52-E2)</f>
        <v>7802</v>
      </c>
      <c r="C2" s="237" t="s">
        <v>924</v>
      </c>
      <c r="D2" s="2025" t="s">
        <v>124</v>
      </c>
      <c r="E2" s="2026" t="e">
        <f ca="1">SUMIF(INDIRECT("'"&amp;G2&amp;"'"&amp;"!A:A"),"承租人权益价值",INDIRECT("'"&amp;G2&amp;"'"&amp;"!c:c"))</f>
        <v>#REF!</v>
      </c>
      <c r="F2" s="2027" t="s">
        <v>924</v>
      </c>
      <c r="G2" s="2028"/>
    </row>
    <row r="3" spans="1:9" s="226" customFormat="1" ht="18" customHeight="1">
      <c r="A3" s="241" t="s">
        <v>925</v>
      </c>
      <c r="B3" s="242">
        <f ca="1">ROUND(B2*10000/(IF(B1="",'数据-汇总表'!E3,INDIRECT("'数据-取费表'!k"&amp;$G$1))),0)</f>
        <v>78020000</v>
      </c>
      <c r="C3" s="237" t="s">
        <v>926</v>
      </c>
      <c r="D3" s="237"/>
      <c r="E3" s="237"/>
      <c r="F3" s="237"/>
      <c r="G3" s="237"/>
    </row>
    <row r="4" spans="1:9" s="227" customFormat="1" ht="15.75">
      <c r="A4" s="243" t="s">
        <v>927</v>
      </c>
      <c r="B4" s="244"/>
      <c r="C4" s="244"/>
      <c r="D4" s="244"/>
      <c r="E4" s="244"/>
      <c r="F4" s="244"/>
      <c r="G4" s="245"/>
    </row>
    <row r="5" spans="1:9" s="228" customFormat="1" ht="13.5" customHeight="1">
      <c r="A5" s="246" t="s">
        <v>928</v>
      </c>
      <c r="B5" s="247" t="s">
        <v>929</v>
      </c>
      <c r="C5" s="248">
        <f>C6+C7+C8</f>
        <v>5890</v>
      </c>
      <c r="D5" s="248" t="s">
        <v>930</v>
      </c>
      <c r="E5" s="249" t="s">
        <v>931</v>
      </c>
      <c r="F5" s="249" t="s">
        <v>828</v>
      </c>
      <c r="G5" s="250"/>
    </row>
    <row r="6" spans="1:9" s="228" customFormat="1" ht="13.5" customHeight="1">
      <c r="A6" s="251" t="s">
        <v>932</v>
      </c>
      <c r="B6" s="252" t="s">
        <v>933</v>
      </c>
      <c r="C6" s="253">
        <f>共产房土地案例新!N6</f>
        <v>5890</v>
      </c>
      <c r="D6" s="254"/>
      <c r="E6" s="255"/>
      <c r="F6" s="255"/>
      <c r="G6" s="256"/>
    </row>
    <row r="7" spans="1:9" s="228" customFormat="1" ht="13.5" customHeight="1">
      <c r="A7" s="251" t="s">
        <v>934</v>
      </c>
      <c r="B7" s="252" t="s">
        <v>935</v>
      </c>
      <c r="C7" s="257">
        <f>ROUND(C6*F7,0)</f>
        <v>0</v>
      </c>
      <c r="D7" s="257"/>
      <c r="E7" s="255"/>
      <c r="F7" s="258">
        <f>IF(项目基本情况!B8="出让",0,'数据-取费表'!B48+'数据-取费表'!B49)</f>
        <v>0</v>
      </c>
      <c r="G7" s="256"/>
    </row>
    <row r="8" spans="1:9" s="229" customFormat="1">
      <c r="A8" s="251" t="s">
        <v>936</v>
      </c>
      <c r="B8" s="252" t="s">
        <v>937</v>
      </c>
      <c r="C8" s="257" t="str">
        <f>IF(G8="已包含在土地购买价格中","0",IF(B1="",'数据-取费表'!B29,IF(G9="全部缴纳",C9+C10,H9)))</f>
        <v>0</v>
      </c>
      <c r="D8" s="259"/>
      <c r="E8" s="257"/>
      <c r="F8" s="258"/>
      <c r="G8" s="2029" t="s">
        <v>1142</v>
      </c>
    </row>
    <row r="9" spans="1:9" s="228" customFormat="1" ht="13.5" customHeight="1">
      <c r="A9" s="261" t="s">
        <v>938</v>
      </c>
      <c r="B9" s="262" t="s">
        <v>939</v>
      </c>
      <c r="C9" s="263">
        <f ca="1">ROUND(D9*E9/10000,0)</f>
        <v>0</v>
      </c>
      <c r="D9" s="264">
        <f ca="1">IF(B1="",'数据-汇总表'!E5,IF(INDIRECT("'数据-取费表'!c"&amp;$G$1)="住宅",INDIRECT("'数据-取费表'!k"&amp;$G$1),0))</f>
        <v>1</v>
      </c>
      <c r="E9" s="263">
        <f>'数据-取费表'!B27</f>
        <v>160</v>
      </c>
      <c r="F9" s="258"/>
      <c r="G9" s="2124" t="s">
        <v>3125</v>
      </c>
      <c r="H9" s="2125"/>
      <c r="I9" s="2129" t="s">
        <v>940</v>
      </c>
    </row>
    <row r="10" spans="1:9" s="228" customFormat="1" ht="13.5" customHeight="1">
      <c r="A10" s="261" t="s">
        <v>941</v>
      </c>
      <c r="B10" s="262" t="s">
        <v>942</v>
      </c>
      <c r="C10" s="263">
        <f ca="1">ROUND(D10*E10/10000,0)</f>
        <v>0</v>
      </c>
      <c r="D10" s="264">
        <f ca="1">IF(B1="",'数据-汇总表'!E6,IF(INDIRECT("'数据-取费表'!c"&amp;$G$1)="住宅",INDIRECT("'数据-取费表'!s"&amp;$G$1),INDIRECT("'数据-取费表'!k"&amp;$G$1)+INDIRECT("'数据-取费表'!s"&amp;$G$1)))</f>
        <v>0</v>
      </c>
      <c r="E10" s="263">
        <f>'数据-取费表'!B28</f>
        <v>0</v>
      </c>
      <c r="F10" s="258"/>
      <c r="G10" s="265"/>
    </row>
    <row r="11" spans="1:9" s="228" customFormat="1" ht="13.5" hidden="1" customHeight="1">
      <c r="A11" s="266" t="s">
        <v>943</v>
      </c>
      <c r="B11" s="252" t="s">
        <v>944</v>
      </c>
      <c r="C11" s="248"/>
      <c r="D11" s="267"/>
      <c r="E11" s="255"/>
      <c r="F11" s="255"/>
      <c r="G11" s="256"/>
    </row>
    <row r="12" spans="1:9" s="228" customFormat="1" ht="13.5" hidden="1" customHeight="1">
      <c r="A12" s="266" t="s">
        <v>945</v>
      </c>
      <c r="B12" s="252" t="s">
        <v>864</v>
      </c>
      <c r="C12" s="248">
        <v>0</v>
      </c>
      <c r="D12" s="267"/>
      <c r="E12" s="268"/>
      <c r="F12" s="258">
        <v>3.0499999999999999E-2</v>
      </c>
      <c r="G12" s="256"/>
    </row>
    <row r="13" spans="1:9" s="228" customFormat="1" ht="13.5" hidden="1" customHeight="1">
      <c r="A13" s="266" t="s">
        <v>946</v>
      </c>
      <c r="B13" s="252" t="s">
        <v>947</v>
      </c>
      <c r="C13" s="248"/>
      <c r="D13" s="267"/>
      <c r="E13" s="255"/>
      <c r="F13" s="255"/>
      <c r="G13" s="256"/>
    </row>
    <row r="14" spans="1:9" s="228" customFormat="1" ht="13.5" hidden="1" customHeight="1">
      <c r="A14" s="266" t="s">
        <v>948</v>
      </c>
      <c r="B14" s="252" t="s">
        <v>937</v>
      </c>
      <c r="C14" s="248"/>
      <c r="D14" s="267"/>
      <c r="E14" s="255"/>
      <c r="F14" s="255"/>
      <c r="G14" s="256" t="s">
        <v>949</v>
      </c>
    </row>
    <row r="15" spans="1:9" s="228" customFormat="1" ht="13.5" hidden="1" customHeight="1">
      <c r="A15" s="266" t="s">
        <v>950</v>
      </c>
      <c r="B15" s="252" t="s">
        <v>951</v>
      </c>
      <c r="C15" s="257"/>
      <c r="D15" s="267"/>
      <c r="E15" s="255"/>
      <c r="F15" s="255"/>
      <c r="G15" s="256" t="s">
        <v>952</v>
      </c>
    </row>
    <row r="16" spans="1:9" s="228" customFormat="1" ht="13.5" hidden="1" customHeight="1">
      <c r="A16" s="266" t="s">
        <v>953</v>
      </c>
      <c r="B16" s="252" t="s">
        <v>937</v>
      </c>
      <c r="C16" s="257"/>
      <c r="D16" s="267"/>
      <c r="E16" s="255"/>
      <c r="F16" s="255"/>
      <c r="G16" s="256"/>
    </row>
    <row r="17" spans="1:7" s="228" customFormat="1" ht="13.5" hidden="1" customHeight="1">
      <c r="A17" s="266" t="s">
        <v>954</v>
      </c>
      <c r="B17" s="252" t="s">
        <v>955</v>
      </c>
      <c r="C17" s="269"/>
      <c r="D17" s="270"/>
      <c r="E17" s="269"/>
      <c r="F17" s="269"/>
      <c r="G17" s="256" t="s">
        <v>952</v>
      </c>
    </row>
    <row r="18" spans="1:7" s="228" customFormat="1" ht="13.5" hidden="1" customHeight="1">
      <c r="A18" s="266" t="s">
        <v>956</v>
      </c>
      <c r="B18" s="252" t="s">
        <v>957</v>
      </c>
      <c r="C18" s="257">
        <v>0</v>
      </c>
      <c r="D18" s="267"/>
      <c r="E18" s="255"/>
      <c r="F18" s="258">
        <v>3.0499999999999999E-2</v>
      </c>
      <c r="G18" s="256" t="s">
        <v>958</v>
      </c>
    </row>
    <row r="19" spans="1:7" s="229" customFormat="1" ht="13.5" customHeight="1">
      <c r="A19" s="246" t="s">
        <v>959</v>
      </c>
      <c r="B19" s="247" t="s">
        <v>960</v>
      </c>
      <c r="C19" s="248">
        <f ca="1">IF(G19="已包含在土地取得成本中","0",ROUND(D19*E19/10000,0))</f>
        <v>0</v>
      </c>
      <c r="D19" s="272">
        <f ca="1">D9+D10</f>
        <v>1</v>
      </c>
      <c r="E19" s="248">
        <f>'数据-取费表'!B31</f>
        <v>0</v>
      </c>
      <c r="F19" s="273"/>
      <c r="G19" s="2029" t="s">
        <v>2125</v>
      </c>
    </row>
    <row r="20" spans="1:7" s="228" customFormat="1" ht="13.5" customHeight="1">
      <c r="A20" s="246" t="s">
        <v>961</v>
      </c>
      <c r="B20" s="247" t="s">
        <v>962</v>
      </c>
      <c r="C20" s="274">
        <f ca="1">ROUND((C5+C19)*F20,0)</f>
        <v>118</v>
      </c>
      <c r="D20" s="274"/>
      <c r="E20" s="274"/>
      <c r="F20" s="275">
        <f>'数据-取费表'!B37</f>
        <v>0.02</v>
      </c>
      <c r="G20" s="279" t="s">
        <v>963</v>
      </c>
    </row>
    <row r="21" spans="1:7" s="228" customFormat="1" ht="13.5" customHeight="1">
      <c r="A21" s="246" t="s">
        <v>964</v>
      </c>
      <c r="B21" s="247" t="s">
        <v>965</v>
      </c>
      <c r="C21" s="277">
        <f>F21</f>
        <v>0.01</v>
      </c>
      <c r="D21" s="278" t="s">
        <v>966</v>
      </c>
      <c r="E21" s="274"/>
      <c r="F21" s="275">
        <f>'数据-取费表'!B38</f>
        <v>0.01</v>
      </c>
      <c r="G21" s="279" t="s">
        <v>967</v>
      </c>
    </row>
    <row r="22" spans="1:7" s="228" customFormat="1" ht="13.5" customHeight="1">
      <c r="A22" s="246" t="s">
        <v>968</v>
      </c>
      <c r="B22" s="247" t="s">
        <v>969</v>
      </c>
      <c r="C22" s="280">
        <f ca="1">ROUND(SUM(C23:C25),0)</f>
        <v>811</v>
      </c>
      <c r="D22" s="277">
        <f ca="1">C26</f>
        <v>6.9999999999999999E-4</v>
      </c>
      <c r="E22" s="278" t="s">
        <v>966</v>
      </c>
      <c r="F22" s="281">
        <f ca="1">'数据-取费表'!B40</f>
        <v>4.3499999999999997E-2</v>
      </c>
      <c r="G22" s="279" t="str">
        <f>IF('数据-取费表'!B22&lt;=1,"单利计息","复利计息")</f>
        <v>复利计息</v>
      </c>
    </row>
    <row r="23" spans="1:7" s="228" customFormat="1" ht="13.5" customHeight="1">
      <c r="A23" s="282" t="s">
        <v>932</v>
      </c>
      <c r="B23" s="252" t="s">
        <v>970</v>
      </c>
      <c r="C23" s="283">
        <f ca="1">ROUND(IF('数据-取费表'!B22&lt;=1,C5*F22*'数据-取费表'!B23,C5*(POWER((1+F22),'数据-取费表'!B23)-1)),0)</f>
        <v>803</v>
      </c>
      <c r="D23" s="284"/>
      <c r="E23" s="284"/>
      <c r="F23" s="285"/>
      <c r="G23" s="286" t="s">
        <v>971</v>
      </c>
    </row>
    <row r="24" spans="1:7" s="228" customFormat="1" ht="13.5" customHeight="1">
      <c r="A24" s="282" t="s">
        <v>934</v>
      </c>
      <c r="B24" s="252" t="s">
        <v>972</v>
      </c>
      <c r="C24" s="283">
        <f ca="1">ROUND(IF('数据-取费表'!B22&lt;=1,C19*F22*('数据-取费表'!B19/2+'数据-取费表'!B21),C19*(POWER((1+F22),('数据-取费表'!B19/2+'数据-取费表'!B21))-1)),0)</f>
        <v>0</v>
      </c>
      <c r="D24" s="284"/>
      <c r="E24" s="284"/>
      <c r="F24" s="285"/>
      <c r="G24" s="286" t="s">
        <v>973</v>
      </c>
    </row>
    <row r="25" spans="1:7" s="228" customFormat="1" ht="24">
      <c r="A25" s="282" t="s">
        <v>936</v>
      </c>
      <c r="B25" s="252" t="s">
        <v>974</v>
      </c>
      <c r="C25" s="283">
        <f ca="1">ROUND(IF('数据-取费表'!B22&lt;=1,C20*F22*'数据-取费表'!B23/2,C20*(POWER((1+F22),'数据-取费表'!B23/2)-1)),0)</f>
        <v>8</v>
      </c>
      <c r="D25" s="284"/>
      <c r="E25" s="287"/>
      <c r="F25" s="285"/>
      <c r="G25" s="288" t="s">
        <v>975</v>
      </c>
    </row>
    <row r="26" spans="1:7" s="228" customFormat="1">
      <c r="A26" s="282" t="s">
        <v>976</v>
      </c>
      <c r="B26" s="252" t="s">
        <v>977</v>
      </c>
      <c r="C26" s="284">
        <f ca="1">ROUND(IF('数据-取费表'!B22&lt;=1,F21*F22*'数据-取费表'!B23/2,F21*(POWER((1+F22),'数据-取费表'!B23/2)-1)),4)</f>
        <v>6.9999999999999999E-4</v>
      </c>
      <c r="D26" s="284"/>
      <c r="E26" s="287"/>
      <c r="F26" s="285"/>
      <c r="G26" s="289"/>
    </row>
    <row r="27" spans="1:7" s="228" customFormat="1" ht="24.75">
      <c r="A27" s="246" t="s">
        <v>978</v>
      </c>
      <c r="B27" s="290" t="s">
        <v>979</v>
      </c>
      <c r="C27" s="291">
        <f ca="1">C28</f>
        <v>180</v>
      </c>
      <c r="D27" s="277">
        <f ca="1">C29</f>
        <v>2.9999999999999997E-4</v>
      </c>
      <c r="E27" s="278" t="s">
        <v>966</v>
      </c>
      <c r="F27" s="292">
        <f ca="1">IF(B1="",'数据-取费表'!Q16,INDIRECT("'数据-取费表'!q"&amp;$G$1))</f>
        <v>0.03</v>
      </c>
      <c r="G27" s="293" t="s">
        <v>980</v>
      </c>
    </row>
    <row r="28" spans="1:7" s="228" customFormat="1" ht="13.5" customHeight="1">
      <c r="A28" s="282" t="s">
        <v>932</v>
      </c>
      <c r="B28" s="294" t="s">
        <v>981</v>
      </c>
      <c r="C28" s="295">
        <f ca="1">ROUND((C5+C19+C20)*F27*'数据-取费表'!B21/'数据-取费表'!B20,0)</f>
        <v>180</v>
      </c>
      <c r="D28" s="277"/>
      <c r="E28" s="278"/>
      <c r="F28" s="292"/>
      <c r="G28" s="293"/>
    </row>
    <row r="29" spans="1:7" s="228" customFormat="1" ht="13.5" customHeight="1">
      <c r="A29" s="282" t="s">
        <v>934</v>
      </c>
      <c r="B29" s="294" t="s">
        <v>982</v>
      </c>
      <c r="C29" s="284">
        <f ca="1">ROUND(C21*F27*'数据-取费表'!B21/'数据-取费表'!B20,4)</f>
        <v>2.9999999999999997E-4</v>
      </c>
      <c r="D29" s="277"/>
      <c r="E29" s="278"/>
      <c r="F29" s="292"/>
      <c r="G29" s="293"/>
    </row>
    <row r="30" spans="1:7" s="228" customFormat="1" ht="13.5" customHeight="1">
      <c r="A30" s="246" t="s">
        <v>983</v>
      </c>
      <c r="B30" s="247" t="s">
        <v>984</v>
      </c>
      <c r="C30" s="3221">
        <f>ROUND((1/1.09*0.09-C21/1.06*0.06)*(1+'数据-取费表'!B44+'数据-取费表'!B45+'数据-取费表'!B46),4)</f>
        <v>9.1800000000000007E-2</v>
      </c>
      <c r="D30" s="3222">
        <f>ROUND(C6/1.09*0.09*(1+'数据-取费表'!B44+'数据-取费表'!B45+'数据-取费表'!B46),0)</f>
        <v>545</v>
      </c>
      <c r="E30" s="287"/>
      <c r="F30" s="281">
        <v>5.6000000000000001E-2</v>
      </c>
      <c r="G30" s="279" t="s">
        <v>985</v>
      </c>
    </row>
    <row r="31" spans="1:7" ht="16.5" customHeight="1">
      <c r="A31" s="296">
        <v>1</v>
      </c>
      <c r="B31" s="247" t="s">
        <v>986</v>
      </c>
      <c r="C31" s="3167">
        <f ca="1">ROUND((C5+C19+C20+C22+C27)/(1-C21-D22-D27-C30),0)</f>
        <v>7801</v>
      </c>
      <c r="D31" s="297"/>
      <c r="E31" s="248"/>
      <c r="F31" s="298"/>
      <c r="G31" s="279" t="s">
        <v>987</v>
      </c>
    </row>
    <row r="32" spans="1:7" s="227" customFormat="1" ht="15.75">
      <c r="A32" s="299" t="s">
        <v>988</v>
      </c>
      <c r="B32" s="300"/>
      <c r="C32" s="300"/>
      <c r="D32" s="300"/>
      <c r="E32" s="300"/>
      <c r="F32" s="300"/>
      <c r="G32" s="301"/>
    </row>
    <row r="33" spans="1:7" s="228" customFormat="1" ht="13.5" customHeight="1">
      <c r="A33" s="246" t="s">
        <v>928</v>
      </c>
      <c r="B33" s="247" t="s">
        <v>989</v>
      </c>
      <c r="C33" s="302">
        <f ca="1">SUM(C34:C38)</f>
        <v>1</v>
      </c>
      <c r="D33" s="274"/>
      <c r="E33" s="249"/>
      <c r="F33" s="287"/>
      <c r="G33" s="279"/>
    </row>
    <row r="34" spans="1:7" s="230" customFormat="1" ht="13.5" customHeight="1">
      <c r="A34" s="282" t="s">
        <v>932</v>
      </c>
      <c r="B34" s="252" t="s">
        <v>990</v>
      </c>
      <c r="C34" s="257">
        <f ca="1">IF(B1="",IF(F34=100%,'数据-取费表'!M16,'数据-取费表'!O16),IF(F34=100%,INDIRECT("'数据-取费表'!m"&amp;$G$1)+INDIRECT("'数据-取费表'!t"&amp;$G$1),INDIRECT("'数据-取费表'!o"&amp;$G$1)+INDIRECT("'数据-取费表'!aq"&amp;$G$1)))</f>
        <v>1</v>
      </c>
      <c r="D34" s="254"/>
      <c r="E34" s="257"/>
      <c r="F34" s="303">
        <f ca="1">IF('数据-取费表'!B24=0,1,IF(B1="",'数据-取费表'!N16,INDIRECT("'数据-取费表'!n"&amp;$G$1)))</f>
        <v>1</v>
      </c>
      <c r="G34" s="256" t="s">
        <v>991</v>
      </c>
    </row>
    <row r="35" spans="1:7" ht="13.5" customHeight="1">
      <c r="A35" s="282" t="s">
        <v>934</v>
      </c>
      <c r="B35" s="252" t="s">
        <v>992</v>
      </c>
      <c r="C35" s="257">
        <f ca="1">ROUND(C34*F35,0)</f>
        <v>0</v>
      </c>
      <c r="D35" s="257"/>
      <c r="E35" s="257"/>
      <c r="F35" s="304">
        <f>'数据-取费表'!B33</f>
        <v>0.03</v>
      </c>
      <c r="G35" s="256" t="s">
        <v>993</v>
      </c>
    </row>
    <row r="36" spans="1:7" ht="24">
      <c r="A36" s="282" t="s">
        <v>936</v>
      </c>
      <c r="B36" s="252" t="s">
        <v>994</v>
      </c>
      <c r="C36" s="257">
        <f ca="1">ROUND(IF(B1="",SUMIF('数据-取费表'!C:C,"住宅",IF(F34=100%,'数据-取费表'!M:M,'数据-取费表'!O:O))*F36,IF(INDIRECT("'数据-取费表'!c"&amp;$G$1)="住宅",IF(F34=100%,INDIRECT("'数据-取费表'!m"&amp;$G$1)*F36,INDIRECT("'数据-取费表'!o"&amp;$G$1)*F36),0)),0)</f>
        <v>0</v>
      </c>
      <c r="D36" s="257"/>
      <c r="E36" s="257"/>
      <c r="F36" s="304">
        <f>'数据-取费表'!B34</f>
        <v>0.05</v>
      </c>
      <c r="G36" s="305" t="s">
        <v>995</v>
      </c>
    </row>
    <row r="37" spans="1:7" s="230" customFormat="1" ht="13.5" customHeight="1">
      <c r="A37" s="282" t="s">
        <v>976</v>
      </c>
      <c r="B37" s="252" t="s">
        <v>996</v>
      </c>
      <c r="C37" s="295">
        <f ca="1">ROUND(E37*D37*F34/10000,0)</f>
        <v>0</v>
      </c>
      <c r="D37" s="254">
        <f ca="1">D19</f>
        <v>1</v>
      </c>
      <c r="E37" s="295">
        <f>'数据-取费表'!B35</f>
        <v>200</v>
      </c>
      <c r="F37" s="304"/>
      <c r="G37" s="306" t="s">
        <v>997</v>
      </c>
    </row>
    <row r="38" spans="1:7" ht="13.5" customHeight="1">
      <c r="A38" s="282" t="s">
        <v>998</v>
      </c>
      <c r="B38" s="252" t="s">
        <v>864</v>
      </c>
      <c r="C38" s="257">
        <f ca="1">ROUND(C34*F38,0)</f>
        <v>0</v>
      </c>
      <c r="D38" s="257"/>
      <c r="E38" s="257"/>
      <c r="F38" s="304">
        <f>'数据-取费表'!B36</f>
        <v>1.4999999999999999E-2</v>
      </c>
      <c r="G38" s="256" t="s">
        <v>993</v>
      </c>
    </row>
    <row r="39" spans="1:7" s="228" customFormat="1" ht="13.5" customHeight="1">
      <c r="A39" s="246" t="s">
        <v>959</v>
      </c>
      <c r="B39" s="247" t="s">
        <v>962</v>
      </c>
      <c r="C39" s="274">
        <f ca="1">ROUND(C33*F20,0)</f>
        <v>0</v>
      </c>
      <c r="D39" s="274"/>
      <c r="E39" s="274"/>
      <c r="F39" s="2126">
        <f>F20</f>
        <v>0.02</v>
      </c>
      <c r="G39" s="279" t="s">
        <v>999</v>
      </c>
    </row>
    <row r="40" spans="1:7" s="228" customFormat="1" ht="13.5" customHeight="1">
      <c r="A40" s="246" t="s">
        <v>961</v>
      </c>
      <c r="B40" s="247" t="s">
        <v>965</v>
      </c>
      <c r="C40" s="2035">
        <f>F21</f>
        <v>0.01</v>
      </c>
      <c r="D40" s="278" t="s">
        <v>1000</v>
      </c>
      <c r="E40" s="274"/>
      <c r="F40" s="2126">
        <f>F21</f>
        <v>0.01</v>
      </c>
      <c r="G40" s="279" t="s">
        <v>1001</v>
      </c>
    </row>
    <row r="41" spans="1:7" s="228" customFormat="1" ht="13.5" customHeight="1">
      <c r="A41" s="246" t="s">
        <v>964</v>
      </c>
      <c r="B41" s="247" t="s">
        <v>969</v>
      </c>
      <c r="C41" s="274">
        <f ca="1">ROUND(SUM(C42:C43),0)</f>
        <v>0</v>
      </c>
      <c r="D41" s="277">
        <f ca="1">C44</f>
        <v>6.9999999999999999E-4</v>
      </c>
      <c r="E41" s="278" t="s">
        <v>1000</v>
      </c>
      <c r="F41" s="2127">
        <f ca="1">F22</f>
        <v>4.3499999999999997E-2</v>
      </c>
      <c r="G41" s="279" t="str">
        <f>IF('数据-取费表'!B22&lt;=1,"单利计息","复利计息")</f>
        <v>复利计息</v>
      </c>
    </row>
    <row r="42" spans="1:7" ht="13.5" customHeight="1">
      <c r="A42" s="282" t="s">
        <v>932</v>
      </c>
      <c r="B42" s="252" t="s">
        <v>970</v>
      </c>
      <c r="C42" s="284">
        <f ca="1">ROUND(IF('数据-取费表'!B22&lt;=1,C33*F22*'数据-取费表'!B21/2,C33*(POWER((1+F22),'数据-取费表'!B21/2)-1)),0)</f>
        <v>0</v>
      </c>
      <c r="D42" s="284"/>
      <c r="E42" s="284"/>
      <c r="F42" s="285"/>
      <c r="G42" s="3412" t="s">
        <v>1002</v>
      </c>
    </row>
    <row r="43" spans="1:7" ht="13.5" customHeight="1">
      <c r="A43" s="282" t="s">
        <v>934</v>
      </c>
      <c r="B43" s="252" t="s">
        <v>972</v>
      </c>
      <c r="C43" s="284">
        <f ca="1">ROUND(IF('数据-取费表'!B22&lt;=1,C39*F22*'数据-取费表'!B21/2,C39*(POWER((1+F22),'数据-取费表'!B21/2)-1)),0)</f>
        <v>0</v>
      </c>
      <c r="D43" s="284"/>
      <c r="E43" s="284"/>
      <c r="F43" s="285"/>
      <c r="G43" s="3413"/>
    </row>
    <row r="44" spans="1:7" ht="13.5" customHeight="1">
      <c r="A44" s="282" t="s">
        <v>936</v>
      </c>
      <c r="B44" s="252" t="s">
        <v>974</v>
      </c>
      <c r="C44" s="284">
        <f ca="1">ROUND(IF('数据-取费表'!B22&lt;=1,C40*F22*'数据-取费表'!B21/2,C40*(POWER((1+F22),'数据-取费表'!B21/2)-1)),4)</f>
        <v>6.9999999999999999E-4</v>
      </c>
      <c r="D44" s="284"/>
      <c r="E44" s="284"/>
      <c r="F44" s="285"/>
      <c r="G44" s="3414"/>
    </row>
    <row r="45" spans="1:7" s="228" customFormat="1" ht="13.5" customHeight="1">
      <c r="A45" s="246" t="s">
        <v>968</v>
      </c>
      <c r="B45" s="290" t="s">
        <v>979</v>
      </c>
      <c r="C45" s="291">
        <f ca="1">C46</f>
        <v>0</v>
      </c>
      <c r="D45" s="277">
        <f ca="1">C47</f>
        <v>2.9999999999999997E-4</v>
      </c>
      <c r="E45" s="278" t="s">
        <v>1000</v>
      </c>
      <c r="F45" s="2128">
        <f ca="1">F27</f>
        <v>0.03</v>
      </c>
      <c r="G45" s="293" t="s">
        <v>1003</v>
      </c>
    </row>
    <row r="46" spans="1:7" s="228" customFormat="1" ht="13.5" customHeight="1">
      <c r="A46" s="282" t="s">
        <v>932</v>
      </c>
      <c r="B46" s="294" t="s">
        <v>1004</v>
      </c>
      <c r="C46" s="295">
        <f ca="1">ROUND((C33+C39)*F27,0)</f>
        <v>0</v>
      </c>
      <c r="D46" s="308"/>
      <c r="E46" s="278"/>
      <c r="F46" s="292"/>
      <c r="G46" s="293"/>
    </row>
    <row r="47" spans="1:7" s="228" customFormat="1" ht="13.5" customHeight="1">
      <c r="A47" s="282" t="s">
        <v>934</v>
      </c>
      <c r="B47" s="294" t="s">
        <v>1005</v>
      </c>
      <c r="C47" s="284">
        <f ca="1">ROUND(C40*F27,4)</f>
        <v>2.9999999999999997E-4</v>
      </c>
      <c r="D47" s="308"/>
      <c r="E47" s="278"/>
      <c r="F47" s="292"/>
      <c r="G47" s="293"/>
    </row>
    <row r="48" spans="1:7" s="228" customFormat="1" ht="13.5" customHeight="1">
      <c r="A48" s="246" t="s">
        <v>978</v>
      </c>
      <c r="B48" s="247" t="s">
        <v>984</v>
      </c>
      <c r="C48" s="2035">
        <f>ROUND(F30/(1+'数据-取费表'!C42),4)</f>
        <v>5.33E-2</v>
      </c>
      <c r="D48" s="278" t="s">
        <v>1000</v>
      </c>
      <c r="E48" s="274"/>
      <c r="F48" s="2127">
        <f>F30</f>
        <v>5.6000000000000001E-2</v>
      </c>
      <c r="G48" s="279" t="s">
        <v>1006</v>
      </c>
    </row>
    <row r="49" spans="1:7" ht="16.5" customHeight="1">
      <c r="A49" s="246" t="s">
        <v>983</v>
      </c>
      <c r="B49" s="247" t="s">
        <v>1007</v>
      </c>
      <c r="C49" s="274">
        <f ca="1">ROUND((C33+C39+C41+C45)/(1-C40-D41-D45-C48),0)</f>
        <v>1</v>
      </c>
      <c r="D49" s="274"/>
      <c r="E49" s="274"/>
      <c r="F49" s="309"/>
      <c r="G49" s="279" t="s">
        <v>1008</v>
      </c>
    </row>
    <row r="50" spans="1:7" s="230" customFormat="1" ht="24">
      <c r="A50" s="246" t="s">
        <v>1009</v>
      </c>
      <c r="B50" s="247" t="s">
        <v>1010</v>
      </c>
      <c r="C50" s="274"/>
      <c r="D50" s="274"/>
      <c r="E50" s="274"/>
      <c r="F50" s="309">
        <f>IF('数据-取费表'!B24=0,'数据-取费表'!N16,1)</f>
        <v>1</v>
      </c>
      <c r="G50" s="293" t="s">
        <v>1011</v>
      </c>
    </row>
    <row r="51" spans="1:7" ht="16.5" customHeight="1">
      <c r="A51" s="246" t="s">
        <v>1012</v>
      </c>
      <c r="B51" s="247" t="s">
        <v>1013</v>
      </c>
      <c r="C51" s="274">
        <f ca="1">ROUND(C49*F50,0)</f>
        <v>1</v>
      </c>
      <c r="D51" s="274"/>
      <c r="E51" s="274"/>
      <c r="F51" s="309"/>
      <c r="G51" s="279" t="s">
        <v>1014</v>
      </c>
    </row>
    <row r="52" spans="1:7" s="227" customFormat="1" ht="15.75">
      <c r="A52" s="310" t="s">
        <v>1015</v>
      </c>
      <c r="B52" s="311"/>
      <c r="C52" s="312">
        <f ca="1">C31+C51</f>
        <v>7802</v>
      </c>
      <c r="D52" s="311"/>
      <c r="E52" s="311"/>
      <c r="F52" s="311"/>
      <c r="G52" s="313"/>
    </row>
    <row r="55" spans="1:7" ht="15">
      <c r="B55" s="314" t="s">
        <v>1016</v>
      </c>
      <c r="C55" s="315"/>
    </row>
    <row r="56" spans="1:7">
      <c r="B56" s="316" t="s">
        <v>1017</v>
      </c>
      <c r="C56" s="318">
        <f ca="1">1-C57</f>
        <v>1</v>
      </c>
    </row>
    <row r="57" spans="1:7">
      <c r="B57" s="316" t="s">
        <v>1018</v>
      </c>
      <c r="C57" s="317">
        <f ca="1">ROUND(C51/C52,3)</f>
        <v>0</v>
      </c>
    </row>
  </sheetData>
  <sheetProtection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
  <sheetViews>
    <sheetView topLeftCell="U1" zoomScale="90" zoomScaleNormal="90" workbookViewId="0">
      <selection activeCell="Y2" sqref="Y2"/>
    </sheetView>
  </sheetViews>
  <sheetFormatPr defaultColWidth="10.625" defaultRowHeight="13.5"/>
  <cols>
    <col min="1" max="1" width="3.75" style="2795" customWidth="1"/>
    <col min="2" max="2" width="11.625" style="2795" customWidth="1"/>
    <col min="3" max="3" width="9" style="2795" customWidth="1"/>
    <col min="4" max="4" width="12.5" style="2795" customWidth="1"/>
    <col min="5" max="5" width="10.125" style="2795" customWidth="1"/>
    <col min="6" max="6" width="9.375" style="2795" customWidth="1"/>
    <col min="7" max="7" width="8.375" style="2795" customWidth="1"/>
    <col min="8" max="8" width="8.5" style="2795" customWidth="1"/>
    <col min="9" max="9" width="7.125" style="2795" customWidth="1"/>
    <col min="10" max="10" width="7.375" style="2795" customWidth="1"/>
    <col min="11" max="11" width="7" style="2795" customWidth="1"/>
    <col min="12" max="12" width="6.625" style="2795" customWidth="1"/>
    <col min="13" max="13" width="8.125" style="2795" customWidth="1"/>
    <col min="14" max="14" width="8" style="2795" customWidth="1"/>
    <col min="15" max="15" width="8.625" style="2795" customWidth="1"/>
    <col min="16" max="16" width="8.375" style="2795" customWidth="1"/>
    <col min="17" max="17" width="9.875" style="2795" customWidth="1"/>
    <col min="18" max="19" width="6.875" style="2795" customWidth="1"/>
    <col min="20" max="20" width="7.875" style="2795" customWidth="1"/>
    <col min="21" max="21" width="10.625" style="2795"/>
    <col min="22" max="22" width="24" style="2795" customWidth="1"/>
    <col min="23" max="23" width="20.125" style="2795" customWidth="1"/>
    <col min="24" max="24" width="16.875" style="2795" customWidth="1"/>
    <col min="25" max="25" width="21.875" style="3172" customWidth="1"/>
    <col min="26" max="26" width="26.625" style="2795" customWidth="1"/>
    <col min="27" max="27" width="28.875" style="2795" customWidth="1"/>
    <col min="28" max="28" width="10.625" style="2795"/>
    <col min="29" max="29" width="11.875" style="2795" customWidth="1"/>
    <col min="30" max="30" width="19.375" style="2795" customWidth="1"/>
    <col min="31" max="256" width="10.625" style="2795"/>
    <col min="257" max="257" width="3.75" style="2795" customWidth="1"/>
    <col min="258" max="258" width="11.625" style="2795" customWidth="1"/>
    <col min="259" max="259" width="9" style="2795" customWidth="1"/>
    <col min="260" max="260" width="12.5" style="2795" customWidth="1"/>
    <col min="261" max="261" width="10.125" style="2795" customWidth="1"/>
    <col min="262" max="262" width="9.375" style="2795" customWidth="1"/>
    <col min="263" max="263" width="8.375" style="2795" customWidth="1"/>
    <col min="264" max="264" width="8.5" style="2795" customWidth="1"/>
    <col min="265" max="265" width="7.125" style="2795" customWidth="1"/>
    <col min="266" max="266" width="7.375" style="2795" customWidth="1"/>
    <col min="267" max="267" width="7" style="2795" customWidth="1"/>
    <col min="268" max="268" width="6.625" style="2795" customWidth="1"/>
    <col min="269" max="269" width="8.125" style="2795" customWidth="1"/>
    <col min="270" max="270" width="8" style="2795" customWidth="1"/>
    <col min="271" max="271" width="8.625" style="2795" customWidth="1"/>
    <col min="272" max="272" width="8.375" style="2795" customWidth="1"/>
    <col min="273" max="273" width="9.875" style="2795" customWidth="1"/>
    <col min="274" max="275" width="6.875" style="2795" customWidth="1"/>
    <col min="276" max="276" width="7.875" style="2795" customWidth="1"/>
    <col min="277" max="277" width="10.625" style="2795"/>
    <col min="278" max="278" width="24" style="2795" customWidth="1"/>
    <col min="279" max="279" width="20.125" style="2795" customWidth="1"/>
    <col min="280" max="280" width="16.875" style="2795" customWidth="1"/>
    <col min="281" max="281" width="21.875" style="2795" customWidth="1"/>
    <col min="282" max="282" width="26.625" style="2795" customWidth="1"/>
    <col min="283" max="283" width="28.875" style="2795" customWidth="1"/>
    <col min="284" max="284" width="10.625" style="2795"/>
    <col min="285" max="285" width="11.875" style="2795" customWidth="1"/>
    <col min="286" max="286" width="19.375" style="2795" customWidth="1"/>
    <col min="287" max="512" width="10.625" style="2795"/>
    <col min="513" max="513" width="3.75" style="2795" customWidth="1"/>
    <col min="514" max="514" width="11.625" style="2795" customWidth="1"/>
    <col min="515" max="515" width="9" style="2795" customWidth="1"/>
    <col min="516" max="516" width="12.5" style="2795" customWidth="1"/>
    <col min="517" max="517" width="10.125" style="2795" customWidth="1"/>
    <col min="518" max="518" width="9.375" style="2795" customWidth="1"/>
    <col min="519" max="519" width="8.375" style="2795" customWidth="1"/>
    <col min="520" max="520" width="8.5" style="2795" customWidth="1"/>
    <col min="521" max="521" width="7.125" style="2795" customWidth="1"/>
    <col min="522" max="522" width="7.375" style="2795" customWidth="1"/>
    <col min="523" max="523" width="7" style="2795" customWidth="1"/>
    <col min="524" max="524" width="6.625" style="2795" customWidth="1"/>
    <col min="525" max="525" width="8.125" style="2795" customWidth="1"/>
    <col min="526" max="526" width="8" style="2795" customWidth="1"/>
    <col min="527" max="527" width="8.625" style="2795" customWidth="1"/>
    <col min="528" max="528" width="8.375" style="2795" customWidth="1"/>
    <col min="529" max="529" width="9.875" style="2795" customWidth="1"/>
    <col min="530" max="531" width="6.875" style="2795" customWidth="1"/>
    <col min="532" max="532" width="7.875" style="2795" customWidth="1"/>
    <col min="533" max="533" width="10.625" style="2795"/>
    <col min="534" max="534" width="24" style="2795" customWidth="1"/>
    <col min="535" max="535" width="20.125" style="2795" customWidth="1"/>
    <col min="536" max="536" width="16.875" style="2795" customWidth="1"/>
    <col min="537" max="537" width="21.875" style="2795" customWidth="1"/>
    <col min="538" max="538" width="26.625" style="2795" customWidth="1"/>
    <col min="539" max="539" width="28.875" style="2795" customWidth="1"/>
    <col min="540" max="540" width="10.625" style="2795"/>
    <col min="541" max="541" width="11.875" style="2795" customWidth="1"/>
    <col min="542" max="542" width="19.375" style="2795" customWidth="1"/>
    <col min="543" max="768" width="10.625" style="2795"/>
    <col min="769" max="769" width="3.75" style="2795" customWidth="1"/>
    <col min="770" max="770" width="11.625" style="2795" customWidth="1"/>
    <col min="771" max="771" width="9" style="2795" customWidth="1"/>
    <col min="772" max="772" width="12.5" style="2795" customWidth="1"/>
    <col min="773" max="773" width="10.125" style="2795" customWidth="1"/>
    <col min="774" max="774" width="9.375" style="2795" customWidth="1"/>
    <col min="775" max="775" width="8.375" style="2795" customWidth="1"/>
    <col min="776" max="776" width="8.5" style="2795" customWidth="1"/>
    <col min="777" max="777" width="7.125" style="2795" customWidth="1"/>
    <col min="778" max="778" width="7.375" style="2795" customWidth="1"/>
    <col min="779" max="779" width="7" style="2795" customWidth="1"/>
    <col min="780" max="780" width="6.625" style="2795" customWidth="1"/>
    <col min="781" max="781" width="8.125" style="2795" customWidth="1"/>
    <col min="782" max="782" width="8" style="2795" customWidth="1"/>
    <col min="783" max="783" width="8.625" style="2795" customWidth="1"/>
    <col min="784" max="784" width="8.375" style="2795" customWidth="1"/>
    <col min="785" max="785" width="9.875" style="2795" customWidth="1"/>
    <col min="786" max="787" width="6.875" style="2795" customWidth="1"/>
    <col min="788" max="788" width="7.875" style="2795" customWidth="1"/>
    <col min="789" max="789" width="10.625" style="2795"/>
    <col min="790" max="790" width="24" style="2795" customWidth="1"/>
    <col min="791" max="791" width="20.125" style="2795" customWidth="1"/>
    <col min="792" max="792" width="16.875" style="2795" customWidth="1"/>
    <col min="793" max="793" width="21.875" style="2795" customWidth="1"/>
    <col min="794" max="794" width="26.625" style="2795" customWidth="1"/>
    <col min="795" max="795" width="28.875" style="2795" customWidth="1"/>
    <col min="796" max="796" width="10.625" style="2795"/>
    <col min="797" max="797" width="11.875" style="2795" customWidth="1"/>
    <col min="798" max="798" width="19.375" style="2795" customWidth="1"/>
    <col min="799" max="1024" width="10.625" style="2795"/>
    <col min="1025" max="1025" width="3.75" style="2795" customWidth="1"/>
    <col min="1026" max="1026" width="11.625" style="2795" customWidth="1"/>
    <col min="1027" max="1027" width="9" style="2795" customWidth="1"/>
    <col min="1028" max="1028" width="12.5" style="2795" customWidth="1"/>
    <col min="1029" max="1029" width="10.125" style="2795" customWidth="1"/>
    <col min="1030" max="1030" width="9.375" style="2795" customWidth="1"/>
    <col min="1031" max="1031" width="8.375" style="2795" customWidth="1"/>
    <col min="1032" max="1032" width="8.5" style="2795" customWidth="1"/>
    <col min="1033" max="1033" width="7.125" style="2795" customWidth="1"/>
    <col min="1034" max="1034" width="7.375" style="2795" customWidth="1"/>
    <col min="1035" max="1035" width="7" style="2795" customWidth="1"/>
    <col min="1036" max="1036" width="6.625" style="2795" customWidth="1"/>
    <col min="1037" max="1037" width="8.125" style="2795" customWidth="1"/>
    <col min="1038" max="1038" width="8" style="2795" customWidth="1"/>
    <col min="1039" max="1039" width="8.625" style="2795" customWidth="1"/>
    <col min="1040" max="1040" width="8.375" style="2795" customWidth="1"/>
    <col min="1041" max="1041" width="9.875" style="2795" customWidth="1"/>
    <col min="1042" max="1043" width="6.875" style="2795" customWidth="1"/>
    <col min="1044" max="1044" width="7.875" style="2795" customWidth="1"/>
    <col min="1045" max="1045" width="10.625" style="2795"/>
    <col min="1046" max="1046" width="24" style="2795" customWidth="1"/>
    <col min="1047" max="1047" width="20.125" style="2795" customWidth="1"/>
    <col min="1048" max="1048" width="16.875" style="2795" customWidth="1"/>
    <col min="1049" max="1049" width="21.875" style="2795" customWidth="1"/>
    <col min="1050" max="1050" width="26.625" style="2795" customWidth="1"/>
    <col min="1051" max="1051" width="28.875" style="2795" customWidth="1"/>
    <col min="1052" max="1052" width="10.625" style="2795"/>
    <col min="1053" max="1053" width="11.875" style="2795" customWidth="1"/>
    <col min="1054" max="1054" width="19.375" style="2795" customWidth="1"/>
    <col min="1055" max="1280" width="10.625" style="2795"/>
    <col min="1281" max="1281" width="3.75" style="2795" customWidth="1"/>
    <col min="1282" max="1282" width="11.625" style="2795" customWidth="1"/>
    <col min="1283" max="1283" width="9" style="2795" customWidth="1"/>
    <col min="1284" max="1284" width="12.5" style="2795" customWidth="1"/>
    <col min="1285" max="1285" width="10.125" style="2795" customWidth="1"/>
    <col min="1286" max="1286" width="9.375" style="2795" customWidth="1"/>
    <col min="1287" max="1287" width="8.375" style="2795" customWidth="1"/>
    <col min="1288" max="1288" width="8.5" style="2795" customWidth="1"/>
    <col min="1289" max="1289" width="7.125" style="2795" customWidth="1"/>
    <col min="1290" max="1290" width="7.375" style="2795" customWidth="1"/>
    <col min="1291" max="1291" width="7" style="2795" customWidth="1"/>
    <col min="1292" max="1292" width="6.625" style="2795" customWidth="1"/>
    <col min="1293" max="1293" width="8.125" style="2795" customWidth="1"/>
    <col min="1294" max="1294" width="8" style="2795" customWidth="1"/>
    <col min="1295" max="1295" width="8.625" style="2795" customWidth="1"/>
    <col min="1296" max="1296" width="8.375" style="2795" customWidth="1"/>
    <col min="1297" max="1297" width="9.875" style="2795" customWidth="1"/>
    <col min="1298" max="1299" width="6.875" style="2795" customWidth="1"/>
    <col min="1300" max="1300" width="7.875" style="2795" customWidth="1"/>
    <col min="1301" max="1301" width="10.625" style="2795"/>
    <col min="1302" max="1302" width="24" style="2795" customWidth="1"/>
    <col min="1303" max="1303" width="20.125" style="2795" customWidth="1"/>
    <col min="1304" max="1304" width="16.875" style="2795" customWidth="1"/>
    <col min="1305" max="1305" width="21.875" style="2795" customWidth="1"/>
    <col min="1306" max="1306" width="26.625" style="2795" customWidth="1"/>
    <col min="1307" max="1307" width="28.875" style="2795" customWidth="1"/>
    <col min="1308" max="1308" width="10.625" style="2795"/>
    <col min="1309" max="1309" width="11.875" style="2795" customWidth="1"/>
    <col min="1310" max="1310" width="19.375" style="2795" customWidth="1"/>
    <col min="1311" max="1536" width="10.625" style="2795"/>
    <col min="1537" max="1537" width="3.75" style="2795" customWidth="1"/>
    <col min="1538" max="1538" width="11.625" style="2795" customWidth="1"/>
    <col min="1539" max="1539" width="9" style="2795" customWidth="1"/>
    <col min="1540" max="1540" width="12.5" style="2795" customWidth="1"/>
    <col min="1541" max="1541" width="10.125" style="2795" customWidth="1"/>
    <col min="1542" max="1542" width="9.375" style="2795" customWidth="1"/>
    <col min="1543" max="1543" width="8.375" style="2795" customWidth="1"/>
    <col min="1544" max="1544" width="8.5" style="2795" customWidth="1"/>
    <col min="1545" max="1545" width="7.125" style="2795" customWidth="1"/>
    <col min="1546" max="1546" width="7.375" style="2795" customWidth="1"/>
    <col min="1547" max="1547" width="7" style="2795" customWidth="1"/>
    <col min="1548" max="1548" width="6.625" style="2795" customWidth="1"/>
    <col min="1549" max="1549" width="8.125" style="2795" customWidth="1"/>
    <col min="1550" max="1550" width="8" style="2795" customWidth="1"/>
    <col min="1551" max="1551" width="8.625" style="2795" customWidth="1"/>
    <col min="1552" max="1552" width="8.375" style="2795" customWidth="1"/>
    <col min="1553" max="1553" width="9.875" style="2795" customWidth="1"/>
    <col min="1554" max="1555" width="6.875" style="2795" customWidth="1"/>
    <col min="1556" max="1556" width="7.875" style="2795" customWidth="1"/>
    <col min="1557" max="1557" width="10.625" style="2795"/>
    <col min="1558" max="1558" width="24" style="2795" customWidth="1"/>
    <col min="1559" max="1559" width="20.125" style="2795" customWidth="1"/>
    <col min="1560" max="1560" width="16.875" style="2795" customWidth="1"/>
    <col min="1561" max="1561" width="21.875" style="2795" customWidth="1"/>
    <col min="1562" max="1562" width="26.625" style="2795" customWidth="1"/>
    <col min="1563" max="1563" width="28.875" style="2795" customWidth="1"/>
    <col min="1564" max="1564" width="10.625" style="2795"/>
    <col min="1565" max="1565" width="11.875" style="2795" customWidth="1"/>
    <col min="1566" max="1566" width="19.375" style="2795" customWidth="1"/>
    <col min="1567" max="1792" width="10.625" style="2795"/>
    <col min="1793" max="1793" width="3.75" style="2795" customWidth="1"/>
    <col min="1794" max="1794" width="11.625" style="2795" customWidth="1"/>
    <col min="1795" max="1795" width="9" style="2795" customWidth="1"/>
    <col min="1796" max="1796" width="12.5" style="2795" customWidth="1"/>
    <col min="1797" max="1797" width="10.125" style="2795" customWidth="1"/>
    <col min="1798" max="1798" width="9.375" style="2795" customWidth="1"/>
    <col min="1799" max="1799" width="8.375" style="2795" customWidth="1"/>
    <col min="1800" max="1800" width="8.5" style="2795" customWidth="1"/>
    <col min="1801" max="1801" width="7.125" style="2795" customWidth="1"/>
    <col min="1802" max="1802" width="7.375" style="2795" customWidth="1"/>
    <col min="1803" max="1803" width="7" style="2795" customWidth="1"/>
    <col min="1804" max="1804" width="6.625" style="2795" customWidth="1"/>
    <col min="1805" max="1805" width="8.125" style="2795" customWidth="1"/>
    <col min="1806" max="1806" width="8" style="2795" customWidth="1"/>
    <col min="1807" max="1807" width="8.625" style="2795" customWidth="1"/>
    <col min="1808" max="1808" width="8.375" style="2795" customWidth="1"/>
    <col min="1809" max="1809" width="9.875" style="2795" customWidth="1"/>
    <col min="1810" max="1811" width="6.875" style="2795" customWidth="1"/>
    <col min="1812" max="1812" width="7.875" style="2795" customWidth="1"/>
    <col min="1813" max="1813" width="10.625" style="2795"/>
    <col min="1814" max="1814" width="24" style="2795" customWidth="1"/>
    <col min="1815" max="1815" width="20.125" style="2795" customWidth="1"/>
    <col min="1816" max="1816" width="16.875" style="2795" customWidth="1"/>
    <col min="1817" max="1817" width="21.875" style="2795" customWidth="1"/>
    <col min="1818" max="1818" width="26.625" style="2795" customWidth="1"/>
    <col min="1819" max="1819" width="28.875" style="2795" customWidth="1"/>
    <col min="1820" max="1820" width="10.625" style="2795"/>
    <col min="1821" max="1821" width="11.875" style="2795" customWidth="1"/>
    <col min="1822" max="1822" width="19.375" style="2795" customWidth="1"/>
    <col min="1823" max="2048" width="10.625" style="2795"/>
    <col min="2049" max="2049" width="3.75" style="2795" customWidth="1"/>
    <col min="2050" max="2050" width="11.625" style="2795" customWidth="1"/>
    <col min="2051" max="2051" width="9" style="2795" customWidth="1"/>
    <col min="2052" max="2052" width="12.5" style="2795" customWidth="1"/>
    <col min="2053" max="2053" width="10.125" style="2795" customWidth="1"/>
    <col min="2054" max="2054" width="9.375" style="2795" customWidth="1"/>
    <col min="2055" max="2055" width="8.375" style="2795" customWidth="1"/>
    <col min="2056" max="2056" width="8.5" style="2795" customWidth="1"/>
    <col min="2057" max="2057" width="7.125" style="2795" customWidth="1"/>
    <col min="2058" max="2058" width="7.375" style="2795" customWidth="1"/>
    <col min="2059" max="2059" width="7" style="2795" customWidth="1"/>
    <col min="2060" max="2060" width="6.625" style="2795" customWidth="1"/>
    <col min="2061" max="2061" width="8.125" style="2795" customWidth="1"/>
    <col min="2062" max="2062" width="8" style="2795" customWidth="1"/>
    <col min="2063" max="2063" width="8.625" style="2795" customWidth="1"/>
    <col min="2064" max="2064" width="8.375" style="2795" customWidth="1"/>
    <col min="2065" max="2065" width="9.875" style="2795" customWidth="1"/>
    <col min="2066" max="2067" width="6.875" style="2795" customWidth="1"/>
    <col min="2068" max="2068" width="7.875" style="2795" customWidth="1"/>
    <col min="2069" max="2069" width="10.625" style="2795"/>
    <col min="2070" max="2070" width="24" style="2795" customWidth="1"/>
    <col min="2071" max="2071" width="20.125" style="2795" customWidth="1"/>
    <col min="2072" max="2072" width="16.875" style="2795" customWidth="1"/>
    <col min="2073" max="2073" width="21.875" style="2795" customWidth="1"/>
    <col min="2074" max="2074" width="26.625" style="2795" customWidth="1"/>
    <col min="2075" max="2075" width="28.875" style="2795" customWidth="1"/>
    <col min="2076" max="2076" width="10.625" style="2795"/>
    <col min="2077" max="2077" width="11.875" style="2795" customWidth="1"/>
    <col min="2078" max="2078" width="19.375" style="2795" customWidth="1"/>
    <col min="2079" max="2304" width="10.625" style="2795"/>
    <col min="2305" max="2305" width="3.75" style="2795" customWidth="1"/>
    <col min="2306" max="2306" width="11.625" style="2795" customWidth="1"/>
    <col min="2307" max="2307" width="9" style="2795" customWidth="1"/>
    <col min="2308" max="2308" width="12.5" style="2795" customWidth="1"/>
    <col min="2309" max="2309" width="10.125" style="2795" customWidth="1"/>
    <col min="2310" max="2310" width="9.375" style="2795" customWidth="1"/>
    <col min="2311" max="2311" width="8.375" style="2795" customWidth="1"/>
    <col min="2312" max="2312" width="8.5" style="2795" customWidth="1"/>
    <col min="2313" max="2313" width="7.125" style="2795" customWidth="1"/>
    <col min="2314" max="2314" width="7.375" style="2795" customWidth="1"/>
    <col min="2315" max="2315" width="7" style="2795" customWidth="1"/>
    <col min="2316" max="2316" width="6.625" style="2795" customWidth="1"/>
    <col min="2317" max="2317" width="8.125" style="2795" customWidth="1"/>
    <col min="2318" max="2318" width="8" style="2795" customWidth="1"/>
    <col min="2319" max="2319" width="8.625" style="2795" customWidth="1"/>
    <col min="2320" max="2320" width="8.375" style="2795" customWidth="1"/>
    <col min="2321" max="2321" width="9.875" style="2795" customWidth="1"/>
    <col min="2322" max="2323" width="6.875" style="2795" customWidth="1"/>
    <col min="2324" max="2324" width="7.875" style="2795" customWidth="1"/>
    <col min="2325" max="2325" width="10.625" style="2795"/>
    <col min="2326" max="2326" width="24" style="2795" customWidth="1"/>
    <col min="2327" max="2327" width="20.125" style="2795" customWidth="1"/>
    <col min="2328" max="2328" width="16.875" style="2795" customWidth="1"/>
    <col min="2329" max="2329" width="21.875" style="2795" customWidth="1"/>
    <col min="2330" max="2330" width="26.625" style="2795" customWidth="1"/>
    <col min="2331" max="2331" width="28.875" style="2795" customWidth="1"/>
    <col min="2332" max="2332" width="10.625" style="2795"/>
    <col min="2333" max="2333" width="11.875" style="2795" customWidth="1"/>
    <col min="2334" max="2334" width="19.375" style="2795" customWidth="1"/>
    <col min="2335" max="2560" width="10.625" style="2795"/>
    <col min="2561" max="2561" width="3.75" style="2795" customWidth="1"/>
    <col min="2562" max="2562" width="11.625" style="2795" customWidth="1"/>
    <col min="2563" max="2563" width="9" style="2795" customWidth="1"/>
    <col min="2564" max="2564" width="12.5" style="2795" customWidth="1"/>
    <col min="2565" max="2565" width="10.125" style="2795" customWidth="1"/>
    <col min="2566" max="2566" width="9.375" style="2795" customWidth="1"/>
    <col min="2567" max="2567" width="8.375" style="2795" customWidth="1"/>
    <col min="2568" max="2568" width="8.5" style="2795" customWidth="1"/>
    <col min="2569" max="2569" width="7.125" style="2795" customWidth="1"/>
    <col min="2570" max="2570" width="7.375" style="2795" customWidth="1"/>
    <col min="2571" max="2571" width="7" style="2795" customWidth="1"/>
    <col min="2572" max="2572" width="6.625" style="2795" customWidth="1"/>
    <col min="2573" max="2573" width="8.125" style="2795" customWidth="1"/>
    <col min="2574" max="2574" width="8" style="2795" customWidth="1"/>
    <col min="2575" max="2575" width="8.625" style="2795" customWidth="1"/>
    <col min="2576" max="2576" width="8.375" style="2795" customWidth="1"/>
    <col min="2577" max="2577" width="9.875" style="2795" customWidth="1"/>
    <col min="2578" max="2579" width="6.875" style="2795" customWidth="1"/>
    <col min="2580" max="2580" width="7.875" style="2795" customWidth="1"/>
    <col min="2581" max="2581" width="10.625" style="2795"/>
    <col min="2582" max="2582" width="24" style="2795" customWidth="1"/>
    <col min="2583" max="2583" width="20.125" style="2795" customWidth="1"/>
    <col min="2584" max="2584" width="16.875" style="2795" customWidth="1"/>
    <col min="2585" max="2585" width="21.875" style="2795" customWidth="1"/>
    <col min="2586" max="2586" width="26.625" style="2795" customWidth="1"/>
    <col min="2587" max="2587" width="28.875" style="2795" customWidth="1"/>
    <col min="2588" max="2588" width="10.625" style="2795"/>
    <col min="2589" max="2589" width="11.875" style="2795" customWidth="1"/>
    <col min="2590" max="2590" width="19.375" style="2795" customWidth="1"/>
    <col min="2591" max="2816" width="10.625" style="2795"/>
    <col min="2817" max="2817" width="3.75" style="2795" customWidth="1"/>
    <col min="2818" max="2818" width="11.625" style="2795" customWidth="1"/>
    <col min="2819" max="2819" width="9" style="2795" customWidth="1"/>
    <col min="2820" max="2820" width="12.5" style="2795" customWidth="1"/>
    <col min="2821" max="2821" width="10.125" style="2795" customWidth="1"/>
    <col min="2822" max="2822" width="9.375" style="2795" customWidth="1"/>
    <col min="2823" max="2823" width="8.375" style="2795" customWidth="1"/>
    <col min="2824" max="2824" width="8.5" style="2795" customWidth="1"/>
    <col min="2825" max="2825" width="7.125" style="2795" customWidth="1"/>
    <col min="2826" max="2826" width="7.375" style="2795" customWidth="1"/>
    <col min="2827" max="2827" width="7" style="2795" customWidth="1"/>
    <col min="2828" max="2828" width="6.625" style="2795" customWidth="1"/>
    <col min="2829" max="2829" width="8.125" style="2795" customWidth="1"/>
    <col min="2830" max="2830" width="8" style="2795" customWidth="1"/>
    <col min="2831" max="2831" width="8.625" style="2795" customWidth="1"/>
    <col min="2832" max="2832" width="8.375" style="2795" customWidth="1"/>
    <col min="2833" max="2833" width="9.875" style="2795" customWidth="1"/>
    <col min="2834" max="2835" width="6.875" style="2795" customWidth="1"/>
    <col min="2836" max="2836" width="7.875" style="2795" customWidth="1"/>
    <col min="2837" max="2837" width="10.625" style="2795"/>
    <col min="2838" max="2838" width="24" style="2795" customWidth="1"/>
    <col min="2839" max="2839" width="20.125" style="2795" customWidth="1"/>
    <col min="2840" max="2840" width="16.875" style="2795" customWidth="1"/>
    <col min="2841" max="2841" width="21.875" style="2795" customWidth="1"/>
    <col min="2842" max="2842" width="26.625" style="2795" customWidth="1"/>
    <col min="2843" max="2843" width="28.875" style="2795" customWidth="1"/>
    <col min="2844" max="2844" width="10.625" style="2795"/>
    <col min="2845" max="2845" width="11.875" style="2795" customWidth="1"/>
    <col min="2846" max="2846" width="19.375" style="2795" customWidth="1"/>
    <col min="2847" max="3072" width="10.625" style="2795"/>
    <col min="3073" max="3073" width="3.75" style="2795" customWidth="1"/>
    <col min="3074" max="3074" width="11.625" style="2795" customWidth="1"/>
    <col min="3075" max="3075" width="9" style="2795" customWidth="1"/>
    <col min="3076" max="3076" width="12.5" style="2795" customWidth="1"/>
    <col min="3077" max="3077" width="10.125" style="2795" customWidth="1"/>
    <col min="3078" max="3078" width="9.375" style="2795" customWidth="1"/>
    <col min="3079" max="3079" width="8.375" style="2795" customWidth="1"/>
    <col min="3080" max="3080" width="8.5" style="2795" customWidth="1"/>
    <col min="3081" max="3081" width="7.125" style="2795" customWidth="1"/>
    <col min="3082" max="3082" width="7.375" style="2795" customWidth="1"/>
    <col min="3083" max="3083" width="7" style="2795" customWidth="1"/>
    <col min="3084" max="3084" width="6.625" style="2795" customWidth="1"/>
    <col min="3085" max="3085" width="8.125" style="2795" customWidth="1"/>
    <col min="3086" max="3086" width="8" style="2795" customWidth="1"/>
    <col min="3087" max="3087" width="8.625" style="2795" customWidth="1"/>
    <col min="3088" max="3088" width="8.375" style="2795" customWidth="1"/>
    <col min="3089" max="3089" width="9.875" style="2795" customWidth="1"/>
    <col min="3090" max="3091" width="6.875" style="2795" customWidth="1"/>
    <col min="3092" max="3092" width="7.875" style="2795" customWidth="1"/>
    <col min="3093" max="3093" width="10.625" style="2795"/>
    <col min="3094" max="3094" width="24" style="2795" customWidth="1"/>
    <col min="3095" max="3095" width="20.125" style="2795" customWidth="1"/>
    <col min="3096" max="3096" width="16.875" style="2795" customWidth="1"/>
    <col min="3097" max="3097" width="21.875" style="2795" customWidth="1"/>
    <col min="3098" max="3098" width="26.625" style="2795" customWidth="1"/>
    <col min="3099" max="3099" width="28.875" style="2795" customWidth="1"/>
    <col min="3100" max="3100" width="10.625" style="2795"/>
    <col min="3101" max="3101" width="11.875" style="2795" customWidth="1"/>
    <col min="3102" max="3102" width="19.375" style="2795" customWidth="1"/>
    <col min="3103" max="3328" width="10.625" style="2795"/>
    <col min="3329" max="3329" width="3.75" style="2795" customWidth="1"/>
    <col min="3330" max="3330" width="11.625" style="2795" customWidth="1"/>
    <col min="3331" max="3331" width="9" style="2795" customWidth="1"/>
    <col min="3332" max="3332" width="12.5" style="2795" customWidth="1"/>
    <col min="3333" max="3333" width="10.125" style="2795" customWidth="1"/>
    <col min="3334" max="3334" width="9.375" style="2795" customWidth="1"/>
    <col min="3335" max="3335" width="8.375" style="2795" customWidth="1"/>
    <col min="3336" max="3336" width="8.5" style="2795" customWidth="1"/>
    <col min="3337" max="3337" width="7.125" style="2795" customWidth="1"/>
    <col min="3338" max="3338" width="7.375" style="2795" customWidth="1"/>
    <col min="3339" max="3339" width="7" style="2795" customWidth="1"/>
    <col min="3340" max="3340" width="6.625" style="2795" customWidth="1"/>
    <col min="3341" max="3341" width="8.125" style="2795" customWidth="1"/>
    <col min="3342" max="3342" width="8" style="2795" customWidth="1"/>
    <col min="3343" max="3343" width="8.625" style="2795" customWidth="1"/>
    <col min="3344" max="3344" width="8.375" style="2795" customWidth="1"/>
    <col min="3345" max="3345" width="9.875" style="2795" customWidth="1"/>
    <col min="3346" max="3347" width="6.875" style="2795" customWidth="1"/>
    <col min="3348" max="3348" width="7.875" style="2795" customWidth="1"/>
    <col min="3349" max="3349" width="10.625" style="2795"/>
    <col min="3350" max="3350" width="24" style="2795" customWidth="1"/>
    <col min="3351" max="3351" width="20.125" style="2795" customWidth="1"/>
    <col min="3352" max="3352" width="16.875" style="2795" customWidth="1"/>
    <col min="3353" max="3353" width="21.875" style="2795" customWidth="1"/>
    <col min="3354" max="3354" width="26.625" style="2795" customWidth="1"/>
    <col min="3355" max="3355" width="28.875" style="2795" customWidth="1"/>
    <col min="3356" max="3356" width="10.625" style="2795"/>
    <col min="3357" max="3357" width="11.875" style="2795" customWidth="1"/>
    <col min="3358" max="3358" width="19.375" style="2795" customWidth="1"/>
    <col min="3359" max="3584" width="10.625" style="2795"/>
    <col min="3585" max="3585" width="3.75" style="2795" customWidth="1"/>
    <col min="3586" max="3586" width="11.625" style="2795" customWidth="1"/>
    <col min="3587" max="3587" width="9" style="2795" customWidth="1"/>
    <col min="3588" max="3588" width="12.5" style="2795" customWidth="1"/>
    <col min="3589" max="3589" width="10.125" style="2795" customWidth="1"/>
    <col min="3590" max="3590" width="9.375" style="2795" customWidth="1"/>
    <col min="3591" max="3591" width="8.375" style="2795" customWidth="1"/>
    <col min="3592" max="3592" width="8.5" style="2795" customWidth="1"/>
    <col min="3593" max="3593" width="7.125" style="2795" customWidth="1"/>
    <col min="3594" max="3594" width="7.375" style="2795" customWidth="1"/>
    <col min="3595" max="3595" width="7" style="2795" customWidth="1"/>
    <col min="3596" max="3596" width="6.625" style="2795" customWidth="1"/>
    <col min="3597" max="3597" width="8.125" style="2795" customWidth="1"/>
    <col min="3598" max="3598" width="8" style="2795" customWidth="1"/>
    <col min="3599" max="3599" width="8.625" style="2795" customWidth="1"/>
    <col min="3600" max="3600" width="8.375" style="2795" customWidth="1"/>
    <col min="3601" max="3601" width="9.875" style="2795" customWidth="1"/>
    <col min="3602" max="3603" width="6.875" style="2795" customWidth="1"/>
    <col min="3604" max="3604" width="7.875" style="2795" customWidth="1"/>
    <col min="3605" max="3605" width="10.625" style="2795"/>
    <col min="3606" max="3606" width="24" style="2795" customWidth="1"/>
    <col min="3607" max="3607" width="20.125" style="2795" customWidth="1"/>
    <col min="3608" max="3608" width="16.875" style="2795" customWidth="1"/>
    <col min="3609" max="3609" width="21.875" style="2795" customWidth="1"/>
    <col min="3610" max="3610" width="26.625" style="2795" customWidth="1"/>
    <col min="3611" max="3611" width="28.875" style="2795" customWidth="1"/>
    <col min="3612" max="3612" width="10.625" style="2795"/>
    <col min="3613" max="3613" width="11.875" style="2795" customWidth="1"/>
    <col min="3614" max="3614" width="19.375" style="2795" customWidth="1"/>
    <col min="3615" max="3840" width="10.625" style="2795"/>
    <col min="3841" max="3841" width="3.75" style="2795" customWidth="1"/>
    <col min="3842" max="3842" width="11.625" style="2795" customWidth="1"/>
    <col min="3843" max="3843" width="9" style="2795" customWidth="1"/>
    <col min="3844" max="3844" width="12.5" style="2795" customWidth="1"/>
    <col min="3845" max="3845" width="10.125" style="2795" customWidth="1"/>
    <col min="3846" max="3846" width="9.375" style="2795" customWidth="1"/>
    <col min="3847" max="3847" width="8.375" style="2795" customWidth="1"/>
    <col min="3848" max="3848" width="8.5" style="2795" customWidth="1"/>
    <col min="3849" max="3849" width="7.125" style="2795" customWidth="1"/>
    <col min="3850" max="3850" width="7.375" style="2795" customWidth="1"/>
    <col min="3851" max="3851" width="7" style="2795" customWidth="1"/>
    <col min="3852" max="3852" width="6.625" style="2795" customWidth="1"/>
    <col min="3853" max="3853" width="8.125" style="2795" customWidth="1"/>
    <col min="3854" max="3854" width="8" style="2795" customWidth="1"/>
    <col min="3855" max="3855" width="8.625" style="2795" customWidth="1"/>
    <col min="3856" max="3856" width="8.375" style="2795" customWidth="1"/>
    <col min="3857" max="3857" width="9.875" style="2795" customWidth="1"/>
    <col min="3858" max="3859" width="6.875" style="2795" customWidth="1"/>
    <col min="3860" max="3860" width="7.875" style="2795" customWidth="1"/>
    <col min="3861" max="3861" width="10.625" style="2795"/>
    <col min="3862" max="3862" width="24" style="2795" customWidth="1"/>
    <col min="3863" max="3863" width="20.125" style="2795" customWidth="1"/>
    <col min="3864" max="3864" width="16.875" style="2795" customWidth="1"/>
    <col min="3865" max="3865" width="21.875" style="2795" customWidth="1"/>
    <col min="3866" max="3866" width="26.625" style="2795" customWidth="1"/>
    <col min="3867" max="3867" width="28.875" style="2795" customWidth="1"/>
    <col min="3868" max="3868" width="10.625" style="2795"/>
    <col min="3869" max="3869" width="11.875" style="2795" customWidth="1"/>
    <col min="3870" max="3870" width="19.375" style="2795" customWidth="1"/>
    <col min="3871" max="4096" width="10.625" style="2795"/>
    <col min="4097" max="4097" width="3.75" style="2795" customWidth="1"/>
    <col min="4098" max="4098" width="11.625" style="2795" customWidth="1"/>
    <col min="4099" max="4099" width="9" style="2795" customWidth="1"/>
    <col min="4100" max="4100" width="12.5" style="2795" customWidth="1"/>
    <col min="4101" max="4101" width="10.125" style="2795" customWidth="1"/>
    <col min="4102" max="4102" width="9.375" style="2795" customWidth="1"/>
    <col min="4103" max="4103" width="8.375" style="2795" customWidth="1"/>
    <col min="4104" max="4104" width="8.5" style="2795" customWidth="1"/>
    <col min="4105" max="4105" width="7.125" style="2795" customWidth="1"/>
    <col min="4106" max="4106" width="7.375" style="2795" customWidth="1"/>
    <col min="4107" max="4107" width="7" style="2795" customWidth="1"/>
    <col min="4108" max="4108" width="6.625" style="2795" customWidth="1"/>
    <col min="4109" max="4109" width="8.125" style="2795" customWidth="1"/>
    <col min="4110" max="4110" width="8" style="2795" customWidth="1"/>
    <col min="4111" max="4111" width="8.625" style="2795" customWidth="1"/>
    <col min="4112" max="4112" width="8.375" style="2795" customWidth="1"/>
    <col min="4113" max="4113" width="9.875" style="2795" customWidth="1"/>
    <col min="4114" max="4115" width="6.875" style="2795" customWidth="1"/>
    <col min="4116" max="4116" width="7.875" style="2795" customWidth="1"/>
    <col min="4117" max="4117" width="10.625" style="2795"/>
    <col min="4118" max="4118" width="24" style="2795" customWidth="1"/>
    <col min="4119" max="4119" width="20.125" style="2795" customWidth="1"/>
    <col min="4120" max="4120" width="16.875" style="2795" customWidth="1"/>
    <col min="4121" max="4121" width="21.875" style="2795" customWidth="1"/>
    <col min="4122" max="4122" width="26.625" style="2795" customWidth="1"/>
    <col min="4123" max="4123" width="28.875" style="2795" customWidth="1"/>
    <col min="4124" max="4124" width="10.625" style="2795"/>
    <col min="4125" max="4125" width="11.875" style="2795" customWidth="1"/>
    <col min="4126" max="4126" width="19.375" style="2795" customWidth="1"/>
    <col min="4127" max="4352" width="10.625" style="2795"/>
    <col min="4353" max="4353" width="3.75" style="2795" customWidth="1"/>
    <col min="4354" max="4354" width="11.625" style="2795" customWidth="1"/>
    <col min="4355" max="4355" width="9" style="2795" customWidth="1"/>
    <col min="4356" max="4356" width="12.5" style="2795" customWidth="1"/>
    <col min="4357" max="4357" width="10.125" style="2795" customWidth="1"/>
    <col min="4358" max="4358" width="9.375" style="2795" customWidth="1"/>
    <col min="4359" max="4359" width="8.375" style="2795" customWidth="1"/>
    <col min="4360" max="4360" width="8.5" style="2795" customWidth="1"/>
    <col min="4361" max="4361" width="7.125" style="2795" customWidth="1"/>
    <col min="4362" max="4362" width="7.375" style="2795" customWidth="1"/>
    <col min="4363" max="4363" width="7" style="2795" customWidth="1"/>
    <col min="4364" max="4364" width="6.625" style="2795" customWidth="1"/>
    <col min="4365" max="4365" width="8.125" style="2795" customWidth="1"/>
    <col min="4366" max="4366" width="8" style="2795" customWidth="1"/>
    <col min="4367" max="4367" width="8.625" style="2795" customWidth="1"/>
    <col min="4368" max="4368" width="8.375" style="2795" customWidth="1"/>
    <col min="4369" max="4369" width="9.875" style="2795" customWidth="1"/>
    <col min="4370" max="4371" width="6.875" style="2795" customWidth="1"/>
    <col min="4372" max="4372" width="7.875" style="2795" customWidth="1"/>
    <col min="4373" max="4373" width="10.625" style="2795"/>
    <col min="4374" max="4374" width="24" style="2795" customWidth="1"/>
    <col min="4375" max="4375" width="20.125" style="2795" customWidth="1"/>
    <col min="4376" max="4376" width="16.875" style="2795" customWidth="1"/>
    <col min="4377" max="4377" width="21.875" style="2795" customWidth="1"/>
    <col min="4378" max="4378" width="26.625" style="2795" customWidth="1"/>
    <col min="4379" max="4379" width="28.875" style="2795" customWidth="1"/>
    <col min="4380" max="4380" width="10.625" style="2795"/>
    <col min="4381" max="4381" width="11.875" style="2795" customWidth="1"/>
    <col min="4382" max="4382" width="19.375" style="2795" customWidth="1"/>
    <col min="4383" max="4608" width="10.625" style="2795"/>
    <col min="4609" max="4609" width="3.75" style="2795" customWidth="1"/>
    <col min="4610" max="4610" width="11.625" style="2795" customWidth="1"/>
    <col min="4611" max="4611" width="9" style="2795" customWidth="1"/>
    <col min="4612" max="4612" width="12.5" style="2795" customWidth="1"/>
    <col min="4613" max="4613" width="10.125" style="2795" customWidth="1"/>
    <col min="4614" max="4614" width="9.375" style="2795" customWidth="1"/>
    <col min="4615" max="4615" width="8.375" style="2795" customWidth="1"/>
    <col min="4616" max="4616" width="8.5" style="2795" customWidth="1"/>
    <col min="4617" max="4617" width="7.125" style="2795" customWidth="1"/>
    <col min="4618" max="4618" width="7.375" style="2795" customWidth="1"/>
    <col min="4619" max="4619" width="7" style="2795" customWidth="1"/>
    <col min="4620" max="4620" width="6.625" style="2795" customWidth="1"/>
    <col min="4621" max="4621" width="8.125" style="2795" customWidth="1"/>
    <col min="4622" max="4622" width="8" style="2795" customWidth="1"/>
    <col min="4623" max="4623" width="8.625" style="2795" customWidth="1"/>
    <col min="4624" max="4624" width="8.375" style="2795" customWidth="1"/>
    <col min="4625" max="4625" width="9.875" style="2795" customWidth="1"/>
    <col min="4626" max="4627" width="6.875" style="2795" customWidth="1"/>
    <col min="4628" max="4628" width="7.875" style="2795" customWidth="1"/>
    <col min="4629" max="4629" width="10.625" style="2795"/>
    <col min="4630" max="4630" width="24" style="2795" customWidth="1"/>
    <col min="4631" max="4631" width="20.125" style="2795" customWidth="1"/>
    <col min="4632" max="4632" width="16.875" style="2795" customWidth="1"/>
    <col min="4633" max="4633" width="21.875" style="2795" customWidth="1"/>
    <col min="4634" max="4634" width="26.625" style="2795" customWidth="1"/>
    <col min="4635" max="4635" width="28.875" style="2795" customWidth="1"/>
    <col min="4636" max="4636" width="10.625" style="2795"/>
    <col min="4637" max="4637" width="11.875" style="2795" customWidth="1"/>
    <col min="4638" max="4638" width="19.375" style="2795" customWidth="1"/>
    <col min="4639" max="4864" width="10.625" style="2795"/>
    <col min="4865" max="4865" width="3.75" style="2795" customWidth="1"/>
    <col min="4866" max="4866" width="11.625" style="2795" customWidth="1"/>
    <col min="4867" max="4867" width="9" style="2795" customWidth="1"/>
    <col min="4868" max="4868" width="12.5" style="2795" customWidth="1"/>
    <col min="4869" max="4869" width="10.125" style="2795" customWidth="1"/>
    <col min="4870" max="4870" width="9.375" style="2795" customWidth="1"/>
    <col min="4871" max="4871" width="8.375" style="2795" customWidth="1"/>
    <col min="4872" max="4872" width="8.5" style="2795" customWidth="1"/>
    <col min="4873" max="4873" width="7.125" style="2795" customWidth="1"/>
    <col min="4874" max="4874" width="7.375" style="2795" customWidth="1"/>
    <col min="4875" max="4875" width="7" style="2795" customWidth="1"/>
    <col min="4876" max="4876" width="6.625" style="2795" customWidth="1"/>
    <col min="4877" max="4877" width="8.125" style="2795" customWidth="1"/>
    <col min="4878" max="4878" width="8" style="2795" customWidth="1"/>
    <col min="4879" max="4879" width="8.625" style="2795" customWidth="1"/>
    <col min="4880" max="4880" width="8.375" style="2795" customWidth="1"/>
    <col min="4881" max="4881" width="9.875" style="2795" customWidth="1"/>
    <col min="4882" max="4883" width="6.875" style="2795" customWidth="1"/>
    <col min="4884" max="4884" width="7.875" style="2795" customWidth="1"/>
    <col min="4885" max="4885" width="10.625" style="2795"/>
    <col min="4886" max="4886" width="24" style="2795" customWidth="1"/>
    <col min="4887" max="4887" width="20.125" style="2795" customWidth="1"/>
    <col min="4888" max="4888" width="16.875" style="2795" customWidth="1"/>
    <col min="4889" max="4889" width="21.875" style="2795" customWidth="1"/>
    <col min="4890" max="4890" width="26.625" style="2795" customWidth="1"/>
    <col min="4891" max="4891" width="28.875" style="2795" customWidth="1"/>
    <col min="4892" max="4892" width="10.625" style="2795"/>
    <col min="4893" max="4893" width="11.875" style="2795" customWidth="1"/>
    <col min="4894" max="4894" width="19.375" style="2795" customWidth="1"/>
    <col min="4895" max="5120" width="10.625" style="2795"/>
    <col min="5121" max="5121" width="3.75" style="2795" customWidth="1"/>
    <col min="5122" max="5122" width="11.625" style="2795" customWidth="1"/>
    <col min="5123" max="5123" width="9" style="2795" customWidth="1"/>
    <col min="5124" max="5124" width="12.5" style="2795" customWidth="1"/>
    <col min="5125" max="5125" width="10.125" style="2795" customWidth="1"/>
    <col min="5126" max="5126" width="9.375" style="2795" customWidth="1"/>
    <col min="5127" max="5127" width="8.375" style="2795" customWidth="1"/>
    <col min="5128" max="5128" width="8.5" style="2795" customWidth="1"/>
    <col min="5129" max="5129" width="7.125" style="2795" customWidth="1"/>
    <col min="5130" max="5130" width="7.375" style="2795" customWidth="1"/>
    <col min="5131" max="5131" width="7" style="2795" customWidth="1"/>
    <col min="5132" max="5132" width="6.625" style="2795" customWidth="1"/>
    <col min="5133" max="5133" width="8.125" style="2795" customWidth="1"/>
    <col min="5134" max="5134" width="8" style="2795" customWidth="1"/>
    <col min="5135" max="5135" width="8.625" style="2795" customWidth="1"/>
    <col min="5136" max="5136" width="8.375" style="2795" customWidth="1"/>
    <col min="5137" max="5137" width="9.875" style="2795" customWidth="1"/>
    <col min="5138" max="5139" width="6.875" style="2795" customWidth="1"/>
    <col min="5140" max="5140" width="7.875" style="2795" customWidth="1"/>
    <col min="5141" max="5141" width="10.625" style="2795"/>
    <col min="5142" max="5142" width="24" style="2795" customWidth="1"/>
    <col min="5143" max="5143" width="20.125" style="2795" customWidth="1"/>
    <col min="5144" max="5144" width="16.875" style="2795" customWidth="1"/>
    <col min="5145" max="5145" width="21.875" style="2795" customWidth="1"/>
    <col min="5146" max="5146" width="26.625" style="2795" customWidth="1"/>
    <col min="5147" max="5147" width="28.875" style="2795" customWidth="1"/>
    <col min="5148" max="5148" width="10.625" style="2795"/>
    <col min="5149" max="5149" width="11.875" style="2795" customWidth="1"/>
    <col min="5150" max="5150" width="19.375" style="2795" customWidth="1"/>
    <col min="5151" max="5376" width="10.625" style="2795"/>
    <col min="5377" max="5377" width="3.75" style="2795" customWidth="1"/>
    <col min="5378" max="5378" width="11.625" style="2795" customWidth="1"/>
    <col min="5379" max="5379" width="9" style="2795" customWidth="1"/>
    <col min="5380" max="5380" width="12.5" style="2795" customWidth="1"/>
    <col min="5381" max="5381" width="10.125" style="2795" customWidth="1"/>
    <col min="5382" max="5382" width="9.375" style="2795" customWidth="1"/>
    <col min="5383" max="5383" width="8.375" style="2795" customWidth="1"/>
    <col min="5384" max="5384" width="8.5" style="2795" customWidth="1"/>
    <col min="5385" max="5385" width="7.125" style="2795" customWidth="1"/>
    <col min="5386" max="5386" width="7.375" style="2795" customWidth="1"/>
    <col min="5387" max="5387" width="7" style="2795" customWidth="1"/>
    <col min="5388" max="5388" width="6.625" style="2795" customWidth="1"/>
    <col min="5389" max="5389" width="8.125" style="2795" customWidth="1"/>
    <col min="5390" max="5390" width="8" style="2795" customWidth="1"/>
    <col min="5391" max="5391" width="8.625" style="2795" customWidth="1"/>
    <col min="5392" max="5392" width="8.375" style="2795" customWidth="1"/>
    <col min="5393" max="5393" width="9.875" style="2795" customWidth="1"/>
    <col min="5394" max="5395" width="6.875" style="2795" customWidth="1"/>
    <col min="5396" max="5396" width="7.875" style="2795" customWidth="1"/>
    <col min="5397" max="5397" width="10.625" style="2795"/>
    <col min="5398" max="5398" width="24" style="2795" customWidth="1"/>
    <col min="5399" max="5399" width="20.125" style="2795" customWidth="1"/>
    <col min="5400" max="5400" width="16.875" style="2795" customWidth="1"/>
    <col min="5401" max="5401" width="21.875" style="2795" customWidth="1"/>
    <col min="5402" max="5402" width="26.625" style="2795" customWidth="1"/>
    <col min="5403" max="5403" width="28.875" style="2795" customWidth="1"/>
    <col min="5404" max="5404" width="10.625" style="2795"/>
    <col min="5405" max="5405" width="11.875" style="2795" customWidth="1"/>
    <col min="5406" max="5406" width="19.375" style="2795" customWidth="1"/>
    <col min="5407" max="5632" width="10.625" style="2795"/>
    <col min="5633" max="5633" width="3.75" style="2795" customWidth="1"/>
    <col min="5634" max="5634" width="11.625" style="2795" customWidth="1"/>
    <col min="5635" max="5635" width="9" style="2795" customWidth="1"/>
    <col min="5636" max="5636" width="12.5" style="2795" customWidth="1"/>
    <col min="5637" max="5637" width="10.125" style="2795" customWidth="1"/>
    <col min="5638" max="5638" width="9.375" style="2795" customWidth="1"/>
    <col min="5639" max="5639" width="8.375" style="2795" customWidth="1"/>
    <col min="5640" max="5640" width="8.5" style="2795" customWidth="1"/>
    <col min="5641" max="5641" width="7.125" style="2795" customWidth="1"/>
    <col min="5642" max="5642" width="7.375" style="2795" customWidth="1"/>
    <col min="5643" max="5643" width="7" style="2795" customWidth="1"/>
    <col min="5644" max="5644" width="6.625" style="2795" customWidth="1"/>
    <col min="5645" max="5645" width="8.125" style="2795" customWidth="1"/>
    <col min="5646" max="5646" width="8" style="2795" customWidth="1"/>
    <col min="5647" max="5647" width="8.625" style="2795" customWidth="1"/>
    <col min="5648" max="5648" width="8.375" style="2795" customWidth="1"/>
    <col min="5649" max="5649" width="9.875" style="2795" customWidth="1"/>
    <col min="5650" max="5651" width="6.875" style="2795" customWidth="1"/>
    <col min="5652" max="5652" width="7.875" style="2795" customWidth="1"/>
    <col min="5653" max="5653" width="10.625" style="2795"/>
    <col min="5654" max="5654" width="24" style="2795" customWidth="1"/>
    <col min="5655" max="5655" width="20.125" style="2795" customWidth="1"/>
    <col min="5656" max="5656" width="16.875" style="2795" customWidth="1"/>
    <col min="5657" max="5657" width="21.875" style="2795" customWidth="1"/>
    <col min="5658" max="5658" width="26.625" style="2795" customWidth="1"/>
    <col min="5659" max="5659" width="28.875" style="2795" customWidth="1"/>
    <col min="5660" max="5660" width="10.625" style="2795"/>
    <col min="5661" max="5661" width="11.875" style="2795" customWidth="1"/>
    <col min="5662" max="5662" width="19.375" style="2795" customWidth="1"/>
    <col min="5663" max="5888" width="10.625" style="2795"/>
    <col min="5889" max="5889" width="3.75" style="2795" customWidth="1"/>
    <col min="5890" max="5890" width="11.625" style="2795" customWidth="1"/>
    <col min="5891" max="5891" width="9" style="2795" customWidth="1"/>
    <col min="5892" max="5892" width="12.5" style="2795" customWidth="1"/>
    <col min="5893" max="5893" width="10.125" style="2795" customWidth="1"/>
    <col min="5894" max="5894" width="9.375" style="2795" customWidth="1"/>
    <col min="5895" max="5895" width="8.375" style="2795" customWidth="1"/>
    <col min="5896" max="5896" width="8.5" style="2795" customWidth="1"/>
    <col min="5897" max="5897" width="7.125" style="2795" customWidth="1"/>
    <col min="5898" max="5898" width="7.375" style="2795" customWidth="1"/>
    <col min="5899" max="5899" width="7" style="2795" customWidth="1"/>
    <col min="5900" max="5900" width="6.625" style="2795" customWidth="1"/>
    <col min="5901" max="5901" width="8.125" style="2795" customWidth="1"/>
    <col min="5902" max="5902" width="8" style="2795" customWidth="1"/>
    <col min="5903" max="5903" width="8.625" style="2795" customWidth="1"/>
    <col min="5904" max="5904" width="8.375" style="2795" customWidth="1"/>
    <col min="5905" max="5905" width="9.875" style="2795" customWidth="1"/>
    <col min="5906" max="5907" width="6.875" style="2795" customWidth="1"/>
    <col min="5908" max="5908" width="7.875" style="2795" customWidth="1"/>
    <col min="5909" max="5909" width="10.625" style="2795"/>
    <col min="5910" max="5910" width="24" style="2795" customWidth="1"/>
    <col min="5911" max="5911" width="20.125" style="2795" customWidth="1"/>
    <col min="5912" max="5912" width="16.875" style="2795" customWidth="1"/>
    <col min="5913" max="5913" width="21.875" style="2795" customWidth="1"/>
    <col min="5914" max="5914" width="26.625" style="2795" customWidth="1"/>
    <col min="5915" max="5915" width="28.875" style="2795" customWidth="1"/>
    <col min="5916" max="5916" width="10.625" style="2795"/>
    <col min="5917" max="5917" width="11.875" style="2795" customWidth="1"/>
    <col min="5918" max="5918" width="19.375" style="2795" customWidth="1"/>
    <col min="5919" max="6144" width="10.625" style="2795"/>
    <col min="6145" max="6145" width="3.75" style="2795" customWidth="1"/>
    <col min="6146" max="6146" width="11.625" style="2795" customWidth="1"/>
    <col min="6147" max="6147" width="9" style="2795" customWidth="1"/>
    <col min="6148" max="6148" width="12.5" style="2795" customWidth="1"/>
    <col min="6149" max="6149" width="10.125" style="2795" customWidth="1"/>
    <col min="6150" max="6150" width="9.375" style="2795" customWidth="1"/>
    <col min="6151" max="6151" width="8.375" style="2795" customWidth="1"/>
    <col min="6152" max="6152" width="8.5" style="2795" customWidth="1"/>
    <col min="6153" max="6153" width="7.125" style="2795" customWidth="1"/>
    <col min="6154" max="6154" width="7.375" style="2795" customWidth="1"/>
    <col min="6155" max="6155" width="7" style="2795" customWidth="1"/>
    <col min="6156" max="6156" width="6.625" style="2795" customWidth="1"/>
    <col min="6157" max="6157" width="8.125" style="2795" customWidth="1"/>
    <col min="6158" max="6158" width="8" style="2795" customWidth="1"/>
    <col min="6159" max="6159" width="8.625" style="2795" customWidth="1"/>
    <col min="6160" max="6160" width="8.375" style="2795" customWidth="1"/>
    <col min="6161" max="6161" width="9.875" style="2795" customWidth="1"/>
    <col min="6162" max="6163" width="6.875" style="2795" customWidth="1"/>
    <col min="6164" max="6164" width="7.875" style="2795" customWidth="1"/>
    <col min="6165" max="6165" width="10.625" style="2795"/>
    <col min="6166" max="6166" width="24" style="2795" customWidth="1"/>
    <col min="6167" max="6167" width="20.125" style="2795" customWidth="1"/>
    <col min="6168" max="6168" width="16.875" style="2795" customWidth="1"/>
    <col min="6169" max="6169" width="21.875" style="2795" customWidth="1"/>
    <col min="6170" max="6170" width="26.625" style="2795" customWidth="1"/>
    <col min="6171" max="6171" width="28.875" style="2795" customWidth="1"/>
    <col min="6172" max="6172" width="10.625" style="2795"/>
    <col min="6173" max="6173" width="11.875" style="2795" customWidth="1"/>
    <col min="6174" max="6174" width="19.375" style="2795" customWidth="1"/>
    <col min="6175" max="6400" width="10.625" style="2795"/>
    <col min="6401" max="6401" width="3.75" style="2795" customWidth="1"/>
    <col min="6402" max="6402" width="11.625" style="2795" customWidth="1"/>
    <col min="6403" max="6403" width="9" style="2795" customWidth="1"/>
    <col min="6404" max="6404" width="12.5" style="2795" customWidth="1"/>
    <col min="6405" max="6405" width="10.125" style="2795" customWidth="1"/>
    <col min="6406" max="6406" width="9.375" style="2795" customWidth="1"/>
    <col min="6407" max="6407" width="8.375" style="2795" customWidth="1"/>
    <col min="6408" max="6408" width="8.5" style="2795" customWidth="1"/>
    <col min="6409" max="6409" width="7.125" style="2795" customWidth="1"/>
    <col min="6410" max="6410" width="7.375" style="2795" customWidth="1"/>
    <col min="6411" max="6411" width="7" style="2795" customWidth="1"/>
    <col min="6412" max="6412" width="6.625" style="2795" customWidth="1"/>
    <col min="6413" max="6413" width="8.125" style="2795" customWidth="1"/>
    <col min="6414" max="6414" width="8" style="2795" customWidth="1"/>
    <col min="6415" max="6415" width="8.625" style="2795" customWidth="1"/>
    <col min="6416" max="6416" width="8.375" style="2795" customWidth="1"/>
    <col min="6417" max="6417" width="9.875" style="2795" customWidth="1"/>
    <col min="6418" max="6419" width="6.875" style="2795" customWidth="1"/>
    <col min="6420" max="6420" width="7.875" style="2795" customWidth="1"/>
    <col min="6421" max="6421" width="10.625" style="2795"/>
    <col min="6422" max="6422" width="24" style="2795" customWidth="1"/>
    <col min="6423" max="6423" width="20.125" style="2795" customWidth="1"/>
    <col min="6424" max="6424" width="16.875" style="2795" customWidth="1"/>
    <col min="6425" max="6425" width="21.875" style="2795" customWidth="1"/>
    <col min="6426" max="6426" width="26.625" style="2795" customWidth="1"/>
    <col min="6427" max="6427" width="28.875" style="2795" customWidth="1"/>
    <col min="6428" max="6428" width="10.625" style="2795"/>
    <col min="6429" max="6429" width="11.875" style="2795" customWidth="1"/>
    <col min="6430" max="6430" width="19.375" style="2795" customWidth="1"/>
    <col min="6431" max="6656" width="10.625" style="2795"/>
    <col min="6657" max="6657" width="3.75" style="2795" customWidth="1"/>
    <col min="6658" max="6658" width="11.625" style="2795" customWidth="1"/>
    <col min="6659" max="6659" width="9" style="2795" customWidth="1"/>
    <col min="6660" max="6660" width="12.5" style="2795" customWidth="1"/>
    <col min="6661" max="6661" width="10.125" style="2795" customWidth="1"/>
    <col min="6662" max="6662" width="9.375" style="2795" customWidth="1"/>
    <col min="6663" max="6663" width="8.375" style="2795" customWidth="1"/>
    <col min="6664" max="6664" width="8.5" style="2795" customWidth="1"/>
    <col min="6665" max="6665" width="7.125" style="2795" customWidth="1"/>
    <col min="6666" max="6666" width="7.375" style="2795" customWidth="1"/>
    <col min="6667" max="6667" width="7" style="2795" customWidth="1"/>
    <col min="6668" max="6668" width="6.625" style="2795" customWidth="1"/>
    <col min="6669" max="6669" width="8.125" style="2795" customWidth="1"/>
    <col min="6670" max="6670" width="8" style="2795" customWidth="1"/>
    <col min="6671" max="6671" width="8.625" style="2795" customWidth="1"/>
    <col min="6672" max="6672" width="8.375" style="2795" customWidth="1"/>
    <col min="6673" max="6673" width="9.875" style="2795" customWidth="1"/>
    <col min="6674" max="6675" width="6.875" style="2795" customWidth="1"/>
    <col min="6676" max="6676" width="7.875" style="2795" customWidth="1"/>
    <col min="6677" max="6677" width="10.625" style="2795"/>
    <col min="6678" max="6678" width="24" style="2795" customWidth="1"/>
    <col min="6679" max="6679" width="20.125" style="2795" customWidth="1"/>
    <col min="6680" max="6680" width="16.875" style="2795" customWidth="1"/>
    <col min="6681" max="6681" width="21.875" style="2795" customWidth="1"/>
    <col min="6682" max="6682" width="26.625" style="2795" customWidth="1"/>
    <col min="6683" max="6683" width="28.875" style="2795" customWidth="1"/>
    <col min="6684" max="6684" width="10.625" style="2795"/>
    <col min="6685" max="6685" width="11.875" style="2795" customWidth="1"/>
    <col min="6686" max="6686" width="19.375" style="2795" customWidth="1"/>
    <col min="6687" max="6912" width="10.625" style="2795"/>
    <col min="6913" max="6913" width="3.75" style="2795" customWidth="1"/>
    <col min="6914" max="6914" width="11.625" style="2795" customWidth="1"/>
    <col min="6915" max="6915" width="9" style="2795" customWidth="1"/>
    <col min="6916" max="6916" width="12.5" style="2795" customWidth="1"/>
    <col min="6917" max="6917" width="10.125" style="2795" customWidth="1"/>
    <col min="6918" max="6918" width="9.375" style="2795" customWidth="1"/>
    <col min="6919" max="6919" width="8.375" style="2795" customWidth="1"/>
    <col min="6920" max="6920" width="8.5" style="2795" customWidth="1"/>
    <col min="6921" max="6921" width="7.125" style="2795" customWidth="1"/>
    <col min="6922" max="6922" width="7.375" style="2795" customWidth="1"/>
    <col min="6923" max="6923" width="7" style="2795" customWidth="1"/>
    <col min="6924" max="6924" width="6.625" style="2795" customWidth="1"/>
    <col min="6925" max="6925" width="8.125" style="2795" customWidth="1"/>
    <col min="6926" max="6926" width="8" style="2795" customWidth="1"/>
    <col min="6927" max="6927" width="8.625" style="2795" customWidth="1"/>
    <col min="6928" max="6928" width="8.375" style="2795" customWidth="1"/>
    <col min="6929" max="6929" width="9.875" style="2795" customWidth="1"/>
    <col min="6930" max="6931" width="6.875" style="2795" customWidth="1"/>
    <col min="6932" max="6932" width="7.875" style="2795" customWidth="1"/>
    <col min="6933" max="6933" width="10.625" style="2795"/>
    <col min="6934" max="6934" width="24" style="2795" customWidth="1"/>
    <col min="6935" max="6935" width="20.125" style="2795" customWidth="1"/>
    <col min="6936" max="6936" width="16.875" style="2795" customWidth="1"/>
    <col min="6937" max="6937" width="21.875" style="2795" customWidth="1"/>
    <col min="6938" max="6938" width="26.625" style="2795" customWidth="1"/>
    <col min="6939" max="6939" width="28.875" style="2795" customWidth="1"/>
    <col min="6940" max="6940" width="10.625" style="2795"/>
    <col min="6941" max="6941" width="11.875" style="2795" customWidth="1"/>
    <col min="6942" max="6942" width="19.375" style="2795" customWidth="1"/>
    <col min="6943" max="7168" width="10.625" style="2795"/>
    <col min="7169" max="7169" width="3.75" style="2795" customWidth="1"/>
    <col min="7170" max="7170" width="11.625" style="2795" customWidth="1"/>
    <col min="7171" max="7171" width="9" style="2795" customWidth="1"/>
    <col min="7172" max="7172" width="12.5" style="2795" customWidth="1"/>
    <col min="7173" max="7173" width="10.125" style="2795" customWidth="1"/>
    <col min="7174" max="7174" width="9.375" style="2795" customWidth="1"/>
    <col min="7175" max="7175" width="8.375" style="2795" customWidth="1"/>
    <col min="7176" max="7176" width="8.5" style="2795" customWidth="1"/>
    <col min="7177" max="7177" width="7.125" style="2795" customWidth="1"/>
    <col min="7178" max="7178" width="7.375" style="2795" customWidth="1"/>
    <col min="7179" max="7179" width="7" style="2795" customWidth="1"/>
    <col min="7180" max="7180" width="6.625" style="2795" customWidth="1"/>
    <col min="7181" max="7181" width="8.125" style="2795" customWidth="1"/>
    <col min="7182" max="7182" width="8" style="2795" customWidth="1"/>
    <col min="7183" max="7183" width="8.625" style="2795" customWidth="1"/>
    <col min="7184" max="7184" width="8.375" style="2795" customWidth="1"/>
    <col min="7185" max="7185" width="9.875" style="2795" customWidth="1"/>
    <col min="7186" max="7187" width="6.875" style="2795" customWidth="1"/>
    <col min="7188" max="7188" width="7.875" style="2795" customWidth="1"/>
    <col min="7189" max="7189" width="10.625" style="2795"/>
    <col min="7190" max="7190" width="24" style="2795" customWidth="1"/>
    <col min="7191" max="7191" width="20.125" style="2795" customWidth="1"/>
    <col min="7192" max="7192" width="16.875" style="2795" customWidth="1"/>
    <col min="7193" max="7193" width="21.875" style="2795" customWidth="1"/>
    <col min="7194" max="7194" width="26.625" style="2795" customWidth="1"/>
    <col min="7195" max="7195" width="28.875" style="2795" customWidth="1"/>
    <col min="7196" max="7196" width="10.625" style="2795"/>
    <col min="7197" max="7197" width="11.875" style="2795" customWidth="1"/>
    <col min="7198" max="7198" width="19.375" style="2795" customWidth="1"/>
    <col min="7199" max="7424" width="10.625" style="2795"/>
    <col min="7425" max="7425" width="3.75" style="2795" customWidth="1"/>
    <col min="7426" max="7426" width="11.625" style="2795" customWidth="1"/>
    <col min="7427" max="7427" width="9" style="2795" customWidth="1"/>
    <col min="7428" max="7428" width="12.5" style="2795" customWidth="1"/>
    <col min="7429" max="7429" width="10.125" style="2795" customWidth="1"/>
    <col min="7430" max="7430" width="9.375" style="2795" customWidth="1"/>
    <col min="7431" max="7431" width="8.375" style="2795" customWidth="1"/>
    <col min="7432" max="7432" width="8.5" style="2795" customWidth="1"/>
    <col min="7433" max="7433" width="7.125" style="2795" customWidth="1"/>
    <col min="7434" max="7434" width="7.375" style="2795" customWidth="1"/>
    <col min="7435" max="7435" width="7" style="2795" customWidth="1"/>
    <col min="7436" max="7436" width="6.625" style="2795" customWidth="1"/>
    <col min="7437" max="7437" width="8.125" style="2795" customWidth="1"/>
    <col min="7438" max="7438" width="8" style="2795" customWidth="1"/>
    <col min="7439" max="7439" width="8.625" style="2795" customWidth="1"/>
    <col min="7440" max="7440" width="8.375" style="2795" customWidth="1"/>
    <col min="7441" max="7441" width="9.875" style="2795" customWidth="1"/>
    <col min="7442" max="7443" width="6.875" style="2795" customWidth="1"/>
    <col min="7444" max="7444" width="7.875" style="2795" customWidth="1"/>
    <col min="7445" max="7445" width="10.625" style="2795"/>
    <col min="7446" max="7446" width="24" style="2795" customWidth="1"/>
    <col min="7447" max="7447" width="20.125" style="2795" customWidth="1"/>
    <col min="7448" max="7448" width="16.875" style="2795" customWidth="1"/>
    <col min="7449" max="7449" width="21.875" style="2795" customWidth="1"/>
    <col min="7450" max="7450" width="26.625" style="2795" customWidth="1"/>
    <col min="7451" max="7451" width="28.875" style="2795" customWidth="1"/>
    <col min="7452" max="7452" width="10.625" style="2795"/>
    <col min="7453" max="7453" width="11.875" style="2795" customWidth="1"/>
    <col min="7454" max="7454" width="19.375" style="2795" customWidth="1"/>
    <col min="7455" max="7680" width="10.625" style="2795"/>
    <col min="7681" max="7681" width="3.75" style="2795" customWidth="1"/>
    <col min="7682" max="7682" width="11.625" style="2795" customWidth="1"/>
    <col min="7683" max="7683" width="9" style="2795" customWidth="1"/>
    <col min="7684" max="7684" width="12.5" style="2795" customWidth="1"/>
    <col min="7685" max="7685" width="10.125" style="2795" customWidth="1"/>
    <col min="7686" max="7686" width="9.375" style="2795" customWidth="1"/>
    <col min="7687" max="7687" width="8.375" style="2795" customWidth="1"/>
    <col min="7688" max="7688" width="8.5" style="2795" customWidth="1"/>
    <col min="7689" max="7689" width="7.125" style="2795" customWidth="1"/>
    <col min="7690" max="7690" width="7.375" style="2795" customWidth="1"/>
    <col min="7691" max="7691" width="7" style="2795" customWidth="1"/>
    <col min="7692" max="7692" width="6.625" style="2795" customWidth="1"/>
    <col min="7693" max="7693" width="8.125" style="2795" customWidth="1"/>
    <col min="7694" max="7694" width="8" style="2795" customWidth="1"/>
    <col min="7695" max="7695" width="8.625" style="2795" customWidth="1"/>
    <col min="7696" max="7696" width="8.375" style="2795" customWidth="1"/>
    <col min="7697" max="7697" width="9.875" style="2795" customWidth="1"/>
    <col min="7698" max="7699" width="6.875" style="2795" customWidth="1"/>
    <col min="7700" max="7700" width="7.875" style="2795" customWidth="1"/>
    <col min="7701" max="7701" width="10.625" style="2795"/>
    <col min="7702" max="7702" width="24" style="2795" customWidth="1"/>
    <col min="7703" max="7703" width="20.125" style="2795" customWidth="1"/>
    <col min="7704" max="7704" width="16.875" style="2795" customWidth="1"/>
    <col min="7705" max="7705" width="21.875" style="2795" customWidth="1"/>
    <col min="7706" max="7706" width="26.625" style="2795" customWidth="1"/>
    <col min="7707" max="7707" width="28.875" style="2795" customWidth="1"/>
    <col min="7708" max="7708" width="10.625" style="2795"/>
    <col min="7709" max="7709" width="11.875" style="2795" customWidth="1"/>
    <col min="7710" max="7710" width="19.375" style="2795" customWidth="1"/>
    <col min="7711" max="7936" width="10.625" style="2795"/>
    <col min="7937" max="7937" width="3.75" style="2795" customWidth="1"/>
    <col min="7938" max="7938" width="11.625" style="2795" customWidth="1"/>
    <col min="7939" max="7939" width="9" style="2795" customWidth="1"/>
    <col min="7940" max="7940" width="12.5" style="2795" customWidth="1"/>
    <col min="7941" max="7941" width="10.125" style="2795" customWidth="1"/>
    <col min="7942" max="7942" width="9.375" style="2795" customWidth="1"/>
    <col min="7943" max="7943" width="8.375" style="2795" customWidth="1"/>
    <col min="7944" max="7944" width="8.5" style="2795" customWidth="1"/>
    <col min="7945" max="7945" width="7.125" style="2795" customWidth="1"/>
    <col min="7946" max="7946" width="7.375" style="2795" customWidth="1"/>
    <col min="7947" max="7947" width="7" style="2795" customWidth="1"/>
    <col min="7948" max="7948" width="6.625" style="2795" customWidth="1"/>
    <col min="7949" max="7949" width="8.125" style="2795" customWidth="1"/>
    <col min="7950" max="7950" width="8" style="2795" customWidth="1"/>
    <col min="7951" max="7951" width="8.625" style="2795" customWidth="1"/>
    <col min="7952" max="7952" width="8.375" style="2795" customWidth="1"/>
    <col min="7953" max="7953" width="9.875" style="2795" customWidth="1"/>
    <col min="7954" max="7955" width="6.875" style="2795" customWidth="1"/>
    <col min="7956" max="7956" width="7.875" style="2795" customWidth="1"/>
    <col min="7957" max="7957" width="10.625" style="2795"/>
    <col min="7958" max="7958" width="24" style="2795" customWidth="1"/>
    <col min="7959" max="7959" width="20.125" style="2795" customWidth="1"/>
    <col min="7960" max="7960" width="16.875" style="2795" customWidth="1"/>
    <col min="7961" max="7961" width="21.875" style="2795" customWidth="1"/>
    <col min="7962" max="7962" width="26.625" style="2795" customWidth="1"/>
    <col min="7963" max="7963" width="28.875" style="2795" customWidth="1"/>
    <col min="7964" max="7964" width="10.625" style="2795"/>
    <col min="7965" max="7965" width="11.875" style="2795" customWidth="1"/>
    <col min="7966" max="7966" width="19.375" style="2795" customWidth="1"/>
    <col min="7967" max="8192" width="10.625" style="2795"/>
    <col min="8193" max="8193" width="3.75" style="2795" customWidth="1"/>
    <col min="8194" max="8194" width="11.625" style="2795" customWidth="1"/>
    <col min="8195" max="8195" width="9" style="2795" customWidth="1"/>
    <col min="8196" max="8196" width="12.5" style="2795" customWidth="1"/>
    <col min="8197" max="8197" width="10.125" style="2795" customWidth="1"/>
    <col min="8198" max="8198" width="9.375" style="2795" customWidth="1"/>
    <col min="8199" max="8199" width="8.375" style="2795" customWidth="1"/>
    <col min="8200" max="8200" width="8.5" style="2795" customWidth="1"/>
    <col min="8201" max="8201" width="7.125" style="2795" customWidth="1"/>
    <col min="8202" max="8202" width="7.375" style="2795" customWidth="1"/>
    <col min="8203" max="8203" width="7" style="2795" customWidth="1"/>
    <col min="8204" max="8204" width="6.625" style="2795" customWidth="1"/>
    <col min="8205" max="8205" width="8.125" style="2795" customWidth="1"/>
    <col min="8206" max="8206" width="8" style="2795" customWidth="1"/>
    <col min="8207" max="8207" width="8.625" style="2795" customWidth="1"/>
    <col min="8208" max="8208" width="8.375" style="2795" customWidth="1"/>
    <col min="8209" max="8209" width="9.875" style="2795" customWidth="1"/>
    <col min="8210" max="8211" width="6.875" style="2795" customWidth="1"/>
    <col min="8212" max="8212" width="7.875" style="2795" customWidth="1"/>
    <col min="8213" max="8213" width="10.625" style="2795"/>
    <col min="8214" max="8214" width="24" style="2795" customWidth="1"/>
    <col min="8215" max="8215" width="20.125" style="2795" customWidth="1"/>
    <col min="8216" max="8216" width="16.875" style="2795" customWidth="1"/>
    <col min="8217" max="8217" width="21.875" style="2795" customWidth="1"/>
    <col min="8218" max="8218" width="26.625" style="2795" customWidth="1"/>
    <col min="8219" max="8219" width="28.875" style="2795" customWidth="1"/>
    <col min="8220" max="8220" width="10.625" style="2795"/>
    <col min="8221" max="8221" width="11.875" style="2795" customWidth="1"/>
    <col min="8222" max="8222" width="19.375" style="2795" customWidth="1"/>
    <col min="8223" max="8448" width="10.625" style="2795"/>
    <col min="8449" max="8449" width="3.75" style="2795" customWidth="1"/>
    <col min="8450" max="8450" width="11.625" style="2795" customWidth="1"/>
    <col min="8451" max="8451" width="9" style="2795" customWidth="1"/>
    <col min="8452" max="8452" width="12.5" style="2795" customWidth="1"/>
    <col min="8453" max="8453" width="10.125" style="2795" customWidth="1"/>
    <col min="8454" max="8454" width="9.375" style="2795" customWidth="1"/>
    <col min="8455" max="8455" width="8.375" style="2795" customWidth="1"/>
    <col min="8456" max="8456" width="8.5" style="2795" customWidth="1"/>
    <col min="8457" max="8457" width="7.125" style="2795" customWidth="1"/>
    <col min="8458" max="8458" width="7.375" style="2795" customWidth="1"/>
    <col min="8459" max="8459" width="7" style="2795" customWidth="1"/>
    <col min="8460" max="8460" width="6.625" style="2795" customWidth="1"/>
    <col min="8461" max="8461" width="8.125" style="2795" customWidth="1"/>
    <col min="8462" max="8462" width="8" style="2795" customWidth="1"/>
    <col min="8463" max="8463" width="8.625" style="2795" customWidth="1"/>
    <col min="8464" max="8464" width="8.375" style="2795" customWidth="1"/>
    <col min="8465" max="8465" width="9.875" style="2795" customWidth="1"/>
    <col min="8466" max="8467" width="6.875" style="2795" customWidth="1"/>
    <col min="8468" max="8468" width="7.875" style="2795" customWidth="1"/>
    <col min="8469" max="8469" width="10.625" style="2795"/>
    <col min="8470" max="8470" width="24" style="2795" customWidth="1"/>
    <col min="8471" max="8471" width="20.125" style="2795" customWidth="1"/>
    <col min="8472" max="8472" width="16.875" style="2795" customWidth="1"/>
    <col min="8473" max="8473" width="21.875" style="2795" customWidth="1"/>
    <col min="8474" max="8474" width="26.625" style="2795" customWidth="1"/>
    <col min="8475" max="8475" width="28.875" style="2795" customWidth="1"/>
    <col min="8476" max="8476" width="10.625" style="2795"/>
    <col min="8477" max="8477" width="11.875" style="2795" customWidth="1"/>
    <col min="8478" max="8478" width="19.375" style="2795" customWidth="1"/>
    <col min="8479" max="8704" width="10.625" style="2795"/>
    <col min="8705" max="8705" width="3.75" style="2795" customWidth="1"/>
    <col min="8706" max="8706" width="11.625" style="2795" customWidth="1"/>
    <col min="8707" max="8707" width="9" style="2795" customWidth="1"/>
    <col min="8708" max="8708" width="12.5" style="2795" customWidth="1"/>
    <col min="8709" max="8709" width="10.125" style="2795" customWidth="1"/>
    <col min="8710" max="8710" width="9.375" style="2795" customWidth="1"/>
    <col min="8711" max="8711" width="8.375" style="2795" customWidth="1"/>
    <col min="8712" max="8712" width="8.5" style="2795" customWidth="1"/>
    <col min="8713" max="8713" width="7.125" style="2795" customWidth="1"/>
    <col min="8714" max="8714" width="7.375" style="2795" customWidth="1"/>
    <col min="8715" max="8715" width="7" style="2795" customWidth="1"/>
    <col min="8716" max="8716" width="6.625" style="2795" customWidth="1"/>
    <col min="8717" max="8717" width="8.125" style="2795" customWidth="1"/>
    <col min="8718" max="8718" width="8" style="2795" customWidth="1"/>
    <col min="8719" max="8719" width="8.625" style="2795" customWidth="1"/>
    <col min="8720" max="8720" width="8.375" style="2795" customWidth="1"/>
    <col min="8721" max="8721" width="9.875" style="2795" customWidth="1"/>
    <col min="8722" max="8723" width="6.875" style="2795" customWidth="1"/>
    <col min="8724" max="8724" width="7.875" style="2795" customWidth="1"/>
    <col min="8725" max="8725" width="10.625" style="2795"/>
    <col min="8726" max="8726" width="24" style="2795" customWidth="1"/>
    <col min="8727" max="8727" width="20.125" style="2795" customWidth="1"/>
    <col min="8728" max="8728" width="16.875" style="2795" customWidth="1"/>
    <col min="8729" max="8729" width="21.875" style="2795" customWidth="1"/>
    <col min="8730" max="8730" width="26.625" style="2795" customWidth="1"/>
    <col min="8731" max="8731" width="28.875" style="2795" customWidth="1"/>
    <col min="8732" max="8732" width="10.625" style="2795"/>
    <col min="8733" max="8733" width="11.875" style="2795" customWidth="1"/>
    <col min="8734" max="8734" width="19.375" style="2795" customWidth="1"/>
    <col min="8735" max="8960" width="10.625" style="2795"/>
    <col min="8961" max="8961" width="3.75" style="2795" customWidth="1"/>
    <col min="8962" max="8962" width="11.625" style="2795" customWidth="1"/>
    <col min="8963" max="8963" width="9" style="2795" customWidth="1"/>
    <col min="8964" max="8964" width="12.5" style="2795" customWidth="1"/>
    <col min="8965" max="8965" width="10.125" style="2795" customWidth="1"/>
    <col min="8966" max="8966" width="9.375" style="2795" customWidth="1"/>
    <col min="8967" max="8967" width="8.375" style="2795" customWidth="1"/>
    <col min="8968" max="8968" width="8.5" style="2795" customWidth="1"/>
    <col min="8969" max="8969" width="7.125" style="2795" customWidth="1"/>
    <col min="8970" max="8970" width="7.375" style="2795" customWidth="1"/>
    <col min="8971" max="8971" width="7" style="2795" customWidth="1"/>
    <col min="8972" max="8972" width="6.625" style="2795" customWidth="1"/>
    <col min="8973" max="8973" width="8.125" style="2795" customWidth="1"/>
    <col min="8974" max="8974" width="8" style="2795" customWidth="1"/>
    <col min="8975" max="8975" width="8.625" style="2795" customWidth="1"/>
    <col min="8976" max="8976" width="8.375" style="2795" customWidth="1"/>
    <col min="8977" max="8977" width="9.875" style="2795" customWidth="1"/>
    <col min="8978" max="8979" width="6.875" style="2795" customWidth="1"/>
    <col min="8980" max="8980" width="7.875" style="2795" customWidth="1"/>
    <col min="8981" max="8981" width="10.625" style="2795"/>
    <col min="8982" max="8982" width="24" style="2795" customWidth="1"/>
    <col min="8983" max="8983" width="20.125" style="2795" customWidth="1"/>
    <col min="8984" max="8984" width="16.875" style="2795" customWidth="1"/>
    <col min="8985" max="8985" width="21.875" style="2795" customWidth="1"/>
    <col min="8986" max="8986" width="26.625" style="2795" customWidth="1"/>
    <col min="8987" max="8987" width="28.875" style="2795" customWidth="1"/>
    <col min="8988" max="8988" width="10.625" style="2795"/>
    <col min="8989" max="8989" width="11.875" style="2795" customWidth="1"/>
    <col min="8990" max="8990" width="19.375" style="2795" customWidth="1"/>
    <col min="8991" max="9216" width="10.625" style="2795"/>
    <col min="9217" max="9217" width="3.75" style="2795" customWidth="1"/>
    <col min="9218" max="9218" width="11.625" style="2795" customWidth="1"/>
    <col min="9219" max="9219" width="9" style="2795" customWidth="1"/>
    <col min="9220" max="9220" width="12.5" style="2795" customWidth="1"/>
    <col min="9221" max="9221" width="10.125" style="2795" customWidth="1"/>
    <col min="9222" max="9222" width="9.375" style="2795" customWidth="1"/>
    <col min="9223" max="9223" width="8.375" style="2795" customWidth="1"/>
    <col min="9224" max="9224" width="8.5" style="2795" customWidth="1"/>
    <col min="9225" max="9225" width="7.125" style="2795" customWidth="1"/>
    <col min="9226" max="9226" width="7.375" style="2795" customWidth="1"/>
    <col min="9227" max="9227" width="7" style="2795" customWidth="1"/>
    <col min="9228" max="9228" width="6.625" style="2795" customWidth="1"/>
    <col min="9229" max="9229" width="8.125" style="2795" customWidth="1"/>
    <col min="9230" max="9230" width="8" style="2795" customWidth="1"/>
    <col min="9231" max="9231" width="8.625" style="2795" customWidth="1"/>
    <col min="9232" max="9232" width="8.375" style="2795" customWidth="1"/>
    <col min="9233" max="9233" width="9.875" style="2795" customWidth="1"/>
    <col min="9234" max="9235" width="6.875" style="2795" customWidth="1"/>
    <col min="9236" max="9236" width="7.875" style="2795" customWidth="1"/>
    <col min="9237" max="9237" width="10.625" style="2795"/>
    <col min="9238" max="9238" width="24" style="2795" customWidth="1"/>
    <col min="9239" max="9239" width="20.125" style="2795" customWidth="1"/>
    <col min="9240" max="9240" width="16.875" style="2795" customWidth="1"/>
    <col min="9241" max="9241" width="21.875" style="2795" customWidth="1"/>
    <col min="9242" max="9242" width="26.625" style="2795" customWidth="1"/>
    <col min="9243" max="9243" width="28.875" style="2795" customWidth="1"/>
    <col min="9244" max="9244" width="10.625" style="2795"/>
    <col min="9245" max="9245" width="11.875" style="2795" customWidth="1"/>
    <col min="9246" max="9246" width="19.375" style="2795" customWidth="1"/>
    <col min="9247" max="9472" width="10.625" style="2795"/>
    <col min="9473" max="9473" width="3.75" style="2795" customWidth="1"/>
    <col min="9474" max="9474" width="11.625" style="2795" customWidth="1"/>
    <col min="9475" max="9475" width="9" style="2795" customWidth="1"/>
    <col min="9476" max="9476" width="12.5" style="2795" customWidth="1"/>
    <col min="9477" max="9477" width="10.125" style="2795" customWidth="1"/>
    <col min="9478" max="9478" width="9.375" style="2795" customWidth="1"/>
    <col min="9479" max="9479" width="8.375" style="2795" customWidth="1"/>
    <col min="9480" max="9480" width="8.5" style="2795" customWidth="1"/>
    <col min="9481" max="9481" width="7.125" style="2795" customWidth="1"/>
    <col min="9482" max="9482" width="7.375" style="2795" customWidth="1"/>
    <col min="9483" max="9483" width="7" style="2795" customWidth="1"/>
    <col min="9484" max="9484" width="6.625" style="2795" customWidth="1"/>
    <col min="9485" max="9485" width="8.125" style="2795" customWidth="1"/>
    <col min="9486" max="9486" width="8" style="2795" customWidth="1"/>
    <col min="9487" max="9487" width="8.625" style="2795" customWidth="1"/>
    <col min="9488" max="9488" width="8.375" style="2795" customWidth="1"/>
    <col min="9489" max="9489" width="9.875" style="2795" customWidth="1"/>
    <col min="9490" max="9491" width="6.875" style="2795" customWidth="1"/>
    <col min="9492" max="9492" width="7.875" style="2795" customWidth="1"/>
    <col min="9493" max="9493" width="10.625" style="2795"/>
    <col min="9494" max="9494" width="24" style="2795" customWidth="1"/>
    <col min="9495" max="9495" width="20.125" style="2795" customWidth="1"/>
    <col min="9496" max="9496" width="16.875" style="2795" customWidth="1"/>
    <col min="9497" max="9497" width="21.875" style="2795" customWidth="1"/>
    <col min="9498" max="9498" width="26.625" style="2795" customWidth="1"/>
    <col min="9499" max="9499" width="28.875" style="2795" customWidth="1"/>
    <col min="9500" max="9500" width="10.625" style="2795"/>
    <col min="9501" max="9501" width="11.875" style="2795" customWidth="1"/>
    <col min="9502" max="9502" width="19.375" style="2795" customWidth="1"/>
    <col min="9503" max="9728" width="10.625" style="2795"/>
    <col min="9729" max="9729" width="3.75" style="2795" customWidth="1"/>
    <col min="9730" max="9730" width="11.625" style="2795" customWidth="1"/>
    <col min="9731" max="9731" width="9" style="2795" customWidth="1"/>
    <col min="9732" max="9732" width="12.5" style="2795" customWidth="1"/>
    <col min="9733" max="9733" width="10.125" style="2795" customWidth="1"/>
    <col min="9734" max="9734" width="9.375" style="2795" customWidth="1"/>
    <col min="9735" max="9735" width="8.375" style="2795" customWidth="1"/>
    <col min="9736" max="9736" width="8.5" style="2795" customWidth="1"/>
    <col min="9737" max="9737" width="7.125" style="2795" customWidth="1"/>
    <col min="9738" max="9738" width="7.375" style="2795" customWidth="1"/>
    <col min="9739" max="9739" width="7" style="2795" customWidth="1"/>
    <col min="9740" max="9740" width="6.625" style="2795" customWidth="1"/>
    <col min="9741" max="9741" width="8.125" style="2795" customWidth="1"/>
    <col min="9742" max="9742" width="8" style="2795" customWidth="1"/>
    <col min="9743" max="9743" width="8.625" style="2795" customWidth="1"/>
    <col min="9744" max="9744" width="8.375" style="2795" customWidth="1"/>
    <col min="9745" max="9745" width="9.875" style="2795" customWidth="1"/>
    <col min="9746" max="9747" width="6.875" style="2795" customWidth="1"/>
    <col min="9748" max="9748" width="7.875" style="2795" customWidth="1"/>
    <col min="9749" max="9749" width="10.625" style="2795"/>
    <col min="9750" max="9750" width="24" style="2795" customWidth="1"/>
    <col min="9751" max="9751" width="20.125" style="2795" customWidth="1"/>
    <col min="9752" max="9752" width="16.875" style="2795" customWidth="1"/>
    <col min="9753" max="9753" width="21.875" style="2795" customWidth="1"/>
    <col min="9754" max="9754" width="26.625" style="2795" customWidth="1"/>
    <col min="9755" max="9755" width="28.875" style="2795" customWidth="1"/>
    <col min="9756" max="9756" width="10.625" style="2795"/>
    <col min="9757" max="9757" width="11.875" style="2795" customWidth="1"/>
    <col min="9758" max="9758" width="19.375" style="2795" customWidth="1"/>
    <col min="9759" max="9984" width="10.625" style="2795"/>
    <col min="9985" max="9985" width="3.75" style="2795" customWidth="1"/>
    <col min="9986" max="9986" width="11.625" style="2795" customWidth="1"/>
    <col min="9987" max="9987" width="9" style="2795" customWidth="1"/>
    <col min="9988" max="9988" width="12.5" style="2795" customWidth="1"/>
    <col min="9989" max="9989" width="10.125" style="2795" customWidth="1"/>
    <col min="9990" max="9990" width="9.375" style="2795" customWidth="1"/>
    <col min="9991" max="9991" width="8.375" style="2795" customWidth="1"/>
    <col min="9992" max="9992" width="8.5" style="2795" customWidth="1"/>
    <col min="9993" max="9993" width="7.125" style="2795" customWidth="1"/>
    <col min="9994" max="9994" width="7.375" style="2795" customWidth="1"/>
    <col min="9995" max="9995" width="7" style="2795" customWidth="1"/>
    <col min="9996" max="9996" width="6.625" style="2795" customWidth="1"/>
    <col min="9997" max="9997" width="8.125" style="2795" customWidth="1"/>
    <col min="9998" max="9998" width="8" style="2795" customWidth="1"/>
    <col min="9999" max="9999" width="8.625" style="2795" customWidth="1"/>
    <col min="10000" max="10000" width="8.375" style="2795" customWidth="1"/>
    <col min="10001" max="10001" width="9.875" style="2795" customWidth="1"/>
    <col min="10002" max="10003" width="6.875" style="2795" customWidth="1"/>
    <col min="10004" max="10004" width="7.875" style="2795" customWidth="1"/>
    <col min="10005" max="10005" width="10.625" style="2795"/>
    <col min="10006" max="10006" width="24" style="2795" customWidth="1"/>
    <col min="10007" max="10007" width="20.125" style="2795" customWidth="1"/>
    <col min="10008" max="10008" width="16.875" style="2795" customWidth="1"/>
    <col min="10009" max="10009" width="21.875" style="2795" customWidth="1"/>
    <col min="10010" max="10010" width="26.625" style="2795" customWidth="1"/>
    <col min="10011" max="10011" width="28.875" style="2795" customWidth="1"/>
    <col min="10012" max="10012" width="10.625" style="2795"/>
    <col min="10013" max="10013" width="11.875" style="2795" customWidth="1"/>
    <col min="10014" max="10014" width="19.375" style="2795" customWidth="1"/>
    <col min="10015" max="10240" width="10.625" style="2795"/>
    <col min="10241" max="10241" width="3.75" style="2795" customWidth="1"/>
    <col min="10242" max="10242" width="11.625" style="2795" customWidth="1"/>
    <col min="10243" max="10243" width="9" style="2795" customWidth="1"/>
    <col min="10244" max="10244" width="12.5" style="2795" customWidth="1"/>
    <col min="10245" max="10245" width="10.125" style="2795" customWidth="1"/>
    <col min="10246" max="10246" width="9.375" style="2795" customWidth="1"/>
    <col min="10247" max="10247" width="8.375" style="2795" customWidth="1"/>
    <col min="10248" max="10248" width="8.5" style="2795" customWidth="1"/>
    <col min="10249" max="10249" width="7.125" style="2795" customWidth="1"/>
    <col min="10250" max="10250" width="7.375" style="2795" customWidth="1"/>
    <col min="10251" max="10251" width="7" style="2795" customWidth="1"/>
    <col min="10252" max="10252" width="6.625" style="2795" customWidth="1"/>
    <col min="10253" max="10253" width="8.125" style="2795" customWidth="1"/>
    <col min="10254" max="10254" width="8" style="2795" customWidth="1"/>
    <col min="10255" max="10255" width="8.625" style="2795" customWidth="1"/>
    <col min="10256" max="10256" width="8.375" style="2795" customWidth="1"/>
    <col min="10257" max="10257" width="9.875" style="2795" customWidth="1"/>
    <col min="10258" max="10259" width="6.875" style="2795" customWidth="1"/>
    <col min="10260" max="10260" width="7.875" style="2795" customWidth="1"/>
    <col min="10261" max="10261" width="10.625" style="2795"/>
    <col min="10262" max="10262" width="24" style="2795" customWidth="1"/>
    <col min="10263" max="10263" width="20.125" style="2795" customWidth="1"/>
    <col min="10264" max="10264" width="16.875" style="2795" customWidth="1"/>
    <col min="10265" max="10265" width="21.875" style="2795" customWidth="1"/>
    <col min="10266" max="10266" width="26.625" style="2795" customWidth="1"/>
    <col min="10267" max="10267" width="28.875" style="2795" customWidth="1"/>
    <col min="10268" max="10268" width="10.625" style="2795"/>
    <col min="10269" max="10269" width="11.875" style="2795" customWidth="1"/>
    <col min="10270" max="10270" width="19.375" style="2795" customWidth="1"/>
    <col min="10271" max="10496" width="10.625" style="2795"/>
    <col min="10497" max="10497" width="3.75" style="2795" customWidth="1"/>
    <col min="10498" max="10498" width="11.625" style="2795" customWidth="1"/>
    <col min="10499" max="10499" width="9" style="2795" customWidth="1"/>
    <col min="10500" max="10500" width="12.5" style="2795" customWidth="1"/>
    <col min="10501" max="10501" width="10.125" style="2795" customWidth="1"/>
    <col min="10502" max="10502" width="9.375" style="2795" customWidth="1"/>
    <col min="10503" max="10503" width="8.375" style="2795" customWidth="1"/>
    <col min="10504" max="10504" width="8.5" style="2795" customWidth="1"/>
    <col min="10505" max="10505" width="7.125" style="2795" customWidth="1"/>
    <col min="10506" max="10506" width="7.375" style="2795" customWidth="1"/>
    <col min="10507" max="10507" width="7" style="2795" customWidth="1"/>
    <col min="10508" max="10508" width="6.625" style="2795" customWidth="1"/>
    <col min="10509" max="10509" width="8.125" style="2795" customWidth="1"/>
    <col min="10510" max="10510" width="8" style="2795" customWidth="1"/>
    <col min="10511" max="10511" width="8.625" style="2795" customWidth="1"/>
    <col min="10512" max="10512" width="8.375" style="2795" customWidth="1"/>
    <col min="10513" max="10513" width="9.875" style="2795" customWidth="1"/>
    <col min="10514" max="10515" width="6.875" style="2795" customWidth="1"/>
    <col min="10516" max="10516" width="7.875" style="2795" customWidth="1"/>
    <col min="10517" max="10517" width="10.625" style="2795"/>
    <col min="10518" max="10518" width="24" style="2795" customWidth="1"/>
    <col min="10519" max="10519" width="20.125" style="2795" customWidth="1"/>
    <col min="10520" max="10520" width="16.875" style="2795" customWidth="1"/>
    <col min="10521" max="10521" width="21.875" style="2795" customWidth="1"/>
    <col min="10522" max="10522" width="26.625" style="2795" customWidth="1"/>
    <col min="10523" max="10523" width="28.875" style="2795" customWidth="1"/>
    <col min="10524" max="10524" width="10.625" style="2795"/>
    <col min="10525" max="10525" width="11.875" style="2795" customWidth="1"/>
    <col min="10526" max="10526" width="19.375" style="2795" customWidth="1"/>
    <col min="10527" max="10752" width="10.625" style="2795"/>
    <col min="10753" max="10753" width="3.75" style="2795" customWidth="1"/>
    <col min="10754" max="10754" width="11.625" style="2795" customWidth="1"/>
    <col min="10755" max="10755" width="9" style="2795" customWidth="1"/>
    <col min="10756" max="10756" width="12.5" style="2795" customWidth="1"/>
    <col min="10757" max="10757" width="10.125" style="2795" customWidth="1"/>
    <col min="10758" max="10758" width="9.375" style="2795" customWidth="1"/>
    <col min="10759" max="10759" width="8.375" style="2795" customWidth="1"/>
    <col min="10760" max="10760" width="8.5" style="2795" customWidth="1"/>
    <col min="10761" max="10761" width="7.125" style="2795" customWidth="1"/>
    <col min="10762" max="10762" width="7.375" style="2795" customWidth="1"/>
    <col min="10763" max="10763" width="7" style="2795" customWidth="1"/>
    <col min="10764" max="10764" width="6.625" style="2795" customWidth="1"/>
    <col min="10765" max="10765" width="8.125" style="2795" customWidth="1"/>
    <col min="10766" max="10766" width="8" style="2795" customWidth="1"/>
    <col min="10767" max="10767" width="8.625" style="2795" customWidth="1"/>
    <col min="10768" max="10768" width="8.375" style="2795" customWidth="1"/>
    <col min="10769" max="10769" width="9.875" style="2795" customWidth="1"/>
    <col min="10770" max="10771" width="6.875" style="2795" customWidth="1"/>
    <col min="10772" max="10772" width="7.875" style="2795" customWidth="1"/>
    <col min="10773" max="10773" width="10.625" style="2795"/>
    <col min="10774" max="10774" width="24" style="2795" customWidth="1"/>
    <col min="10775" max="10775" width="20.125" style="2795" customWidth="1"/>
    <col min="10776" max="10776" width="16.875" style="2795" customWidth="1"/>
    <col min="10777" max="10777" width="21.875" style="2795" customWidth="1"/>
    <col min="10778" max="10778" width="26.625" style="2795" customWidth="1"/>
    <col min="10779" max="10779" width="28.875" style="2795" customWidth="1"/>
    <col min="10780" max="10780" width="10.625" style="2795"/>
    <col min="10781" max="10781" width="11.875" style="2795" customWidth="1"/>
    <col min="10782" max="10782" width="19.375" style="2795" customWidth="1"/>
    <col min="10783" max="11008" width="10.625" style="2795"/>
    <col min="11009" max="11009" width="3.75" style="2795" customWidth="1"/>
    <col min="11010" max="11010" width="11.625" style="2795" customWidth="1"/>
    <col min="11011" max="11011" width="9" style="2795" customWidth="1"/>
    <col min="11012" max="11012" width="12.5" style="2795" customWidth="1"/>
    <col min="11013" max="11013" width="10.125" style="2795" customWidth="1"/>
    <col min="11014" max="11014" width="9.375" style="2795" customWidth="1"/>
    <col min="11015" max="11015" width="8.375" style="2795" customWidth="1"/>
    <col min="11016" max="11016" width="8.5" style="2795" customWidth="1"/>
    <col min="11017" max="11017" width="7.125" style="2795" customWidth="1"/>
    <col min="11018" max="11018" width="7.375" style="2795" customWidth="1"/>
    <col min="11019" max="11019" width="7" style="2795" customWidth="1"/>
    <col min="11020" max="11020" width="6.625" style="2795" customWidth="1"/>
    <col min="11021" max="11021" width="8.125" style="2795" customWidth="1"/>
    <col min="11022" max="11022" width="8" style="2795" customWidth="1"/>
    <col min="11023" max="11023" width="8.625" style="2795" customWidth="1"/>
    <col min="11024" max="11024" width="8.375" style="2795" customWidth="1"/>
    <col min="11025" max="11025" width="9.875" style="2795" customWidth="1"/>
    <col min="11026" max="11027" width="6.875" style="2795" customWidth="1"/>
    <col min="11028" max="11028" width="7.875" style="2795" customWidth="1"/>
    <col min="11029" max="11029" width="10.625" style="2795"/>
    <col min="11030" max="11030" width="24" style="2795" customWidth="1"/>
    <col min="11031" max="11031" width="20.125" style="2795" customWidth="1"/>
    <col min="11032" max="11032" width="16.875" style="2795" customWidth="1"/>
    <col min="11033" max="11033" width="21.875" style="2795" customWidth="1"/>
    <col min="11034" max="11034" width="26.625" style="2795" customWidth="1"/>
    <col min="11035" max="11035" width="28.875" style="2795" customWidth="1"/>
    <col min="11036" max="11036" width="10.625" style="2795"/>
    <col min="11037" max="11037" width="11.875" style="2795" customWidth="1"/>
    <col min="11038" max="11038" width="19.375" style="2795" customWidth="1"/>
    <col min="11039" max="11264" width="10.625" style="2795"/>
    <col min="11265" max="11265" width="3.75" style="2795" customWidth="1"/>
    <col min="11266" max="11266" width="11.625" style="2795" customWidth="1"/>
    <col min="11267" max="11267" width="9" style="2795" customWidth="1"/>
    <col min="11268" max="11268" width="12.5" style="2795" customWidth="1"/>
    <col min="11269" max="11269" width="10.125" style="2795" customWidth="1"/>
    <col min="11270" max="11270" width="9.375" style="2795" customWidth="1"/>
    <col min="11271" max="11271" width="8.375" style="2795" customWidth="1"/>
    <col min="11272" max="11272" width="8.5" style="2795" customWidth="1"/>
    <col min="11273" max="11273" width="7.125" style="2795" customWidth="1"/>
    <col min="11274" max="11274" width="7.375" style="2795" customWidth="1"/>
    <col min="11275" max="11275" width="7" style="2795" customWidth="1"/>
    <col min="11276" max="11276" width="6.625" style="2795" customWidth="1"/>
    <col min="11277" max="11277" width="8.125" style="2795" customWidth="1"/>
    <col min="11278" max="11278" width="8" style="2795" customWidth="1"/>
    <col min="11279" max="11279" width="8.625" style="2795" customWidth="1"/>
    <col min="11280" max="11280" width="8.375" style="2795" customWidth="1"/>
    <col min="11281" max="11281" width="9.875" style="2795" customWidth="1"/>
    <col min="11282" max="11283" width="6.875" style="2795" customWidth="1"/>
    <col min="11284" max="11284" width="7.875" style="2795" customWidth="1"/>
    <col min="11285" max="11285" width="10.625" style="2795"/>
    <col min="11286" max="11286" width="24" style="2795" customWidth="1"/>
    <col min="11287" max="11287" width="20.125" style="2795" customWidth="1"/>
    <col min="11288" max="11288" width="16.875" style="2795" customWidth="1"/>
    <col min="11289" max="11289" width="21.875" style="2795" customWidth="1"/>
    <col min="11290" max="11290" width="26.625" style="2795" customWidth="1"/>
    <col min="11291" max="11291" width="28.875" style="2795" customWidth="1"/>
    <col min="11292" max="11292" width="10.625" style="2795"/>
    <col min="11293" max="11293" width="11.875" style="2795" customWidth="1"/>
    <col min="11294" max="11294" width="19.375" style="2795" customWidth="1"/>
    <col min="11295" max="11520" width="10.625" style="2795"/>
    <col min="11521" max="11521" width="3.75" style="2795" customWidth="1"/>
    <col min="11522" max="11522" width="11.625" style="2795" customWidth="1"/>
    <col min="11523" max="11523" width="9" style="2795" customWidth="1"/>
    <col min="11524" max="11524" width="12.5" style="2795" customWidth="1"/>
    <col min="11525" max="11525" width="10.125" style="2795" customWidth="1"/>
    <col min="11526" max="11526" width="9.375" style="2795" customWidth="1"/>
    <col min="11527" max="11527" width="8.375" style="2795" customWidth="1"/>
    <col min="11528" max="11528" width="8.5" style="2795" customWidth="1"/>
    <col min="11529" max="11529" width="7.125" style="2795" customWidth="1"/>
    <col min="11530" max="11530" width="7.375" style="2795" customWidth="1"/>
    <col min="11531" max="11531" width="7" style="2795" customWidth="1"/>
    <col min="11532" max="11532" width="6.625" style="2795" customWidth="1"/>
    <col min="11533" max="11533" width="8.125" style="2795" customWidth="1"/>
    <col min="11534" max="11534" width="8" style="2795" customWidth="1"/>
    <col min="11535" max="11535" width="8.625" style="2795" customWidth="1"/>
    <col min="11536" max="11536" width="8.375" style="2795" customWidth="1"/>
    <col min="11537" max="11537" width="9.875" style="2795" customWidth="1"/>
    <col min="11538" max="11539" width="6.875" style="2795" customWidth="1"/>
    <col min="11540" max="11540" width="7.875" style="2795" customWidth="1"/>
    <col min="11541" max="11541" width="10.625" style="2795"/>
    <col min="11542" max="11542" width="24" style="2795" customWidth="1"/>
    <col min="11543" max="11543" width="20.125" style="2795" customWidth="1"/>
    <col min="11544" max="11544" width="16.875" style="2795" customWidth="1"/>
    <col min="11545" max="11545" width="21.875" style="2795" customWidth="1"/>
    <col min="11546" max="11546" width="26.625" style="2795" customWidth="1"/>
    <col min="11547" max="11547" width="28.875" style="2795" customWidth="1"/>
    <col min="11548" max="11548" width="10.625" style="2795"/>
    <col min="11549" max="11549" width="11.875" style="2795" customWidth="1"/>
    <col min="11550" max="11550" width="19.375" style="2795" customWidth="1"/>
    <col min="11551" max="11776" width="10.625" style="2795"/>
    <col min="11777" max="11777" width="3.75" style="2795" customWidth="1"/>
    <col min="11778" max="11778" width="11.625" style="2795" customWidth="1"/>
    <col min="11779" max="11779" width="9" style="2795" customWidth="1"/>
    <col min="11780" max="11780" width="12.5" style="2795" customWidth="1"/>
    <col min="11781" max="11781" width="10.125" style="2795" customWidth="1"/>
    <col min="11782" max="11782" width="9.375" style="2795" customWidth="1"/>
    <col min="11783" max="11783" width="8.375" style="2795" customWidth="1"/>
    <col min="11784" max="11784" width="8.5" style="2795" customWidth="1"/>
    <col min="11785" max="11785" width="7.125" style="2795" customWidth="1"/>
    <col min="11786" max="11786" width="7.375" style="2795" customWidth="1"/>
    <col min="11787" max="11787" width="7" style="2795" customWidth="1"/>
    <col min="11788" max="11788" width="6.625" style="2795" customWidth="1"/>
    <col min="11789" max="11789" width="8.125" style="2795" customWidth="1"/>
    <col min="11790" max="11790" width="8" style="2795" customWidth="1"/>
    <col min="11791" max="11791" width="8.625" style="2795" customWidth="1"/>
    <col min="11792" max="11792" width="8.375" style="2795" customWidth="1"/>
    <col min="11793" max="11793" width="9.875" style="2795" customWidth="1"/>
    <col min="11794" max="11795" width="6.875" style="2795" customWidth="1"/>
    <col min="11796" max="11796" width="7.875" style="2795" customWidth="1"/>
    <col min="11797" max="11797" width="10.625" style="2795"/>
    <col min="11798" max="11798" width="24" style="2795" customWidth="1"/>
    <col min="11799" max="11799" width="20.125" style="2795" customWidth="1"/>
    <col min="11800" max="11800" width="16.875" style="2795" customWidth="1"/>
    <col min="11801" max="11801" width="21.875" style="2795" customWidth="1"/>
    <col min="11802" max="11802" width="26.625" style="2795" customWidth="1"/>
    <col min="11803" max="11803" width="28.875" style="2795" customWidth="1"/>
    <col min="11804" max="11804" width="10.625" style="2795"/>
    <col min="11805" max="11805" width="11.875" style="2795" customWidth="1"/>
    <col min="11806" max="11806" width="19.375" style="2795" customWidth="1"/>
    <col min="11807" max="12032" width="10.625" style="2795"/>
    <col min="12033" max="12033" width="3.75" style="2795" customWidth="1"/>
    <col min="12034" max="12034" width="11.625" style="2795" customWidth="1"/>
    <col min="12035" max="12035" width="9" style="2795" customWidth="1"/>
    <col min="12036" max="12036" width="12.5" style="2795" customWidth="1"/>
    <col min="12037" max="12037" width="10.125" style="2795" customWidth="1"/>
    <col min="12038" max="12038" width="9.375" style="2795" customWidth="1"/>
    <col min="12039" max="12039" width="8.375" style="2795" customWidth="1"/>
    <col min="12040" max="12040" width="8.5" style="2795" customWidth="1"/>
    <col min="12041" max="12041" width="7.125" style="2795" customWidth="1"/>
    <col min="12042" max="12042" width="7.375" style="2795" customWidth="1"/>
    <col min="12043" max="12043" width="7" style="2795" customWidth="1"/>
    <col min="12044" max="12044" width="6.625" style="2795" customWidth="1"/>
    <col min="12045" max="12045" width="8.125" style="2795" customWidth="1"/>
    <col min="12046" max="12046" width="8" style="2795" customWidth="1"/>
    <col min="12047" max="12047" width="8.625" style="2795" customWidth="1"/>
    <col min="12048" max="12048" width="8.375" style="2795" customWidth="1"/>
    <col min="12049" max="12049" width="9.875" style="2795" customWidth="1"/>
    <col min="12050" max="12051" width="6.875" style="2795" customWidth="1"/>
    <col min="12052" max="12052" width="7.875" style="2795" customWidth="1"/>
    <col min="12053" max="12053" width="10.625" style="2795"/>
    <col min="12054" max="12054" width="24" style="2795" customWidth="1"/>
    <col min="12055" max="12055" width="20.125" style="2795" customWidth="1"/>
    <col min="12056" max="12056" width="16.875" style="2795" customWidth="1"/>
    <col min="12057" max="12057" width="21.875" style="2795" customWidth="1"/>
    <col min="12058" max="12058" width="26.625" style="2795" customWidth="1"/>
    <col min="12059" max="12059" width="28.875" style="2795" customWidth="1"/>
    <col min="12060" max="12060" width="10.625" style="2795"/>
    <col min="12061" max="12061" width="11.875" style="2795" customWidth="1"/>
    <col min="12062" max="12062" width="19.375" style="2795" customWidth="1"/>
    <col min="12063" max="12288" width="10.625" style="2795"/>
    <col min="12289" max="12289" width="3.75" style="2795" customWidth="1"/>
    <col min="12290" max="12290" width="11.625" style="2795" customWidth="1"/>
    <col min="12291" max="12291" width="9" style="2795" customWidth="1"/>
    <col min="12292" max="12292" width="12.5" style="2795" customWidth="1"/>
    <col min="12293" max="12293" width="10.125" style="2795" customWidth="1"/>
    <col min="12294" max="12294" width="9.375" style="2795" customWidth="1"/>
    <col min="12295" max="12295" width="8.375" style="2795" customWidth="1"/>
    <col min="12296" max="12296" width="8.5" style="2795" customWidth="1"/>
    <col min="12297" max="12297" width="7.125" style="2795" customWidth="1"/>
    <col min="12298" max="12298" width="7.375" style="2795" customWidth="1"/>
    <col min="12299" max="12299" width="7" style="2795" customWidth="1"/>
    <col min="12300" max="12300" width="6.625" style="2795" customWidth="1"/>
    <col min="12301" max="12301" width="8.125" style="2795" customWidth="1"/>
    <col min="12302" max="12302" width="8" style="2795" customWidth="1"/>
    <col min="12303" max="12303" width="8.625" style="2795" customWidth="1"/>
    <col min="12304" max="12304" width="8.375" style="2795" customWidth="1"/>
    <col min="12305" max="12305" width="9.875" style="2795" customWidth="1"/>
    <col min="12306" max="12307" width="6.875" style="2795" customWidth="1"/>
    <col min="12308" max="12308" width="7.875" style="2795" customWidth="1"/>
    <col min="12309" max="12309" width="10.625" style="2795"/>
    <col min="12310" max="12310" width="24" style="2795" customWidth="1"/>
    <col min="12311" max="12311" width="20.125" style="2795" customWidth="1"/>
    <col min="12312" max="12312" width="16.875" style="2795" customWidth="1"/>
    <col min="12313" max="12313" width="21.875" style="2795" customWidth="1"/>
    <col min="12314" max="12314" width="26.625" style="2795" customWidth="1"/>
    <col min="12315" max="12315" width="28.875" style="2795" customWidth="1"/>
    <col min="12316" max="12316" width="10.625" style="2795"/>
    <col min="12317" max="12317" width="11.875" style="2795" customWidth="1"/>
    <col min="12318" max="12318" width="19.375" style="2795" customWidth="1"/>
    <col min="12319" max="12544" width="10.625" style="2795"/>
    <col min="12545" max="12545" width="3.75" style="2795" customWidth="1"/>
    <col min="12546" max="12546" width="11.625" style="2795" customWidth="1"/>
    <col min="12547" max="12547" width="9" style="2795" customWidth="1"/>
    <col min="12548" max="12548" width="12.5" style="2795" customWidth="1"/>
    <col min="12549" max="12549" width="10.125" style="2795" customWidth="1"/>
    <col min="12550" max="12550" width="9.375" style="2795" customWidth="1"/>
    <col min="12551" max="12551" width="8.375" style="2795" customWidth="1"/>
    <col min="12552" max="12552" width="8.5" style="2795" customWidth="1"/>
    <col min="12553" max="12553" width="7.125" style="2795" customWidth="1"/>
    <col min="12554" max="12554" width="7.375" style="2795" customWidth="1"/>
    <col min="12555" max="12555" width="7" style="2795" customWidth="1"/>
    <col min="12556" max="12556" width="6.625" style="2795" customWidth="1"/>
    <col min="12557" max="12557" width="8.125" style="2795" customWidth="1"/>
    <col min="12558" max="12558" width="8" style="2795" customWidth="1"/>
    <col min="12559" max="12559" width="8.625" style="2795" customWidth="1"/>
    <col min="12560" max="12560" width="8.375" style="2795" customWidth="1"/>
    <col min="12561" max="12561" width="9.875" style="2795" customWidth="1"/>
    <col min="12562" max="12563" width="6.875" style="2795" customWidth="1"/>
    <col min="12564" max="12564" width="7.875" style="2795" customWidth="1"/>
    <col min="12565" max="12565" width="10.625" style="2795"/>
    <col min="12566" max="12566" width="24" style="2795" customWidth="1"/>
    <col min="12567" max="12567" width="20.125" style="2795" customWidth="1"/>
    <col min="12568" max="12568" width="16.875" style="2795" customWidth="1"/>
    <col min="12569" max="12569" width="21.875" style="2795" customWidth="1"/>
    <col min="12570" max="12570" width="26.625" style="2795" customWidth="1"/>
    <col min="12571" max="12571" width="28.875" style="2795" customWidth="1"/>
    <col min="12572" max="12572" width="10.625" style="2795"/>
    <col min="12573" max="12573" width="11.875" style="2795" customWidth="1"/>
    <col min="12574" max="12574" width="19.375" style="2795" customWidth="1"/>
    <col min="12575" max="12800" width="10.625" style="2795"/>
    <col min="12801" max="12801" width="3.75" style="2795" customWidth="1"/>
    <col min="12802" max="12802" width="11.625" style="2795" customWidth="1"/>
    <col min="12803" max="12803" width="9" style="2795" customWidth="1"/>
    <col min="12804" max="12804" width="12.5" style="2795" customWidth="1"/>
    <col min="12805" max="12805" width="10.125" style="2795" customWidth="1"/>
    <col min="12806" max="12806" width="9.375" style="2795" customWidth="1"/>
    <col min="12807" max="12807" width="8.375" style="2795" customWidth="1"/>
    <col min="12808" max="12808" width="8.5" style="2795" customWidth="1"/>
    <col min="12809" max="12809" width="7.125" style="2795" customWidth="1"/>
    <col min="12810" max="12810" width="7.375" style="2795" customWidth="1"/>
    <col min="12811" max="12811" width="7" style="2795" customWidth="1"/>
    <col min="12812" max="12812" width="6.625" style="2795" customWidth="1"/>
    <col min="12813" max="12813" width="8.125" style="2795" customWidth="1"/>
    <col min="12814" max="12814" width="8" style="2795" customWidth="1"/>
    <col min="12815" max="12815" width="8.625" style="2795" customWidth="1"/>
    <col min="12816" max="12816" width="8.375" style="2795" customWidth="1"/>
    <col min="12817" max="12817" width="9.875" style="2795" customWidth="1"/>
    <col min="12818" max="12819" width="6.875" style="2795" customWidth="1"/>
    <col min="12820" max="12820" width="7.875" style="2795" customWidth="1"/>
    <col min="12821" max="12821" width="10.625" style="2795"/>
    <col min="12822" max="12822" width="24" style="2795" customWidth="1"/>
    <col min="12823" max="12823" width="20.125" style="2795" customWidth="1"/>
    <col min="12824" max="12824" width="16.875" style="2795" customWidth="1"/>
    <col min="12825" max="12825" width="21.875" style="2795" customWidth="1"/>
    <col min="12826" max="12826" width="26.625" style="2795" customWidth="1"/>
    <col min="12827" max="12827" width="28.875" style="2795" customWidth="1"/>
    <col min="12828" max="12828" width="10.625" style="2795"/>
    <col min="12829" max="12829" width="11.875" style="2795" customWidth="1"/>
    <col min="12830" max="12830" width="19.375" style="2795" customWidth="1"/>
    <col min="12831" max="13056" width="10.625" style="2795"/>
    <col min="13057" max="13057" width="3.75" style="2795" customWidth="1"/>
    <col min="13058" max="13058" width="11.625" style="2795" customWidth="1"/>
    <col min="13059" max="13059" width="9" style="2795" customWidth="1"/>
    <col min="13060" max="13060" width="12.5" style="2795" customWidth="1"/>
    <col min="13061" max="13061" width="10.125" style="2795" customWidth="1"/>
    <col min="13062" max="13062" width="9.375" style="2795" customWidth="1"/>
    <col min="13063" max="13063" width="8.375" style="2795" customWidth="1"/>
    <col min="13064" max="13064" width="8.5" style="2795" customWidth="1"/>
    <col min="13065" max="13065" width="7.125" style="2795" customWidth="1"/>
    <col min="13066" max="13066" width="7.375" style="2795" customWidth="1"/>
    <col min="13067" max="13067" width="7" style="2795" customWidth="1"/>
    <col min="13068" max="13068" width="6.625" style="2795" customWidth="1"/>
    <col min="13069" max="13069" width="8.125" style="2795" customWidth="1"/>
    <col min="13070" max="13070" width="8" style="2795" customWidth="1"/>
    <col min="13071" max="13071" width="8.625" style="2795" customWidth="1"/>
    <col min="13072" max="13072" width="8.375" style="2795" customWidth="1"/>
    <col min="13073" max="13073" width="9.875" style="2795" customWidth="1"/>
    <col min="13074" max="13075" width="6.875" style="2795" customWidth="1"/>
    <col min="13076" max="13076" width="7.875" style="2795" customWidth="1"/>
    <col min="13077" max="13077" width="10.625" style="2795"/>
    <col min="13078" max="13078" width="24" style="2795" customWidth="1"/>
    <col min="13079" max="13079" width="20.125" style="2795" customWidth="1"/>
    <col min="13080" max="13080" width="16.875" style="2795" customWidth="1"/>
    <col min="13081" max="13081" width="21.875" style="2795" customWidth="1"/>
    <col min="13082" max="13082" width="26.625" style="2795" customWidth="1"/>
    <col min="13083" max="13083" width="28.875" style="2795" customWidth="1"/>
    <col min="13084" max="13084" width="10.625" style="2795"/>
    <col min="13085" max="13085" width="11.875" style="2795" customWidth="1"/>
    <col min="13086" max="13086" width="19.375" style="2795" customWidth="1"/>
    <col min="13087" max="13312" width="10.625" style="2795"/>
    <col min="13313" max="13313" width="3.75" style="2795" customWidth="1"/>
    <col min="13314" max="13314" width="11.625" style="2795" customWidth="1"/>
    <col min="13315" max="13315" width="9" style="2795" customWidth="1"/>
    <col min="13316" max="13316" width="12.5" style="2795" customWidth="1"/>
    <col min="13317" max="13317" width="10.125" style="2795" customWidth="1"/>
    <col min="13318" max="13318" width="9.375" style="2795" customWidth="1"/>
    <col min="13319" max="13319" width="8.375" style="2795" customWidth="1"/>
    <col min="13320" max="13320" width="8.5" style="2795" customWidth="1"/>
    <col min="13321" max="13321" width="7.125" style="2795" customWidth="1"/>
    <col min="13322" max="13322" width="7.375" style="2795" customWidth="1"/>
    <col min="13323" max="13323" width="7" style="2795" customWidth="1"/>
    <col min="13324" max="13324" width="6.625" style="2795" customWidth="1"/>
    <col min="13325" max="13325" width="8.125" style="2795" customWidth="1"/>
    <col min="13326" max="13326" width="8" style="2795" customWidth="1"/>
    <col min="13327" max="13327" width="8.625" style="2795" customWidth="1"/>
    <col min="13328" max="13328" width="8.375" style="2795" customWidth="1"/>
    <col min="13329" max="13329" width="9.875" style="2795" customWidth="1"/>
    <col min="13330" max="13331" width="6.875" style="2795" customWidth="1"/>
    <col min="13332" max="13332" width="7.875" style="2795" customWidth="1"/>
    <col min="13333" max="13333" width="10.625" style="2795"/>
    <col min="13334" max="13334" width="24" style="2795" customWidth="1"/>
    <col min="13335" max="13335" width="20.125" style="2795" customWidth="1"/>
    <col min="13336" max="13336" width="16.875" style="2795" customWidth="1"/>
    <col min="13337" max="13337" width="21.875" style="2795" customWidth="1"/>
    <col min="13338" max="13338" width="26.625" style="2795" customWidth="1"/>
    <col min="13339" max="13339" width="28.875" style="2795" customWidth="1"/>
    <col min="13340" max="13340" width="10.625" style="2795"/>
    <col min="13341" max="13341" width="11.875" style="2795" customWidth="1"/>
    <col min="13342" max="13342" width="19.375" style="2795" customWidth="1"/>
    <col min="13343" max="13568" width="10.625" style="2795"/>
    <col min="13569" max="13569" width="3.75" style="2795" customWidth="1"/>
    <col min="13570" max="13570" width="11.625" style="2795" customWidth="1"/>
    <col min="13571" max="13571" width="9" style="2795" customWidth="1"/>
    <col min="13572" max="13572" width="12.5" style="2795" customWidth="1"/>
    <col min="13573" max="13573" width="10.125" style="2795" customWidth="1"/>
    <col min="13574" max="13574" width="9.375" style="2795" customWidth="1"/>
    <col min="13575" max="13575" width="8.375" style="2795" customWidth="1"/>
    <col min="13576" max="13576" width="8.5" style="2795" customWidth="1"/>
    <col min="13577" max="13577" width="7.125" style="2795" customWidth="1"/>
    <col min="13578" max="13578" width="7.375" style="2795" customWidth="1"/>
    <col min="13579" max="13579" width="7" style="2795" customWidth="1"/>
    <col min="13580" max="13580" width="6.625" style="2795" customWidth="1"/>
    <col min="13581" max="13581" width="8.125" style="2795" customWidth="1"/>
    <col min="13582" max="13582" width="8" style="2795" customWidth="1"/>
    <col min="13583" max="13583" width="8.625" style="2795" customWidth="1"/>
    <col min="13584" max="13584" width="8.375" style="2795" customWidth="1"/>
    <col min="13585" max="13585" width="9.875" style="2795" customWidth="1"/>
    <col min="13586" max="13587" width="6.875" style="2795" customWidth="1"/>
    <col min="13588" max="13588" width="7.875" style="2795" customWidth="1"/>
    <col min="13589" max="13589" width="10.625" style="2795"/>
    <col min="13590" max="13590" width="24" style="2795" customWidth="1"/>
    <col min="13591" max="13591" width="20.125" style="2795" customWidth="1"/>
    <col min="13592" max="13592" width="16.875" style="2795" customWidth="1"/>
    <col min="13593" max="13593" width="21.875" style="2795" customWidth="1"/>
    <col min="13594" max="13594" width="26.625" style="2795" customWidth="1"/>
    <col min="13595" max="13595" width="28.875" style="2795" customWidth="1"/>
    <col min="13596" max="13596" width="10.625" style="2795"/>
    <col min="13597" max="13597" width="11.875" style="2795" customWidth="1"/>
    <col min="13598" max="13598" width="19.375" style="2795" customWidth="1"/>
    <col min="13599" max="13824" width="10.625" style="2795"/>
    <col min="13825" max="13825" width="3.75" style="2795" customWidth="1"/>
    <col min="13826" max="13826" width="11.625" style="2795" customWidth="1"/>
    <col min="13827" max="13827" width="9" style="2795" customWidth="1"/>
    <col min="13828" max="13828" width="12.5" style="2795" customWidth="1"/>
    <col min="13829" max="13829" width="10.125" style="2795" customWidth="1"/>
    <col min="13830" max="13830" width="9.375" style="2795" customWidth="1"/>
    <col min="13831" max="13831" width="8.375" style="2795" customWidth="1"/>
    <col min="13832" max="13832" width="8.5" style="2795" customWidth="1"/>
    <col min="13833" max="13833" width="7.125" style="2795" customWidth="1"/>
    <col min="13834" max="13834" width="7.375" style="2795" customWidth="1"/>
    <col min="13835" max="13835" width="7" style="2795" customWidth="1"/>
    <col min="13836" max="13836" width="6.625" style="2795" customWidth="1"/>
    <col min="13837" max="13837" width="8.125" style="2795" customWidth="1"/>
    <col min="13838" max="13838" width="8" style="2795" customWidth="1"/>
    <col min="13839" max="13839" width="8.625" style="2795" customWidth="1"/>
    <col min="13840" max="13840" width="8.375" style="2795" customWidth="1"/>
    <col min="13841" max="13841" width="9.875" style="2795" customWidth="1"/>
    <col min="13842" max="13843" width="6.875" style="2795" customWidth="1"/>
    <col min="13844" max="13844" width="7.875" style="2795" customWidth="1"/>
    <col min="13845" max="13845" width="10.625" style="2795"/>
    <col min="13846" max="13846" width="24" style="2795" customWidth="1"/>
    <col min="13847" max="13847" width="20.125" style="2795" customWidth="1"/>
    <col min="13848" max="13848" width="16.875" style="2795" customWidth="1"/>
    <col min="13849" max="13849" width="21.875" style="2795" customWidth="1"/>
    <col min="13850" max="13850" width="26.625" style="2795" customWidth="1"/>
    <col min="13851" max="13851" width="28.875" style="2795" customWidth="1"/>
    <col min="13852" max="13852" width="10.625" style="2795"/>
    <col min="13853" max="13853" width="11.875" style="2795" customWidth="1"/>
    <col min="13854" max="13854" width="19.375" style="2795" customWidth="1"/>
    <col min="13855" max="14080" width="10.625" style="2795"/>
    <col min="14081" max="14081" width="3.75" style="2795" customWidth="1"/>
    <col min="14082" max="14082" width="11.625" style="2795" customWidth="1"/>
    <col min="14083" max="14083" width="9" style="2795" customWidth="1"/>
    <col min="14084" max="14084" width="12.5" style="2795" customWidth="1"/>
    <col min="14085" max="14085" width="10.125" style="2795" customWidth="1"/>
    <col min="14086" max="14086" width="9.375" style="2795" customWidth="1"/>
    <col min="14087" max="14087" width="8.375" style="2795" customWidth="1"/>
    <col min="14088" max="14088" width="8.5" style="2795" customWidth="1"/>
    <col min="14089" max="14089" width="7.125" style="2795" customWidth="1"/>
    <col min="14090" max="14090" width="7.375" style="2795" customWidth="1"/>
    <col min="14091" max="14091" width="7" style="2795" customWidth="1"/>
    <col min="14092" max="14092" width="6.625" style="2795" customWidth="1"/>
    <col min="14093" max="14093" width="8.125" style="2795" customWidth="1"/>
    <col min="14094" max="14094" width="8" style="2795" customWidth="1"/>
    <col min="14095" max="14095" width="8.625" style="2795" customWidth="1"/>
    <col min="14096" max="14096" width="8.375" style="2795" customWidth="1"/>
    <col min="14097" max="14097" width="9.875" style="2795" customWidth="1"/>
    <col min="14098" max="14099" width="6.875" style="2795" customWidth="1"/>
    <col min="14100" max="14100" width="7.875" style="2795" customWidth="1"/>
    <col min="14101" max="14101" width="10.625" style="2795"/>
    <col min="14102" max="14102" width="24" style="2795" customWidth="1"/>
    <col min="14103" max="14103" width="20.125" style="2795" customWidth="1"/>
    <col min="14104" max="14104" width="16.875" style="2795" customWidth="1"/>
    <col min="14105" max="14105" width="21.875" style="2795" customWidth="1"/>
    <col min="14106" max="14106" width="26.625" style="2795" customWidth="1"/>
    <col min="14107" max="14107" width="28.875" style="2795" customWidth="1"/>
    <col min="14108" max="14108" width="10.625" style="2795"/>
    <col min="14109" max="14109" width="11.875" style="2795" customWidth="1"/>
    <col min="14110" max="14110" width="19.375" style="2795" customWidth="1"/>
    <col min="14111" max="14336" width="10.625" style="2795"/>
    <col min="14337" max="14337" width="3.75" style="2795" customWidth="1"/>
    <col min="14338" max="14338" width="11.625" style="2795" customWidth="1"/>
    <col min="14339" max="14339" width="9" style="2795" customWidth="1"/>
    <col min="14340" max="14340" width="12.5" style="2795" customWidth="1"/>
    <col min="14341" max="14341" width="10.125" style="2795" customWidth="1"/>
    <col min="14342" max="14342" width="9.375" style="2795" customWidth="1"/>
    <col min="14343" max="14343" width="8.375" style="2795" customWidth="1"/>
    <col min="14344" max="14344" width="8.5" style="2795" customWidth="1"/>
    <col min="14345" max="14345" width="7.125" style="2795" customWidth="1"/>
    <col min="14346" max="14346" width="7.375" style="2795" customWidth="1"/>
    <col min="14347" max="14347" width="7" style="2795" customWidth="1"/>
    <col min="14348" max="14348" width="6.625" style="2795" customWidth="1"/>
    <col min="14349" max="14349" width="8.125" style="2795" customWidth="1"/>
    <col min="14350" max="14350" width="8" style="2795" customWidth="1"/>
    <col min="14351" max="14351" width="8.625" style="2795" customWidth="1"/>
    <col min="14352" max="14352" width="8.375" style="2795" customWidth="1"/>
    <col min="14353" max="14353" width="9.875" style="2795" customWidth="1"/>
    <col min="14354" max="14355" width="6.875" style="2795" customWidth="1"/>
    <col min="14356" max="14356" width="7.875" style="2795" customWidth="1"/>
    <col min="14357" max="14357" width="10.625" style="2795"/>
    <col min="14358" max="14358" width="24" style="2795" customWidth="1"/>
    <col min="14359" max="14359" width="20.125" style="2795" customWidth="1"/>
    <col min="14360" max="14360" width="16.875" style="2795" customWidth="1"/>
    <col min="14361" max="14361" width="21.875" style="2795" customWidth="1"/>
    <col min="14362" max="14362" width="26.625" style="2795" customWidth="1"/>
    <col min="14363" max="14363" width="28.875" style="2795" customWidth="1"/>
    <col min="14364" max="14364" width="10.625" style="2795"/>
    <col min="14365" max="14365" width="11.875" style="2795" customWidth="1"/>
    <col min="14366" max="14366" width="19.375" style="2795" customWidth="1"/>
    <col min="14367" max="14592" width="10.625" style="2795"/>
    <col min="14593" max="14593" width="3.75" style="2795" customWidth="1"/>
    <col min="14594" max="14594" width="11.625" style="2795" customWidth="1"/>
    <col min="14595" max="14595" width="9" style="2795" customWidth="1"/>
    <col min="14596" max="14596" width="12.5" style="2795" customWidth="1"/>
    <col min="14597" max="14597" width="10.125" style="2795" customWidth="1"/>
    <col min="14598" max="14598" width="9.375" style="2795" customWidth="1"/>
    <col min="14599" max="14599" width="8.375" style="2795" customWidth="1"/>
    <col min="14600" max="14600" width="8.5" style="2795" customWidth="1"/>
    <col min="14601" max="14601" width="7.125" style="2795" customWidth="1"/>
    <col min="14602" max="14602" width="7.375" style="2795" customWidth="1"/>
    <col min="14603" max="14603" width="7" style="2795" customWidth="1"/>
    <col min="14604" max="14604" width="6.625" style="2795" customWidth="1"/>
    <col min="14605" max="14605" width="8.125" style="2795" customWidth="1"/>
    <col min="14606" max="14606" width="8" style="2795" customWidth="1"/>
    <col min="14607" max="14607" width="8.625" style="2795" customWidth="1"/>
    <col min="14608" max="14608" width="8.375" style="2795" customWidth="1"/>
    <col min="14609" max="14609" width="9.875" style="2795" customWidth="1"/>
    <col min="14610" max="14611" width="6.875" style="2795" customWidth="1"/>
    <col min="14612" max="14612" width="7.875" style="2795" customWidth="1"/>
    <col min="14613" max="14613" width="10.625" style="2795"/>
    <col min="14614" max="14614" width="24" style="2795" customWidth="1"/>
    <col min="14615" max="14615" width="20.125" style="2795" customWidth="1"/>
    <col min="14616" max="14616" width="16.875" style="2795" customWidth="1"/>
    <col min="14617" max="14617" width="21.875" style="2795" customWidth="1"/>
    <col min="14618" max="14618" width="26.625" style="2795" customWidth="1"/>
    <col min="14619" max="14619" width="28.875" style="2795" customWidth="1"/>
    <col min="14620" max="14620" width="10.625" style="2795"/>
    <col min="14621" max="14621" width="11.875" style="2795" customWidth="1"/>
    <col min="14622" max="14622" width="19.375" style="2795" customWidth="1"/>
    <col min="14623" max="14848" width="10.625" style="2795"/>
    <col min="14849" max="14849" width="3.75" style="2795" customWidth="1"/>
    <col min="14850" max="14850" width="11.625" style="2795" customWidth="1"/>
    <col min="14851" max="14851" width="9" style="2795" customWidth="1"/>
    <col min="14852" max="14852" width="12.5" style="2795" customWidth="1"/>
    <col min="14853" max="14853" width="10.125" style="2795" customWidth="1"/>
    <col min="14854" max="14854" width="9.375" style="2795" customWidth="1"/>
    <col min="14855" max="14855" width="8.375" style="2795" customWidth="1"/>
    <col min="14856" max="14856" width="8.5" style="2795" customWidth="1"/>
    <col min="14857" max="14857" width="7.125" style="2795" customWidth="1"/>
    <col min="14858" max="14858" width="7.375" style="2795" customWidth="1"/>
    <col min="14859" max="14859" width="7" style="2795" customWidth="1"/>
    <col min="14860" max="14860" width="6.625" style="2795" customWidth="1"/>
    <col min="14861" max="14861" width="8.125" style="2795" customWidth="1"/>
    <col min="14862" max="14862" width="8" style="2795" customWidth="1"/>
    <col min="14863" max="14863" width="8.625" style="2795" customWidth="1"/>
    <col min="14864" max="14864" width="8.375" style="2795" customWidth="1"/>
    <col min="14865" max="14865" width="9.875" style="2795" customWidth="1"/>
    <col min="14866" max="14867" width="6.875" style="2795" customWidth="1"/>
    <col min="14868" max="14868" width="7.875" style="2795" customWidth="1"/>
    <col min="14869" max="14869" width="10.625" style="2795"/>
    <col min="14870" max="14870" width="24" style="2795" customWidth="1"/>
    <col min="14871" max="14871" width="20.125" style="2795" customWidth="1"/>
    <col min="14872" max="14872" width="16.875" style="2795" customWidth="1"/>
    <col min="14873" max="14873" width="21.875" style="2795" customWidth="1"/>
    <col min="14874" max="14874" width="26.625" style="2795" customWidth="1"/>
    <col min="14875" max="14875" width="28.875" style="2795" customWidth="1"/>
    <col min="14876" max="14876" width="10.625" style="2795"/>
    <col min="14877" max="14877" width="11.875" style="2795" customWidth="1"/>
    <col min="14878" max="14878" width="19.375" style="2795" customWidth="1"/>
    <col min="14879" max="15104" width="10.625" style="2795"/>
    <col min="15105" max="15105" width="3.75" style="2795" customWidth="1"/>
    <col min="15106" max="15106" width="11.625" style="2795" customWidth="1"/>
    <col min="15107" max="15107" width="9" style="2795" customWidth="1"/>
    <col min="15108" max="15108" width="12.5" style="2795" customWidth="1"/>
    <col min="15109" max="15109" width="10.125" style="2795" customWidth="1"/>
    <col min="15110" max="15110" width="9.375" style="2795" customWidth="1"/>
    <col min="15111" max="15111" width="8.375" style="2795" customWidth="1"/>
    <col min="15112" max="15112" width="8.5" style="2795" customWidth="1"/>
    <col min="15113" max="15113" width="7.125" style="2795" customWidth="1"/>
    <col min="15114" max="15114" width="7.375" style="2795" customWidth="1"/>
    <col min="15115" max="15115" width="7" style="2795" customWidth="1"/>
    <col min="15116" max="15116" width="6.625" style="2795" customWidth="1"/>
    <col min="15117" max="15117" width="8.125" style="2795" customWidth="1"/>
    <col min="15118" max="15118" width="8" style="2795" customWidth="1"/>
    <col min="15119" max="15119" width="8.625" style="2795" customWidth="1"/>
    <col min="15120" max="15120" width="8.375" style="2795" customWidth="1"/>
    <col min="15121" max="15121" width="9.875" style="2795" customWidth="1"/>
    <col min="15122" max="15123" width="6.875" style="2795" customWidth="1"/>
    <col min="15124" max="15124" width="7.875" style="2795" customWidth="1"/>
    <col min="15125" max="15125" width="10.625" style="2795"/>
    <col min="15126" max="15126" width="24" style="2795" customWidth="1"/>
    <col min="15127" max="15127" width="20.125" style="2795" customWidth="1"/>
    <col min="15128" max="15128" width="16.875" style="2795" customWidth="1"/>
    <col min="15129" max="15129" width="21.875" style="2795" customWidth="1"/>
    <col min="15130" max="15130" width="26.625" style="2795" customWidth="1"/>
    <col min="15131" max="15131" width="28.875" style="2795" customWidth="1"/>
    <col min="15132" max="15132" width="10.625" style="2795"/>
    <col min="15133" max="15133" width="11.875" style="2795" customWidth="1"/>
    <col min="15134" max="15134" width="19.375" style="2795" customWidth="1"/>
    <col min="15135" max="15360" width="10.625" style="2795"/>
    <col min="15361" max="15361" width="3.75" style="2795" customWidth="1"/>
    <col min="15362" max="15362" width="11.625" style="2795" customWidth="1"/>
    <col min="15363" max="15363" width="9" style="2795" customWidth="1"/>
    <col min="15364" max="15364" width="12.5" style="2795" customWidth="1"/>
    <col min="15365" max="15365" width="10.125" style="2795" customWidth="1"/>
    <col min="15366" max="15366" width="9.375" style="2795" customWidth="1"/>
    <col min="15367" max="15367" width="8.375" style="2795" customWidth="1"/>
    <col min="15368" max="15368" width="8.5" style="2795" customWidth="1"/>
    <col min="15369" max="15369" width="7.125" style="2795" customWidth="1"/>
    <col min="15370" max="15370" width="7.375" style="2795" customWidth="1"/>
    <col min="15371" max="15371" width="7" style="2795" customWidth="1"/>
    <col min="15372" max="15372" width="6.625" style="2795" customWidth="1"/>
    <col min="15373" max="15373" width="8.125" style="2795" customWidth="1"/>
    <col min="15374" max="15374" width="8" style="2795" customWidth="1"/>
    <col min="15375" max="15375" width="8.625" style="2795" customWidth="1"/>
    <col min="15376" max="15376" width="8.375" style="2795" customWidth="1"/>
    <col min="15377" max="15377" width="9.875" style="2795" customWidth="1"/>
    <col min="15378" max="15379" width="6.875" style="2795" customWidth="1"/>
    <col min="15380" max="15380" width="7.875" style="2795" customWidth="1"/>
    <col min="15381" max="15381" width="10.625" style="2795"/>
    <col min="15382" max="15382" width="24" style="2795" customWidth="1"/>
    <col min="15383" max="15383" width="20.125" style="2795" customWidth="1"/>
    <col min="15384" max="15384" width="16.875" style="2795" customWidth="1"/>
    <col min="15385" max="15385" width="21.875" style="2795" customWidth="1"/>
    <col min="15386" max="15386" width="26.625" style="2795" customWidth="1"/>
    <col min="15387" max="15387" width="28.875" style="2795" customWidth="1"/>
    <col min="15388" max="15388" width="10.625" style="2795"/>
    <col min="15389" max="15389" width="11.875" style="2795" customWidth="1"/>
    <col min="15390" max="15390" width="19.375" style="2795" customWidth="1"/>
    <col min="15391" max="15616" width="10.625" style="2795"/>
    <col min="15617" max="15617" width="3.75" style="2795" customWidth="1"/>
    <col min="15618" max="15618" width="11.625" style="2795" customWidth="1"/>
    <col min="15619" max="15619" width="9" style="2795" customWidth="1"/>
    <col min="15620" max="15620" width="12.5" style="2795" customWidth="1"/>
    <col min="15621" max="15621" width="10.125" style="2795" customWidth="1"/>
    <col min="15622" max="15622" width="9.375" style="2795" customWidth="1"/>
    <col min="15623" max="15623" width="8.375" style="2795" customWidth="1"/>
    <col min="15624" max="15624" width="8.5" style="2795" customWidth="1"/>
    <col min="15625" max="15625" width="7.125" style="2795" customWidth="1"/>
    <col min="15626" max="15626" width="7.375" style="2795" customWidth="1"/>
    <col min="15627" max="15627" width="7" style="2795" customWidth="1"/>
    <col min="15628" max="15628" width="6.625" style="2795" customWidth="1"/>
    <col min="15629" max="15629" width="8.125" style="2795" customWidth="1"/>
    <col min="15630" max="15630" width="8" style="2795" customWidth="1"/>
    <col min="15631" max="15631" width="8.625" style="2795" customWidth="1"/>
    <col min="15632" max="15632" width="8.375" style="2795" customWidth="1"/>
    <col min="15633" max="15633" width="9.875" style="2795" customWidth="1"/>
    <col min="15634" max="15635" width="6.875" style="2795" customWidth="1"/>
    <col min="15636" max="15636" width="7.875" style="2795" customWidth="1"/>
    <col min="15637" max="15637" width="10.625" style="2795"/>
    <col min="15638" max="15638" width="24" style="2795" customWidth="1"/>
    <col min="15639" max="15639" width="20.125" style="2795" customWidth="1"/>
    <col min="15640" max="15640" width="16.875" style="2795" customWidth="1"/>
    <col min="15641" max="15641" width="21.875" style="2795" customWidth="1"/>
    <col min="15642" max="15642" width="26.625" style="2795" customWidth="1"/>
    <col min="15643" max="15643" width="28.875" style="2795" customWidth="1"/>
    <col min="15644" max="15644" width="10.625" style="2795"/>
    <col min="15645" max="15645" width="11.875" style="2795" customWidth="1"/>
    <col min="15646" max="15646" width="19.375" style="2795" customWidth="1"/>
    <col min="15647" max="15872" width="10.625" style="2795"/>
    <col min="15873" max="15873" width="3.75" style="2795" customWidth="1"/>
    <col min="15874" max="15874" width="11.625" style="2795" customWidth="1"/>
    <col min="15875" max="15875" width="9" style="2795" customWidth="1"/>
    <col min="15876" max="15876" width="12.5" style="2795" customWidth="1"/>
    <col min="15877" max="15877" width="10.125" style="2795" customWidth="1"/>
    <col min="15878" max="15878" width="9.375" style="2795" customWidth="1"/>
    <col min="15879" max="15879" width="8.375" style="2795" customWidth="1"/>
    <col min="15880" max="15880" width="8.5" style="2795" customWidth="1"/>
    <col min="15881" max="15881" width="7.125" style="2795" customWidth="1"/>
    <col min="15882" max="15882" width="7.375" style="2795" customWidth="1"/>
    <col min="15883" max="15883" width="7" style="2795" customWidth="1"/>
    <col min="15884" max="15884" width="6.625" style="2795" customWidth="1"/>
    <col min="15885" max="15885" width="8.125" style="2795" customWidth="1"/>
    <col min="15886" max="15886" width="8" style="2795" customWidth="1"/>
    <col min="15887" max="15887" width="8.625" style="2795" customWidth="1"/>
    <col min="15888" max="15888" width="8.375" style="2795" customWidth="1"/>
    <col min="15889" max="15889" width="9.875" style="2795" customWidth="1"/>
    <col min="15890" max="15891" width="6.875" style="2795" customWidth="1"/>
    <col min="15892" max="15892" width="7.875" style="2795" customWidth="1"/>
    <col min="15893" max="15893" width="10.625" style="2795"/>
    <col min="15894" max="15894" width="24" style="2795" customWidth="1"/>
    <col min="15895" max="15895" width="20.125" style="2795" customWidth="1"/>
    <col min="15896" max="15896" width="16.875" style="2795" customWidth="1"/>
    <col min="15897" max="15897" width="21.875" style="2795" customWidth="1"/>
    <col min="15898" max="15898" width="26.625" style="2795" customWidth="1"/>
    <col min="15899" max="15899" width="28.875" style="2795" customWidth="1"/>
    <col min="15900" max="15900" width="10.625" style="2795"/>
    <col min="15901" max="15901" width="11.875" style="2795" customWidth="1"/>
    <col min="15902" max="15902" width="19.375" style="2795" customWidth="1"/>
    <col min="15903" max="16128" width="10.625" style="2795"/>
    <col min="16129" max="16129" width="3.75" style="2795" customWidth="1"/>
    <col min="16130" max="16130" width="11.625" style="2795" customWidth="1"/>
    <col min="16131" max="16131" width="9" style="2795" customWidth="1"/>
    <col min="16132" max="16132" width="12.5" style="2795" customWidth="1"/>
    <col min="16133" max="16133" width="10.125" style="2795" customWidth="1"/>
    <col min="16134" max="16134" width="9.375" style="2795" customWidth="1"/>
    <col min="16135" max="16135" width="8.375" style="2795" customWidth="1"/>
    <col min="16136" max="16136" width="8.5" style="2795" customWidth="1"/>
    <col min="16137" max="16137" width="7.125" style="2795" customWidth="1"/>
    <col min="16138" max="16138" width="7.375" style="2795" customWidth="1"/>
    <col min="16139" max="16139" width="7" style="2795" customWidth="1"/>
    <col min="16140" max="16140" width="6.625" style="2795" customWidth="1"/>
    <col min="16141" max="16141" width="8.125" style="2795" customWidth="1"/>
    <col min="16142" max="16142" width="8" style="2795" customWidth="1"/>
    <col min="16143" max="16143" width="8.625" style="2795" customWidth="1"/>
    <col min="16144" max="16144" width="8.375" style="2795" customWidth="1"/>
    <col min="16145" max="16145" width="9.875" style="2795" customWidth="1"/>
    <col min="16146" max="16147" width="6.875" style="2795" customWidth="1"/>
    <col min="16148" max="16148" width="7.875" style="2795" customWidth="1"/>
    <col min="16149" max="16149" width="10.625" style="2795"/>
    <col min="16150" max="16150" width="24" style="2795" customWidth="1"/>
    <col min="16151" max="16151" width="20.125" style="2795" customWidth="1"/>
    <col min="16152" max="16152" width="16.875" style="2795" customWidth="1"/>
    <col min="16153" max="16153" width="21.875" style="2795" customWidth="1"/>
    <col min="16154" max="16154" width="26.625" style="2795" customWidth="1"/>
    <col min="16155" max="16155" width="28.875" style="2795" customWidth="1"/>
    <col min="16156" max="16156" width="10.625" style="2795"/>
    <col min="16157" max="16157" width="11.875" style="2795" customWidth="1"/>
    <col min="16158" max="16158" width="19.375" style="2795" customWidth="1"/>
    <col min="16159" max="16384" width="10.625" style="2795"/>
  </cols>
  <sheetData>
    <row r="1" spans="1:33" ht="13.5" customHeight="1">
      <c r="A1" s="3576" t="s">
        <v>3133</v>
      </c>
      <c r="B1" s="3576"/>
      <c r="C1" s="3576"/>
      <c r="D1" s="3576"/>
      <c r="E1" s="3576"/>
      <c r="F1" s="3576"/>
      <c r="G1" s="3576"/>
      <c r="H1" s="3576"/>
      <c r="I1" s="3576"/>
      <c r="J1" s="3576"/>
      <c r="K1" s="3576"/>
      <c r="L1" s="3576"/>
      <c r="M1" s="3576"/>
      <c r="N1" s="3576"/>
      <c r="O1" s="3576"/>
      <c r="P1" s="3576"/>
      <c r="Q1" s="3576"/>
      <c r="R1" s="3576"/>
      <c r="S1" s="3576"/>
      <c r="T1" s="3576"/>
    </row>
    <row r="2" spans="1:33">
      <c r="A2" s="3577" t="s">
        <v>1831</v>
      </c>
      <c r="B2" s="3577" t="s">
        <v>3134</v>
      </c>
      <c r="C2" s="3577" t="s">
        <v>3135</v>
      </c>
      <c r="D2" s="3577" t="s">
        <v>3136</v>
      </c>
      <c r="E2" s="3579" t="s">
        <v>3137</v>
      </c>
      <c r="F2" s="3579"/>
      <c r="G2" s="3579"/>
      <c r="H2" s="3579"/>
      <c r="I2" s="3579"/>
      <c r="J2" s="3579"/>
      <c r="K2" s="3579"/>
      <c r="L2" s="3579"/>
      <c r="M2" s="3579" t="s">
        <v>3138</v>
      </c>
      <c r="N2" s="3579"/>
      <c r="O2" s="3579"/>
      <c r="P2" s="3579"/>
      <c r="Q2" s="3579"/>
      <c r="R2" s="3579"/>
      <c r="S2" s="3579"/>
      <c r="T2" s="3579"/>
      <c r="W2" s="2795">
        <f>W4+W5</f>
        <v>90885.061000000002</v>
      </c>
      <c r="AB2" s="3173"/>
    </row>
    <row r="3" spans="1:33" ht="36.75" customHeight="1">
      <c r="A3" s="3578"/>
      <c r="B3" s="3578"/>
      <c r="C3" s="3578"/>
      <c r="D3" s="3578"/>
      <c r="E3" s="3174" t="s">
        <v>3139</v>
      </c>
      <c r="F3" s="3580" t="s">
        <v>457</v>
      </c>
      <c r="G3" s="3581"/>
      <c r="H3" s="3582"/>
      <c r="I3" s="3175" t="s">
        <v>1765</v>
      </c>
      <c r="J3" s="3175" t="s">
        <v>1989</v>
      </c>
      <c r="K3" s="3174" t="s">
        <v>3140</v>
      </c>
      <c r="L3" s="3174" t="s">
        <v>3141</v>
      </c>
      <c r="M3" s="3174" t="s">
        <v>3142</v>
      </c>
      <c r="N3" s="3174" t="s">
        <v>3143</v>
      </c>
      <c r="O3" s="3174" t="s">
        <v>3144</v>
      </c>
      <c r="P3" s="3176" t="s">
        <v>479</v>
      </c>
      <c r="Q3" s="3177" t="s">
        <v>3145</v>
      </c>
      <c r="R3" s="3176" t="s">
        <v>3146</v>
      </c>
      <c r="S3" s="3178" t="s">
        <v>3147</v>
      </c>
      <c r="T3" s="3177" t="s">
        <v>3141</v>
      </c>
      <c r="W3" s="3173" t="s">
        <v>3148</v>
      </c>
      <c r="X3" s="3173" t="s">
        <v>3149</v>
      </c>
      <c r="Y3" s="3179" t="s">
        <v>3150</v>
      </c>
      <c r="Z3" s="3173" t="s">
        <v>3151</v>
      </c>
      <c r="AA3" s="3173" t="s">
        <v>3152</v>
      </c>
      <c r="AB3" s="3173" t="s">
        <v>1765</v>
      </c>
      <c r="AC3" s="3173" t="s">
        <v>1989</v>
      </c>
      <c r="AD3" s="3173" t="s">
        <v>3153</v>
      </c>
      <c r="AE3" s="3173" t="s">
        <v>479</v>
      </c>
      <c r="AF3" s="3173" t="s">
        <v>3146</v>
      </c>
      <c r="AG3" s="3173" t="s">
        <v>3141</v>
      </c>
    </row>
    <row r="4" spans="1:33">
      <c r="A4" s="3180"/>
      <c r="B4" s="3180"/>
      <c r="C4" s="3180"/>
      <c r="D4" s="3180"/>
      <c r="E4" s="3174"/>
      <c r="F4" s="3174" t="s">
        <v>3154</v>
      </c>
      <c r="G4" s="3174" t="s">
        <v>3155</v>
      </c>
      <c r="H4" s="3174" t="s">
        <v>3156</v>
      </c>
      <c r="I4" s="3175"/>
      <c r="J4" s="3175"/>
      <c r="K4" s="3174"/>
      <c r="L4" s="3174"/>
      <c r="M4" s="3174"/>
      <c r="N4" s="3177"/>
      <c r="O4" s="3174"/>
      <c r="P4" s="3175"/>
      <c r="Q4" s="3177"/>
      <c r="R4" s="3175"/>
      <c r="S4" s="3178"/>
      <c r="T4" s="3177"/>
      <c r="V4" s="3173" t="s">
        <v>3157</v>
      </c>
      <c r="W4" s="3173">
        <v>24550.451000000001</v>
      </c>
      <c r="X4" s="3173"/>
      <c r="Y4" s="3179"/>
      <c r="Z4" s="3173"/>
      <c r="AA4" s="3173"/>
      <c r="AB4" s="3173"/>
      <c r="AC4" s="3173"/>
      <c r="AD4" s="3173"/>
      <c r="AE4" s="3173"/>
      <c r="AF4" s="3173"/>
      <c r="AG4" s="3173"/>
    </row>
    <row r="5" spans="1:33">
      <c r="A5" s="3181">
        <v>1</v>
      </c>
      <c r="B5" s="3182" t="s">
        <v>3158</v>
      </c>
      <c r="C5" s="3181" t="s">
        <v>3159</v>
      </c>
      <c r="D5" s="3181">
        <v>28605</v>
      </c>
      <c r="E5" s="3183">
        <v>24968</v>
      </c>
      <c r="F5" s="3184">
        <f t="shared" ref="F5:F10" si="0">E5-I5-J5-K5-L5</f>
        <v>24914</v>
      </c>
      <c r="G5" s="3184"/>
      <c r="H5" s="3184"/>
      <c r="I5" s="3185"/>
      <c r="J5" s="3185"/>
      <c r="K5" s="3184"/>
      <c r="L5" s="3184">
        <v>54</v>
      </c>
      <c r="M5" s="3184">
        <v>3637</v>
      </c>
      <c r="N5" s="3186">
        <v>224</v>
      </c>
      <c r="O5" s="3184">
        <v>1405</v>
      </c>
      <c r="P5" s="3187"/>
      <c r="Q5" s="3186">
        <v>322</v>
      </c>
      <c r="R5" s="3187">
        <v>50</v>
      </c>
      <c r="S5" s="3188">
        <f>M5-N5-O5-Q5-T5-R5</f>
        <v>183</v>
      </c>
      <c r="T5" s="3186">
        <v>1453</v>
      </c>
      <c r="V5" s="3173" t="s">
        <v>3160</v>
      </c>
      <c r="W5" s="2795">
        <v>66334.61</v>
      </c>
      <c r="X5" s="2795">
        <v>8957.15</v>
      </c>
      <c r="Y5" s="3172">
        <v>232608</v>
      </c>
      <c r="Z5" s="2795">
        <v>31409</v>
      </c>
      <c r="AA5" s="3173">
        <v>3993</v>
      </c>
      <c r="AB5" s="3173">
        <v>1952</v>
      </c>
      <c r="AC5" s="3173">
        <v>2041</v>
      </c>
      <c r="AD5" s="3173">
        <v>27416</v>
      </c>
      <c r="AE5" s="3173">
        <v>27416</v>
      </c>
    </row>
    <row r="6" spans="1:33">
      <c r="A6" s="3181">
        <v>2</v>
      </c>
      <c r="B6" s="3182" t="s">
        <v>3161</v>
      </c>
      <c r="C6" s="3181" t="str">
        <f>C5</f>
        <v>14/-2</v>
      </c>
      <c r="D6" s="3181">
        <v>17052</v>
      </c>
      <c r="E6" s="3183">
        <v>14947</v>
      </c>
      <c r="F6" s="3184">
        <f t="shared" si="0"/>
        <v>14926</v>
      </c>
      <c r="G6" s="3184"/>
      <c r="H6" s="3184"/>
      <c r="I6" s="3185"/>
      <c r="J6" s="3185"/>
      <c r="K6" s="3184"/>
      <c r="L6" s="3184">
        <v>21</v>
      </c>
      <c r="M6" s="3184">
        <v>2105</v>
      </c>
      <c r="N6" s="3186">
        <v>70</v>
      </c>
      <c r="O6" s="3184">
        <v>907</v>
      </c>
      <c r="P6" s="3187"/>
      <c r="Q6" s="3186">
        <v>79</v>
      </c>
      <c r="R6" s="3187"/>
      <c r="S6" s="3188">
        <f>M6-N6-O6-Q6-T6</f>
        <v>185</v>
      </c>
      <c r="T6" s="3186">
        <v>864</v>
      </c>
      <c r="V6" s="3173" t="s">
        <v>3162</v>
      </c>
      <c r="X6" s="2795">
        <v>9100.14</v>
      </c>
      <c r="Z6" s="2795">
        <v>31879</v>
      </c>
      <c r="AA6" s="2795">
        <v>4003</v>
      </c>
      <c r="AB6" s="3189">
        <v>1952</v>
      </c>
      <c r="AC6" s="3189">
        <v>2051</v>
      </c>
      <c r="AD6" s="2795">
        <v>27876</v>
      </c>
      <c r="AE6" s="3189">
        <v>27416</v>
      </c>
      <c r="AF6" s="3189">
        <v>50</v>
      </c>
      <c r="AG6" s="2795">
        <v>410</v>
      </c>
    </row>
    <row r="7" spans="1:33">
      <c r="A7" s="3181">
        <v>3</v>
      </c>
      <c r="B7" s="3182" t="s">
        <v>3163</v>
      </c>
      <c r="C7" s="3181" t="s">
        <v>3164</v>
      </c>
      <c r="D7" s="3181">
        <v>30104</v>
      </c>
      <c r="E7" s="3183">
        <v>26642</v>
      </c>
      <c r="F7" s="3184">
        <f t="shared" si="0"/>
        <v>26642</v>
      </c>
      <c r="G7" s="3184"/>
      <c r="H7" s="3184"/>
      <c r="I7" s="3185"/>
      <c r="J7" s="3185"/>
      <c r="K7" s="3184"/>
      <c r="L7" s="3184"/>
      <c r="M7" s="3184">
        <v>3462</v>
      </c>
      <c r="N7" s="3186">
        <v>155</v>
      </c>
      <c r="O7" s="3184">
        <v>1474</v>
      </c>
      <c r="P7" s="3187"/>
      <c r="Q7" s="3186">
        <v>134</v>
      </c>
      <c r="R7" s="3187"/>
      <c r="S7" s="3188">
        <f>M7-N7-O7-Q7-T7</f>
        <v>246</v>
      </c>
      <c r="T7" s="3186">
        <v>1453</v>
      </c>
    </row>
    <row r="8" spans="1:33" ht="12.75" customHeight="1">
      <c r="A8" s="3181">
        <v>4</v>
      </c>
      <c r="B8" s="3182" t="s">
        <v>3165</v>
      </c>
      <c r="C8" s="3181" t="s">
        <v>3166</v>
      </c>
      <c r="D8" s="3181">
        <v>18442</v>
      </c>
      <c r="E8" s="3183">
        <v>17086</v>
      </c>
      <c r="F8" s="3184">
        <f t="shared" si="0"/>
        <v>17086</v>
      </c>
      <c r="G8" s="3184"/>
      <c r="H8" s="3184"/>
      <c r="I8" s="3185"/>
      <c r="J8" s="3185"/>
      <c r="K8" s="3184"/>
      <c r="L8" s="3184"/>
      <c r="M8" s="3184">
        <v>1356</v>
      </c>
      <c r="N8" s="3186">
        <v>152</v>
      </c>
      <c r="O8" s="3184">
        <v>1012</v>
      </c>
      <c r="P8" s="3187"/>
      <c r="Q8" s="3186"/>
      <c r="R8" s="3187"/>
      <c r="S8" s="3188">
        <f>M8-N8-O8-Q8-T8</f>
        <v>192</v>
      </c>
      <c r="T8" s="3186"/>
    </row>
    <row r="9" spans="1:33">
      <c r="A9" s="3181">
        <v>5</v>
      </c>
      <c r="B9" s="3182" t="s">
        <v>3167</v>
      </c>
      <c r="C9" s="3181" t="s">
        <v>3168</v>
      </c>
      <c r="D9" s="3181">
        <v>14941</v>
      </c>
      <c r="E9" s="3183">
        <v>12850</v>
      </c>
      <c r="F9" s="3184">
        <f t="shared" si="0"/>
        <v>12829</v>
      </c>
      <c r="G9" s="3184"/>
      <c r="H9" s="3184"/>
      <c r="I9" s="3185"/>
      <c r="J9" s="3185"/>
      <c r="K9" s="3184"/>
      <c r="L9" s="3184">
        <v>21</v>
      </c>
      <c r="M9" s="3184">
        <v>2091</v>
      </c>
      <c r="N9" s="3186">
        <v>70</v>
      </c>
      <c r="O9" s="3184">
        <v>907</v>
      </c>
      <c r="P9" s="3187"/>
      <c r="Q9" s="3186">
        <v>91</v>
      </c>
      <c r="R9" s="3187"/>
      <c r="S9" s="3188">
        <f>M9-N9-O9-Q9-T9</f>
        <v>156</v>
      </c>
      <c r="T9" s="3186">
        <v>867</v>
      </c>
    </row>
    <row r="10" spans="1:33">
      <c r="A10" s="3181">
        <v>6</v>
      </c>
      <c r="B10" s="3182" t="s">
        <v>3169</v>
      </c>
      <c r="C10" s="3181" t="s">
        <v>3164</v>
      </c>
      <c r="D10" s="3181">
        <v>18191</v>
      </c>
      <c r="E10" s="3183">
        <v>16013</v>
      </c>
      <c r="F10" s="3184">
        <f t="shared" si="0"/>
        <v>15981</v>
      </c>
      <c r="G10" s="3184"/>
      <c r="H10" s="3184"/>
      <c r="I10" s="3185"/>
      <c r="J10" s="3185"/>
      <c r="K10" s="3184"/>
      <c r="L10" s="3184">
        <v>32</v>
      </c>
      <c r="M10" s="3184">
        <v>2178</v>
      </c>
      <c r="N10" s="3186">
        <v>70</v>
      </c>
      <c r="O10" s="3184">
        <v>907</v>
      </c>
      <c r="P10" s="3187"/>
      <c r="Q10" s="3186">
        <v>187</v>
      </c>
      <c r="R10" s="3187"/>
      <c r="S10" s="3188">
        <f>M10-N10-O10-Q10-T10</f>
        <v>150</v>
      </c>
      <c r="T10" s="3186">
        <v>864</v>
      </c>
      <c r="V10" s="3173" t="s">
        <v>1778</v>
      </c>
      <c r="X10" s="3173" t="s">
        <v>472</v>
      </c>
      <c r="Y10" s="3179" t="s">
        <v>471</v>
      </c>
      <c r="Z10" s="2795">
        <f>AA10*Z14/AA14</f>
        <v>29179.489967187321</v>
      </c>
      <c r="AA10" s="2795">
        <f>W5</f>
        <v>66334.61</v>
      </c>
    </row>
    <row r="11" spans="1:33">
      <c r="A11" s="3181">
        <v>7</v>
      </c>
      <c r="B11" s="3181" t="s">
        <v>3170</v>
      </c>
      <c r="C11" s="3181">
        <v>2</v>
      </c>
      <c r="D11" s="3181">
        <v>950</v>
      </c>
      <c r="E11" s="3183">
        <v>950</v>
      </c>
      <c r="F11" s="3184"/>
      <c r="G11" s="3184"/>
      <c r="H11" s="3184"/>
      <c r="I11" s="3190">
        <v>950</v>
      </c>
      <c r="J11" s="3185"/>
      <c r="K11" s="3191"/>
      <c r="L11" s="3184"/>
      <c r="M11" s="3184"/>
      <c r="N11" s="3186"/>
      <c r="O11" s="3184"/>
      <c r="P11" s="3187"/>
      <c r="Q11" s="3186"/>
      <c r="R11" s="3187"/>
      <c r="S11" s="3188"/>
      <c r="T11" s="3186"/>
      <c r="V11" s="3192" t="s">
        <v>457</v>
      </c>
      <c r="W11" s="3192" t="s">
        <v>3171</v>
      </c>
      <c r="X11" s="3193">
        <f>F20</f>
        <v>112378</v>
      </c>
      <c r="Y11" s="3194">
        <f>ROUND(X11/E21*(E24+E26),2)</f>
        <v>0</v>
      </c>
    </row>
    <row r="12" spans="1:33">
      <c r="A12" s="3181">
        <v>8</v>
      </c>
      <c r="B12" s="3181" t="s">
        <v>3172</v>
      </c>
      <c r="C12" s="3181">
        <v>1</v>
      </c>
      <c r="D12" s="3181">
        <v>123</v>
      </c>
      <c r="E12" s="3183">
        <v>123</v>
      </c>
      <c r="F12" s="3184"/>
      <c r="G12" s="3184"/>
      <c r="H12" s="3184"/>
      <c r="I12" s="3185"/>
      <c r="J12" s="3185"/>
      <c r="K12" s="3184">
        <f>E12</f>
        <v>123</v>
      </c>
      <c r="L12" s="3184"/>
      <c r="M12" s="3184"/>
      <c r="N12" s="3186"/>
      <c r="O12" s="3184"/>
      <c r="P12" s="3187"/>
      <c r="Q12" s="3186"/>
      <c r="R12" s="3187"/>
      <c r="S12" s="3188"/>
      <c r="T12" s="3186"/>
      <c r="V12" s="3193"/>
      <c r="W12" s="3192" t="s">
        <v>3155</v>
      </c>
      <c r="X12" s="3193">
        <f>G20</f>
        <v>30604</v>
      </c>
      <c r="Y12" s="3194"/>
    </row>
    <row r="13" spans="1:33" s="3196" customFormat="1" ht="27">
      <c r="A13" s="3181">
        <v>9</v>
      </c>
      <c r="B13" s="3181" t="s">
        <v>479</v>
      </c>
      <c r="C13" s="3181" t="s">
        <v>3173</v>
      </c>
      <c r="D13" s="3181">
        <v>47210</v>
      </c>
      <c r="E13" s="3183">
        <v>951</v>
      </c>
      <c r="F13" s="3184"/>
      <c r="G13" s="3184"/>
      <c r="H13" s="3184"/>
      <c r="I13" s="3185"/>
      <c r="J13" s="3185">
        <v>951</v>
      </c>
      <c r="K13" s="3184"/>
      <c r="L13" s="3184"/>
      <c r="M13" s="3184">
        <v>46259</v>
      </c>
      <c r="N13" s="3186">
        <v>1334</v>
      </c>
      <c r="O13" s="3184"/>
      <c r="P13" s="3195">
        <f>M13-N13-T13-Q13</f>
        <v>27416</v>
      </c>
      <c r="Q13" s="3186">
        <v>410</v>
      </c>
      <c r="R13" s="3187"/>
      <c r="S13" s="3188"/>
      <c r="T13" s="3186">
        <v>17099</v>
      </c>
      <c r="V13" s="3193"/>
      <c r="W13" s="3192" t="s">
        <v>3156</v>
      </c>
      <c r="X13" s="3193">
        <f>H20</f>
        <v>16012</v>
      </c>
      <c r="Y13" s="3197">
        <v>13343</v>
      </c>
      <c r="Z13" s="3196" t="s">
        <v>3174</v>
      </c>
      <c r="AA13" s="3196">
        <f>X13-Y13</f>
        <v>2669</v>
      </c>
    </row>
    <row r="14" spans="1:33" ht="12.75" customHeight="1">
      <c r="A14" s="3181">
        <v>10</v>
      </c>
      <c r="B14" s="3181" t="s">
        <v>3175</v>
      </c>
      <c r="C14" s="3181">
        <v>3</v>
      </c>
      <c r="D14" s="3181">
        <v>4806</v>
      </c>
      <c r="E14" s="3191">
        <v>4806</v>
      </c>
      <c r="F14" s="3184"/>
      <c r="G14" s="3184"/>
      <c r="H14" s="3184"/>
      <c r="I14" s="3185"/>
      <c r="J14" s="3185"/>
      <c r="K14" s="3198">
        <v>4806</v>
      </c>
      <c r="L14" s="3184"/>
      <c r="M14" s="3184"/>
      <c r="N14" s="3186"/>
      <c r="O14" s="3184"/>
      <c r="P14" s="3187"/>
      <c r="Q14" s="3186"/>
      <c r="R14" s="3187"/>
      <c r="S14" s="3188"/>
      <c r="T14" s="3186"/>
      <c r="V14" s="3199" t="s">
        <v>3176</v>
      </c>
      <c r="W14" s="3193"/>
      <c r="X14" s="3193">
        <f>I20</f>
        <v>1952</v>
      </c>
      <c r="Y14" s="3200">
        <f>ROUND(X14/$Z$14*$AA$14,2)</f>
        <v>4437.54</v>
      </c>
      <c r="Z14" s="2795">
        <f>X14+X15</f>
        <v>4003</v>
      </c>
      <c r="AA14" s="2795">
        <v>9100.14</v>
      </c>
    </row>
    <row r="15" spans="1:33">
      <c r="A15" s="3181">
        <v>11</v>
      </c>
      <c r="B15" s="3181" t="s">
        <v>3177</v>
      </c>
      <c r="C15" s="3181">
        <v>3</v>
      </c>
      <c r="D15" s="3181">
        <v>2490</v>
      </c>
      <c r="E15" s="3183">
        <v>2490</v>
      </c>
      <c r="F15" s="3184"/>
      <c r="G15" s="3184"/>
      <c r="H15" s="3184"/>
      <c r="I15" s="3185"/>
      <c r="J15" s="3185">
        <v>1100</v>
      </c>
      <c r="K15" s="3184">
        <f>E15-J15</f>
        <v>1390</v>
      </c>
      <c r="L15" s="3184"/>
      <c r="M15" s="3184"/>
      <c r="N15" s="3186"/>
      <c r="O15" s="3184"/>
      <c r="P15" s="3187"/>
      <c r="Q15" s="3186"/>
      <c r="R15" s="3187"/>
      <c r="S15" s="3188"/>
      <c r="T15" s="3186"/>
      <c r="V15" s="3199" t="s">
        <v>1989</v>
      </c>
      <c r="W15" s="3193"/>
      <c r="X15" s="3193">
        <f>J20</f>
        <v>2051</v>
      </c>
      <c r="Y15" s="3200">
        <f>ROUND(X15/$Z$14*$AA$14,2)</f>
        <v>4662.6000000000004</v>
      </c>
      <c r="Z15" s="2795" t="s">
        <v>3178</v>
      </c>
      <c r="AA15" s="2795" t="s">
        <v>3179</v>
      </c>
    </row>
    <row r="16" spans="1:33">
      <c r="A16" s="3181">
        <v>12</v>
      </c>
      <c r="B16" s="3181" t="s">
        <v>3180</v>
      </c>
      <c r="C16" s="3181">
        <v>2</v>
      </c>
      <c r="D16" s="3181">
        <v>1002</v>
      </c>
      <c r="E16" s="3183">
        <v>1002</v>
      </c>
      <c r="F16" s="3184"/>
      <c r="G16" s="3184"/>
      <c r="H16" s="3184"/>
      <c r="I16" s="3185">
        <v>1002</v>
      </c>
      <c r="J16" s="3185"/>
      <c r="K16" s="3191"/>
      <c r="L16" s="3184"/>
      <c r="M16" s="3184"/>
      <c r="N16" s="3186"/>
      <c r="O16" s="3184"/>
      <c r="P16" s="3187"/>
      <c r="Q16" s="3186"/>
      <c r="R16" s="3187"/>
      <c r="S16" s="3188"/>
      <c r="T16" s="3186"/>
      <c r="V16" s="3199" t="s">
        <v>3146</v>
      </c>
      <c r="W16" s="3193"/>
      <c r="X16" s="3193">
        <f>R21</f>
        <v>50</v>
      </c>
      <c r="Y16" s="3200">
        <v>0</v>
      </c>
    </row>
    <row r="17" spans="1:28" s="3203" customFormat="1">
      <c r="A17" s="3181">
        <v>13</v>
      </c>
      <c r="B17" s="3201" t="s">
        <v>3181</v>
      </c>
      <c r="C17" s="3181" t="s">
        <v>3182</v>
      </c>
      <c r="D17" s="3181">
        <v>16502</v>
      </c>
      <c r="E17" s="3183">
        <v>14272</v>
      </c>
      <c r="F17" s="3184"/>
      <c r="G17" s="3184">
        <f>E17-L17</f>
        <v>14218</v>
      </c>
      <c r="H17" s="3184"/>
      <c r="I17" s="3202"/>
      <c r="J17" s="3202"/>
      <c r="K17" s="3183"/>
      <c r="L17" s="3183">
        <v>54</v>
      </c>
      <c r="M17" s="3183">
        <v>2230</v>
      </c>
      <c r="N17" s="3188"/>
      <c r="O17" s="3183"/>
      <c r="P17" s="3195"/>
      <c r="Q17" s="3188"/>
      <c r="R17" s="3195"/>
      <c r="S17" s="3188">
        <f>M17-T17</f>
        <v>1184</v>
      </c>
      <c r="T17" s="3188">
        <v>1046</v>
      </c>
      <c r="V17" s="3199" t="s">
        <v>479</v>
      </c>
      <c r="W17" s="3193"/>
      <c r="X17" s="3193">
        <f>P21</f>
        <v>27416</v>
      </c>
      <c r="Y17" s="3200">
        <v>0</v>
      </c>
    </row>
    <row r="18" spans="1:28" s="3203" customFormat="1">
      <c r="A18" s="3181">
        <v>14</v>
      </c>
      <c r="B18" s="3201" t="s">
        <v>3183</v>
      </c>
      <c r="C18" s="3181" t="s">
        <v>3164</v>
      </c>
      <c r="D18" s="3181">
        <v>18662</v>
      </c>
      <c r="E18" s="3183">
        <v>16439</v>
      </c>
      <c r="F18" s="3184"/>
      <c r="G18" s="3184">
        <f>E18-L18</f>
        <v>16386</v>
      </c>
      <c r="H18" s="3184"/>
      <c r="I18" s="3202"/>
      <c r="J18" s="3202"/>
      <c r="K18" s="3183"/>
      <c r="L18" s="3183">
        <v>53</v>
      </c>
      <c r="M18" s="3183">
        <v>2223</v>
      </c>
      <c r="N18" s="3188"/>
      <c r="O18" s="3183"/>
      <c r="P18" s="3195"/>
      <c r="Q18" s="3188"/>
      <c r="R18" s="3195"/>
      <c r="S18" s="3188">
        <f>M18-T18</f>
        <v>1195</v>
      </c>
      <c r="T18" s="3188">
        <v>1028</v>
      </c>
      <c r="V18" s="3192" t="s">
        <v>3147</v>
      </c>
      <c r="W18" s="3193"/>
      <c r="X18" s="3193">
        <f>K21+S21</f>
        <v>9959</v>
      </c>
      <c r="Y18" s="3204"/>
      <c r="AA18" s="3203" t="s">
        <v>3184</v>
      </c>
      <c r="AB18" s="3203" t="s">
        <v>3185</v>
      </c>
    </row>
    <row r="19" spans="1:28">
      <c r="A19" s="3181">
        <v>15</v>
      </c>
      <c r="B19" s="3201" t="s">
        <v>3186</v>
      </c>
      <c r="C19" s="3181" t="s">
        <v>3164</v>
      </c>
      <c r="D19" s="3181">
        <v>18105</v>
      </c>
      <c r="E19" s="3183">
        <v>16012</v>
      </c>
      <c r="F19" s="3184"/>
      <c r="G19" s="3184"/>
      <c r="H19" s="3184">
        <f>E19</f>
        <v>16012</v>
      </c>
      <c r="I19" s="3185"/>
      <c r="J19" s="3185"/>
      <c r="K19" s="3184"/>
      <c r="L19" s="3184"/>
      <c r="M19" s="3184">
        <v>2093</v>
      </c>
      <c r="N19" s="3186">
        <v>70</v>
      </c>
      <c r="O19" s="3184">
        <v>907</v>
      </c>
      <c r="P19" s="3187"/>
      <c r="Q19" s="3186">
        <v>103</v>
      </c>
      <c r="R19" s="3187"/>
      <c r="S19" s="3188">
        <f>M19-N19-O19-Q19-T19</f>
        <v>149</v>
      </c>
      <c r="T19" s="3186">
        <v>864</v>
      </c>
      <c r="V19" s="3192" t="s">
        <v>3187</v>
      </c>
      <c r="W19" s="3193"/>
      <c r="X19" s="3193">
        <f>N21</f>
        <v>2145</v>
      </c>
      <c r="Y19" s="3194"/>
      <c r="AA19" s="2795">
        <f>E21</f>
        <v>169551</v>
      </c>
      <c r="AB19" s="2795">
        <f>W5+6000</f>
        <v>72334.61</v>
      </c>
    </row>
    <row r="20" spans="1:28" ht="18.75" customHeight="1">
      <c r="A20" s="3567" t="s">
        <v>476</v>
      </c>
      <c r="B20" s="3568"/>
      <c r="C20" s="3569"/>
      <c r="D20" s="3205">
        <f>SUM(D5:D19)</f>
        <v>237185</v>
      </c>
      <c r="E20" s="3206">
        <f>SUM(E5:E19)</f>
        <v>169551</v>
      </c>
      <c r="F20" s="3207">
        <f>SUM(F5:F19)</f>
        <v>112378</v>
      </c>
      <c r="G20" s="3207">
        <f>G17+G18</f>
        <v>30604</v>
      </c>
      <c r="H20" s="3207">
        <f>H19</f>
        <v>16012</v>
      </c>
      <c r="I20" s="3208">
        <f>I11+I16</f>
        <v>1952</v>
      </c>
      <c r="J20" s="3208">
        <f>J13+J15</f>
        <v>2051</v>
      </c>
      <c r="K20" s="3206">
        <f>SUM(K5:K19)</f>
        <v>6319</v>
      </c>
      <c r="L20" s="3206">
        <f>SUM(L5:L19)</f>
        <v>235</v>
      </c>
      <c r="M20" s="3206">
        <f>SUM(M5:M19)</f>
        <v>67634</v>
      </c>
      <c r="N20" s="3209">
        <f>SUM(N5:N19)</f>
        <v>2145</v>
      </c>
      <c r="O20" s="3206">
        <f>SUM(O5:O19)</f>
        <v>7519</v>
      </c>
      <c r="P20" s="3210">
        <f>P13</f>
        <v>27416</v>
      </c>
      <c r="Q20" s="3209">
        <f>SUM(Q5:Q19)</f>
        <v>1326</v>
      </c>
      <c r="R20" s="3210">
        <v>50</v>
      </c>
      <c r="S20" s="3211">
        <f>SUM(S5:S19)</f>
        <v>3640</v>
      </c>
      <c r="T20" s="3209">
        <f>SUM(T5:T19)</f>
        <v>25538</v>
      </c>
      <c r="V20" s="3192" t="s">
        <v>3144</v>
      </c>
      <c r="W20" s="3193"/>
      <c r="X20" s="3193">
        <f>O21</f>
        <v>7519</v>
      </c>
      <c r="Y20" s="3194"/>
    </row>
    <row r="21" spans="1:28" ht="27" customHeight="1">
      <c r="A21" s="3570" t="s">
        <v>3188</v>
      </c>
      <c r="B21" s="3571"/>
      <c r="C21" s="3572"/>
      <c r="D21" s="3212">
        <f>D20</f>
        <v>237185</v>
      </c>
      <c r="E21" s="3213">
        <f>E20</f>
        <v>169551</v>
      </c>
      <c r="F21" s="3573">
        <f>F20+G20+H20</f>
        <v>158994</v>
      </c>
      <c r="G21" s="3574"/>
      <c r="H21" s="3575"/>
      <c r="I21" s="3214">
        <f t="shared" ref="I21:T21" si="1">I20</f>
        <v>1952</v>
      </c>
      <c r="J21" s="3213">
        <f t="shared" si="1"/>
        <v>2051</v>
      </c>
      <c r="K21" s="3213">
        <f t="shared" si="1"/>
        <v>6319</v>
      </c>
      <c r="L21" s="3213">
        <f t="shared" si="1"/>
        <v>235</v>
      </c>
      <c r="M21" s="3213">
        <f t="shared" si="1"/>
        <v>67634</v>
      </c>
      <c r="N21" s="3213">
        <f t="shared" si="1"/>
        <v>2145</v>
      </c>
      <c r="O21" s="3213">
        <f t="shared" si="1"/>
        <v>7519</v>
      </c>
      <c r="P21" s="3213">
        <f t="shared" si="1"/>
        <v>27416</v>
      </c>
      <c r="Q21" s="3213">
        <f t="shared" si="1"/>
        <v>1326</v>
      </c>
      <c r="R21" s="3213">
        <f t="shared" si="1"/>
        <v>50</v>
      </c>
      <c r="S21" s="3213">
        <f t="shared" si="1"/>
        <v>3640</v>
      </c>
      <c r="T21" s="3213">
        <f t="shared" si="1"/>
        <v>25538</v>
      </c>
      <c r="U21" s="2795">
        <f>T21+Q21</f>
        <v>26864</v>
      </c>
      <c r="V21" s="3192" t="s">
        <v>3141</v>
      </c>
      <c r="W21" s="3193"/>
      <c r="X21" s="3193">
        <f>L21+Q21+T21</f>
        <v>27099</v>
      </c>
      <c r="Y21" s="3215"/>
      <c r="Z21" s="2795">
        <v>26686</v>
      </c>
    </row>
    <row r="22" spans="1:28">
      <c r="A22" s="3212"/>
      <c r="B22" s="3212"/>
      <c r="C22" s="3212"/>
      <c r="D22" s="3212">
        <f>D21*9000</f>
        <v>2134665000</v>
      </c>
      <c r="E22" s="3213"/>
      <c r="F22" s="3213"/>
      <c r="G22" s="3213"/>
      <c r="H22" s="3213"/>
      <c r="I22" s="3213"/>
      <c r="J22" s="3213"/>
      <c r="K22" s="3213"/>
      <c r="L22" s="3213"/>
      <c r="M22" s="3213"/>
      <c r="N22" s="3213"/>
      <c r="O22" s="3213"/>
      <c r="P22" s="3213"/>
      <c r="Q22" s="3213"/>
      <c r="R22" s="3213"/>
      <c r="S22" s="3213"/>
      <c r="T22" s="3213"/>
      <c r="V22" s="3192" t="s">
        <v>473</v>
      </c>
      <c r="W22" s="3193"/>
      <c r="X22" s="3193">
        <f>SUM(X11:X21)</f>
        <v>237185</v>
      </c>
      <c r="Y22" s="3194"/>
    </row>
    <row r="23" spans="1:28">
      <c r="J23" s="2795">
        <f>D21-M21</f>
        <v>169551</v>
      </c>
      <c r="V23" s="3216" t="s">
        <v>457</v>
      </c>
      <c r="W23" s="3217"/>
      <c r="X23" s="3217">
        <f>X11+X12+X13</f>
        <v>158994</v>
      </c>
    </row>
    <row r="24" spans="1:28">
      <c r="L24" s="2795">
        <f>L21+T21+Q21</f>
        <v>27099</v>
      </c>
      <c r="O24" s="2795">
        <f>N21+O21+Q21+T21+S21</f>
        <v>40168</v>
      </c>
      <c r="Q24" s="2795">
        <f>Q21+T21+L21</f>
        <v>27099</v>
      </c>
      <c r="V24" s="3216" t="s">
        <v>3189</v>
      </c>
      <c r="W24" s="3217"/>
      <c r="X24" s="3217">
        <f>D21-X23-X21</f>
        <v>51092</v>
      </c>
    </row>
    <row r="27" spans="1:28">
      <c r="E27" s="3218"/>
      <c r="J27" s="2795">
        <f>I21+J21+K21-J13</f>
        <v>9371</v>
      </c>
    </row>
  </sheetData>
  <mergeCells count="11">
    <mergeCell ref="A20:C20"/>
    <mergeCell ref="A21:C21"/>
    <mergeCell ref="F21:H21"/>
    <mergeCell ref="A1:T1"/>
    <mergeCell ref="A2:A3"/>
    <mergeCell ref="B2:B3"/>
    <mergeCell ref="C2:C3"/>
    <mergeCell ref="D2:D3"/>
    <mergeCell ref="E2:L2"/>
    <mergeCell ref="M2:T2"/>
    <mergeCell ref="F3:H3"/>
  </mergeCells>
  <phoneticPr fontId="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81" customWidth="1"/>
    <col min="2" max="3" width="22.375" style="581" customWidth="1"/>
    <col min="4" max="4" width="23" style="581" customWidth="1"/>
    <col min="5" max="16384" width="9" style="581"/>
  </cols>
  <sheetData>
    <row r="1" spans="1:4" ht="18.75">
      <c r="A1" s="3245" t="s">
        <v>114</v>
      </c>
      <c r="B1" s="3245"/>
      <c r="C1" s="3245"/>
      <c r="D1" s="3245"/>
    </row>
    <row r="2" spans="1:4" ht="18">
      <c r="A2" s="3246" t="s">
        <v>115</v>
      </c>
      <c r="B2" s="3246"/>
      <c r="C2" s="3246"/>
      <c r="D2" s="3246"/>
    </row>
    <row r="3" spans="1:4" ht="18.75">
      <c r="A3" s="3099" t="s">
        <v>116</v>
      </c>
      <c r="B3" s="3099" t="s">
        <v>117</v>
      </c>
      <c r="C3" s="3099" t="s">
        <v>118</v>
      </c>
      <c r="D3" s="3099" t="s">
        <v>119</v>
      </c>
    </row>
    <row r="4" spans="1:4" ht="56.25" customHeight="1">
      <c r="A4" s="3100" t="str">
        <f>项目基本情况!B4</f>
        <v>叶凌</v>
      </c>
      <c r="B4" s="3101">
        <f ca="1">项目基本情况!C4</f>
        <v>1119970111</v>
      </c>
      <c r="C4" s="3102"/>
      <c r="D4" s="3103" t="s">
        <v>120</v>
      </c>
    </row>
    <row r="5" spans="1:4" ht="56.25" customHeight="1">
      <c r="A5" s="3100" t="str">
        <f>项目基本情况!D4</f>
        <v>陈颖</v>
      </c>
      <c r="B5" s="3101">
        <f ca="1">项目基本情况!E4</f>
        <v>1120060040</v>
      </c>
      <c r="C5" s="3104"/>
      <c r="D5" s="3103" t="s">
        <v>120</v>
      </c>
    </row>
    <row r="6" spans="1:4" ht="18">
      <c r="A6" s="3246" t="s">
        <v>121</v>
      </c>
      <c r="B6" s="3246"/>
      <c r="C6" s="3246"/>
      <c r="D6" s="3246"/>
    </row>
    <row r="7" spans="1:4" ht="18.75">
      <c r="A7" s="3099" t="s">
        <v>116</v>
      </c>
      <c r="B7" s="3101" t="s">
        <v>122</v>
      </c>
      <c r="C7" s="3099" t="s">
        <v>118</v>
      </c>
      <c r="D7" s="3099" t="s">
        <v>119</v>
      </c>
    </row>
    <row r="8" spans="1:4" ht="56.25" customHeight="1">
      <c r="A8" s="3105" t="s">
        <v>123</v>
      </c>
      <c r="B8" s="3105" t="s">
        <v>124</v>
      </c>
      <c r="C8" s="3102"/>
      <c r="D8" s="3103" t="s">
        <v>120</v>
      </c>
    </row>
    <row r="9" spans="1:4">
      <c r="A9" s="3106"/>
      <c r="B9" s="3106"/>
      <c r="C9" s="3106"/>
      <c r="D9" s="3106"/>
    </row>
    <row r="10" spans="1:4" ht="18.75">
      <c r="A10" s="3098" t="s">
        <v>125</v>
      </c>
      <c r="B10" s="3106"/>
      <c r="C10" s="3106"/>
      <c r="D10" s="3106"/>
    </row>
    <row r="11" spans="1:4" ht="30" customHeight="1">
      <c r="A11" s="3247" t="s">
        <v>126</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9"/>
      <c r="C12" s="3249"/>
      <c r="D12" s="3249"/>
    </row>
    <row r="13" spans="1:4" ht="30" customHeight="1">
      <c r="A13" s="3248" t="str">
        <f>IF(项目基本情况!B8="抵押","3.抵押双方在办理抵押登记手续时，应使用本公司出具的正式《房地产评估报告》，特提醒报告使用者注意。","——")</f>
        <v>——</v>
      </c>
      <c r="B13" s="3249"/>
      <c r="C13" s="3249"/>
      <c r="D13" s="3249"/>
    </row>
    <row r="14" spans="1:4" ht="15.75" customHeight="1">
      <c r="A14" s="3248" t="str">
        <f>IF(项目基本情况!B8="抵押","4.本次评估估价师所知悉的法定优先受偿款情况说明如下：","——")</f>
        <v>——</v>
      </c>
      <c r="B14" s="3249"/>
      <c r="C14" s="3249"/>
      <c r="D14" s="3249"/>
    </row>
    <row r="15" spans="1:4" ht="42" customHeight="1">
      <c r="A15" s="3248" t="str">
        <f>IF(项目基本情况!B8="抵押","（1）"&amp;CONCATENATE(项目基本情况!L20,项目基本情况!L21,项目基本情况!L22),"——")</f>
        <v>——</v>
      </c>
      <c r="B15" s="3248"/>
      <c r="C15" s="3248"/>
      <c r="D15" s="3248"/>
    </row>
    <row r="16" spans="1:4" ht="30" customHeight="1">
      <c r="A16" s="3250" t="s">
        <v>127</v>
      </c>
      <c r="B16" s="3250"/>
      <c r="C16" s="3250"/>
      <c r="D16" s="3250"/>
    </row>
    <row r="17" spans="1:4" ht="144" customHeight="1">
      <c r="A17" s="3250" t="s">
        <v>128</v>
      </c>
      <c r="B17" s="3250"/>
      <c r="C17" s="3250"/>
      <c r="D17" s="3250"/>
    </row>
    <row r="18" spans="1:4" ht="15.75" customHeight="1">
      <c r="A18" s="3248" t="str">
        <f>IF(项目基本情况!B8="抵押",结果表!K120,"——")</f>
        <v>——</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8"/>
      <c r="C20" s="3248"/>
      <c r="D20" s="3248"/>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2"/>
      <c r="C21" s="3252"/>
      <c r="D21" s="3252"/>
    </row>
    <row r="22" spans="1:4" ht="18.75" customHeight="1">
      <c r="A22" s="3253" t="s">
        <v>129</v>
      </c>
      <c r="B22" s="3253"/>
      <c r="C22" s="3253"/>
      <c r="D22" s="3253"/>
    </row>
    <row r="23" spans="1:4">
      <c r="A23" s="3107"/>
      <c r="B23" s="1617"/>
      <c r="C23" s="1617"/>
      <c r="D23" s="1617"/>
    </row>
    <row r="24" spans="1:4">
      <c r="A24" s="3107"/>
      <c r="B24" s="1617"/>
      <c r="C24" s="1617"/>
      <c r="D24" s="1617"/>
    </row>
    <row r="25" spans="1:4" ht="18.75">
      <c r="A25" s="3108" t="s">
        <v>130</v>
      </c>
    </row>
    <row r="26" spans="1:4" ht="18">
      <c r="A26" s="3109"/>
    </row>
    <row r="27" spans="1:4" ht="18.75">
      <c r="A27" s="3109" t="s">
        <v>131</v>
      </c>
    </row>
    <row r="30" spans="1:4" ht="18.75">
      <c r="D30" s="3108" t="s">
        <v>132</v>
      </c>
    </row>
    <row r="31" spans="1:4" ht="13.5" customHeight="1">
      <c r="C31" s="3251">
        <v>42551</v>
      </c>
      <c r="D31" s="32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94" customWidth="1"/>
    <col min="3" max="10" width="12.5" style="3094" customWidth="1"/>
    <col min="11" max="16384" width="9" style="3094"/>
  </cols>
  <sheetData>
    <row r="1" spans="1:10" ht="18.75">
      <c r="A1" s="3095" t="s">
        <v>133</v>
      </c>
      <c r="B1" s="3096"/>
      <c r="C1" s="3096"/>
      <c r="D1" s="3096"/>
      <c r="E1" s="3096"/>
      <c r="F1" s="3096"/>
      <c r="G1" s="3096"/>
      <c r="H1" s="3096"/>
      <c r="I1" s="3096"/>
      <c r="J1" s="3096"/>
    </row>
    <row r="2" spans="1:10" ht="18.75">
      <c r="A2" s="3097"/>
      <c r="B2" s="3096"/>
      <c r="C2" s="3096"/>
      <c r="D2" s="3096"/>
      <c r="E2" s="3096"/>
      <c r="F2" s="3096"/>
      <c r="G2" s="3096"/>
      <c r="H2" s="3096"/>
      <c r="I2" s="3096"/>
      <c r="J2" s="3096"/>
    </row>
    <row r="3" spans="1:10">
      <c r="A3" s="3096"/>
      <c r="B3" s="3096"/>
      <c r="C3" s="3096"/>
      <c r="D3" s="3096"/>
      <c r="E3" s="3096"/>
      <c r="F3" s="3096"/>
      <c r="G3" s="3096"/>
      <c r="H3" s="3096"/>
      <c r="I3" s="3096"/>
      <c r="J3" s="3096"/>
    </row>
    <row r="4" spans="1:10">
      <c r="A4" s="3096"/>
      <c r="B4" s="3096"/>
      <c r="C4" s="3096"/>
      <c r="D4" s="3096"/>
      <c r="E4" s="3096"/>
      <c r="F4" s="3096"/>
      <c r="G4" s="3096"/>
      <c r="H4" s="3096"/>
      <c r="I4" s="3096"/>
      <c r="J4" s="3096"/>
    </row>
    <row r="5" spans="1:10">
      <c r="A5" s="3096"/>
      <c r="B5" s="3096"/>
      <c r="C5" s="3096"/>
      <c r="D5" s="3096"/>
      <c r="E5" s="3096"/>
      <c r="F5" s="3096"/>
      <c r="G5" s="3096"/>
      <c r="H5" s="3096"/>
      <c r="I5" s="3096"/>
      <c r="J5" s="3096"/>
    </row>
    <row r="6" spans="1:10">
      <c r="A6" s="3096"/>
      <c r="B6" s="3096"/>
      <c r="C6" s="3096"/>
      <c r="D6" s="3096"/>
      <c r="E6" s="3096"/>
      <c r="F6" s="3096"/>
      <c r="G6" s="3096"/>
      <c r="H6" s="3096"/>
      <c r="I6" s="3096"/>
      <c r="J6" s="3096"/>
    </row>
    <row r="7" spans="1:10">
      <c r="A7" s="3096"/>
      <c r="B7" s="3096"/>
      <c r="C7" s="3096"/>
      <c r="D7" s="3096"/>
      <c r="E7" s="3096"/>
      <c r="F7" s="3096"/>
      <c r="G7" s="3096"/>
      <c r="H7" s="3096"/>
      <c r="I7" s="3096"/>
      <c r="J7" s="3096"/>
    </row>
    <row r="8" spans="1:10">
      <c r="A8" s="3096"/>
      <c r="B8" s="3096"/>
      <c r="C8" s="3096"/>
      <c r="D8" s="3096"/>
      <c r="E8" s="3096"/>
      <c r="F8" s="3096"/>
      <c r="G8" s="3096"/>
      <c r="H8" s="3096"/>
      <c r="I8" s="3096"/>
      <c r="J8" s="3096"/>
    </row>
    <row r="9" spans="1:10">
      <c r="A9" s="3096"/>
      <c r="B9" s="3096"/>
      <c r="C9" s="3096"/>
      <c r="D9" s="3096"/>
      <c r="E9" s="3096"/>
      <c r="F9" s="3096"/>
      <c r="G9" s="3096"/>
      <c r="H9" s="3096"/>
      <c r="I9" s="3096"/>
      <c r="J9" s="3096"/>
    </row>
    <row r="10" spans="1:10">
      <c r="A10" s="3096"/>
      <c r="B10" s="3096"/>
      <c r="C10" s="3096"/>
      <c r="D10" s="3096"/>
      <c r="E10" s="3096"/>
      <c r="F10" s="3096"/>
      <c r="G10" s="3096"/>
      <c r="H10" s="3096"/>
      <c r="I10" s="3096"/>
      <c r="J10" s="3096"/>
    </row>
    <row r="11" spans="1:10">
      <c r="A11" s="3096"/>
      <c r="B11" s="3096"/>
      <c r="C11" s="3096"/>
      <c r="D11" s="3096"/>
      <c r="E11" s="3096"/>
      <c r="F11" s="3096"/>
      <c r="G11" s="3096"/>
      <c r="H11" s="3096"/>
      <c r="I11" s="3096"/>
      <c r="J11" s="3096"/>
    </row>
    <row r="12" spans="1:10">
      <c r="A12" s="3096"/>
      <c r="B12" s="3096"/>
      <c r="C12" s="3096"/>
      <c r="D12" s="3096"/>
      <c r="E12" s="3096"/>
      <c r="F12" s="3096"/>
      <c r="G12" s="3096"/>
      <c r="H12" s="3096"/>
      <c r="I12" s="3096"/>
      <c r="J12" s="3096"/>
    </row>
    <row r="13" spans="1:10">
      <c r="A13" s="3096"/>
      <c r="B13" s="3096"/>
      <c r="C13" s="3096"/>
      <c r="D13" s="3096"/>
      <c r="E13" s="3096"/>
      <c r="F13" s="3096"/>
      <c r="G13" s="3096"/>
      <c r="H13" s="3096"/>
      <c r="I13" s="3096"/>
      <c r="J13" s="3096"/>
    </row>
    <row r="14" spans="1:10">
      <c r="A14" s="3096"/>
      <c r="B14" s="3096"/>
      <c r="C14" s="3096"/>
      <c r="D14" s="3096"/>
      <c r="E14" s="3096"/>
      <c r="F14" s="3096"/>
      <c r="G14" s="3096"/>
      <c r="H14" s="3096"/>
      <c r="I14" s="3096"/>
      <c r="J14" s="3096"/>
    </row>
    <row r="15" spans="1:10">
      <c r="A15" s="3096"/>
      <c r="B15" s="3096"/>
      <c r="C15" s="3096"/>
      <c r="D15" s="3096"/>
      <c r="E15" s="3096"/>
      <c r="F15" s="3096"/>
      <c r="G15" s="3096"/>
      <c r="H15" s="3096"/>
      <c r="I15" s="3096"/>
      <c r="J15" s="3096"/>
    </row>
    <row r="16" spans="1:10">
      <c r="A16" s="3096"/>
      <c r="B16" s="3096"/>
      <c r="C16" s="3096"/>
      <c r="D16" s="3096"/>
      <c r="E16" s="3096"/>
      <c r="F16" s="3096"/>
      <c r="G16" s="3096"/>
      <c r="H16" s="3096"/>
      <c r="I16" s="3096"/>
      <c r="J16" s="3096"/>
    </row>
    <row r="17" spans="1:10">
      <c r="A17" s="3096"/>
      <c r="B17" s="3096"/>
      <c r="C17" s="3096"/>
      <c r="D17" s="3096"/>
      <c r="E17" s="3096"/>
      <c r="F17" s="3096"/>
      <c r="G17" s="3096"/>
      <c r="H17" s="3096"/>
      <c r="I17" s="3096"/>
      <c r="J17" s="3096"/>
    </row>
    <row r="18" spans="1:10">
      <c r="A18" s="3096"/>
      <c r="B18" s="3096"/>
      <c r="C18" s="3096"/>
      <c r="D18" s="3096"/>
      <c r="E18" s="3096"/>
      <c r="F18" s="3096"/>
      <c r="G18" s="3096"/>
      <c r="H18" s="3096"/>
      <c r="I18" s="3096"/>
      <c r="J18" s="3096"/>
    </row>
    <row r="19" spans="1:10">
      <c r="A19" s="3096"/>
      <c r="B19" s="3096"/>
      <c r="C19" s="3096"/>
      <c r="D19" s="3096"/>
      <c r="E19" s="3096"/>
      <c r="F19" s="3096"/>
      <c r="G19" s="3096"/>
      <c r="H19" s="3096"/>
      <c r="I19" s="3096"/>
      <c r="J19" s="3096"/>
    </row>
    <row r="20" spans="1:10">
      <c r="A20" s="3096"/>
      <c r="B20" s="3096"/>
      <c r="C20" s="3096"/>
      <c r="D20" s="3096"/>
      <c r="E20" s="3096"/>
      <c r="F20" s="3096"/>
      <c r="G20" s="3096"/>
      <c r="H20" s="3096"/>
      <c r="I20" s="3096"/>
      <c r="J20" s="3096"/>
    </row>
    <row r="21" spans="1:10">
      <c r="A21" s="3096"/>
      <c r="B21" s="3096"/>
      <c r="C21" s="3096"/>
      <c r="D21" s="3096"/>
      <c r="E21" s="3096"/>
      <c r="F21" s="3096"/>
      <c r="G21" s="3096"/>
      <c r="H21" s="3096"/>
      <c r="I21" s="3096"/>
      <c r="J21" s="3096"/>
    </row>
    <row r="22" spans="1:10">
      <c r="A22" s="3096"/>
      <c r="B22" s="3096"/>
      <c r="C22" s="3096"/>
      <c r="D22" s="3096"/>
      <c r="E22" s="3096"/>
      <c r="F22" s="3096"/>
      <c r="G22" s="3096"/>
      <c r="H22" s="3096"/>
      <c r="I22" s="3096"/>
      <c r="J22" s="3096"/>
    </row>
    <row r="23" spans="1:10">
      <c r="A23" s="3096"/>
      <c r="B23" s="3096"/>
      <c r="C23" s="3096"/>
      <c r="D23" s="3096"/>
      <c r="E23" s="3096"/>
      <c r="F23" s="3096"/>
      <c r="G23" s="3096"/>
      <c r="H23" s="3096"/>
      <c r="I23" s="3096"/>
      <c r="J23" s="3096"/>
    </row>
    <row r="24" spans="1:10">
      <c r="A24" s="3096"/>
      <c r="B24" s="3096"/>
      <c r="C24" s="3096"/>
      <c r="D24" s="3096"/>
      <c r="E24" s="3096"/>
      <c r="F24" s="3096"/>
      <c r="G24" s="3096"/>
      <c r="H24" s="3096"/>
      <c r="I24" s="3096"/>
      <c r="J24" s="3096"/>
    </row>
    <row r="25" spans="1:10">
      <c r="A25" s="3096"/>
      <c r="B25" s="3096"/>
      <c r="C25" s="3096"/>
      <c r="D25" s="3096"/>
      <c r="E25" s="3096"/>
      <c r="F25" s="3096"/>
      <c r="G25" s="3096"/>
      <c r="H25" s="3096"/>
      <c r="I25" s="3096"/>
      <c r="J25" s="3096"/>
    </row>
    <row r="26" spans="1:10">
      <c r="A26" s="3096"/>
      <c r="B26" s="3096"/>
      <c r="C26" s="3096"/>
      <c r="D26" s="3096"/>
      <c r="E26" s="3096"/>
      <c r="F26" s="3096"/>
      <c r="G26" s="3096"/>
      <c r="H26" s="3096"/>
      <c r="I26" s="3096"/>
      <c r="J26" s="3096"/>
    </row>
    <row r="27" spans="1:10">
      <c r="A27" s="3096"/>
      <c r="B27" s="3096"/>
      <c r="C27" s="3096"/>
      <c r="D27" s="3096"/>
      <c r="E27" s="3096"/>
      <c r="F27" s="3096"/>
      <c r="G27" s="3096"/>
      <c r="H27" s="3096"/>
      <c r="I27" s="3096"/>
      <c r="J27" s="3096"/>
    </row>
    <row r="28" spans="1:10">
      <c r="A28" s="3096"/>
      <c r="B28" s="3096"/>
      <c r="C28" s="3096"/>
      <c r="D28" s="3096"/>
      <c r="E28" s="3096"/>
      <c r="F28" s="3096"/>
      <c r="G28" s="3096"/>
      <c r="H28" s="3096"/>
      <c r="I28" s="3096"/>
      <c r="J28" s="3096"/>
    </row>
    <row r="29" spans="1:10">
      <c r="A29" s="3096"/>
      <c r="B29" s="3096"/>
      <c r="C29" s="3096"/>
      <c r="D29" s="3096"/>
      <c r="E29" s="3096"/>
      <c r="F29" s="3096"/>
      <c r="G29" s="3096"/>
      <c r="H29" s="3096"/>
      <c r="I29" s="3096"/>
      <c r="J29" s="3096"/>
    </row>
    <row r="30" spans="1:10">
      <c r="A30" s="3096"/>
      <c r="B30" s="3096"/>
      <c r="C30" s="3096"/>
      <c r="D30" s="3096"/>
      <c r="E30" s="3096"/>
      <c r="F30" s="3096"/>
      <c r="G30" s="3096"/>
      <c r="H30" s="3096"/>
      <c r="I30" s="3096"/>
      <c r="J30" s="3096"/>
    </row>
    <row r="31" spans="1:10">
      <c r="A31" s="3096"/>
      <c r="B31" s="3096"/>
      <c r="C31" s="3096"/>
      <c r="D31" s="3096"/>
      <c r="E31" s="3096"/>
      <c r="F31" s="3096"/>
      <c r="G31" s="3096"/>
      <c r="H31" s="3096"/>
      <c r="I31" s="3096"/>
      <c r="J31" s="3096"/>
    </row>
  </sheetData>
  <sheetProtection password="C66D"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7" customWidth="1"/>
    <col min="2" max="16384" width="14.5" style="3027"/>
  </cols>
  <sheetData>
    <row r="1" spans="1:7" s="3076" customFormat="1" ht="18.75">
      <c r="A1" s="3078" t="s">
        <v>134</v>
      </c>
    </row>
    <row r="3" spans="1:7">
      <c r="A3" s="3079" t="s">
        <v>135</v>
      </c>
      <c r="B3" s="3027" t="s">
        <v>136</v>
      </c>
      <c r="G3" s="3080"/>
    </row>
    <row r="4" spans="1:7">
      <c r="G4" s="3080"/>
    </row>
    <row r="5" spans="1:7">
      <c r="A5" s="3081" t="s">
        <v>137</v>
      </c>
      <c r="B5" s="3027" t="s">
        <v>138</v>
      </c>
      <c r="G5" s="3080"/>
    </row>
    <row r="6" spans="1:7">
      <c r="G6" s="3080"/>
    </row>
    <row r="7" spans="1:7">
      <c r="A7" s="3082" t="s">
        <v>139</v>
      </c>
      <c r="B7" s="3027" t="s">
        <v>140</v>
      </c>
      <c r="G7" s="3080"/>
    </row>
    <row r="8" spans="1:7">
      <c r="G8" s="3080"/>
    </row>
    <row r="9" spans="1:7">
      <c r="A9" s="3083" t="s">
        <v>141</v>
      </c>
      <c r="B9" s="3027" t="s">
        <v>142</v>
      </c>
    </row>
    <row r="11" spans="1:7">
      <c r="A11" s="3084" t="s">
        <v>143</v>
      </c>
      <c r="B11" s="3085" t="s">
        <v>144</v>
      </c>
    </row>
    <row r="13" spans="1:7">
      <c r="A13" s="3086" t="s">
        <v>145</v>
      </c>
    </row>
    <row r="15" spans="1:7" ht="13.5">
      <c r="A15" s="3256" t="s">
        <v>146</v>
      </c>
      <c r="B15" s="3261" t="s">
        <v>147</v>
      </c>
      <c r="C15" s="3255"/>
    </row>
    <row r="16" spans="1:7" ht="13.5">
      <c r="A16" s="3257"/>
      <c r="B16" s="3261" t="s">
        <v>148</v>
      </c>
      <c r="C16" s="3255"/>
    </row>
    <row r="17" spans="1:3" ht="13.5">
      <c r="A17" s="3257"/>
      <c r="B17" s="3260" t="s">
        <v>149</v>
      </c>
      <c r="C17" s="3087" t="s">
        <v>146</v>
      </c>
    </row>
    <row r="18" spans="1:3" ht="13.5">
      <c r="A18" s="3257"/>
      <c r="B18" s="3260"/>
      <c r="C18" s="3087" t="s">
        <v>150</v>
      </c>
    </row>
    <row r="19" spans="1:3" ht="13.5">
      <c r="A19" s="3257"/>
      <c r="B19" s="3260"/>
      <c r="C19" s="3087" t="s">
        <v>151</v>
      </c>
    </row>
    <row r="20" spans="1:3" ht="13.5">
      <c r="A20" s="3258"/>
      <c r="B20" s="3254" t="s">
        <v>152</v>
      </c>
      <c r="C20" s="3255"/>
    </row>
    <row r="21" spans="1:3" ht="13.5">
      <c r="A21" s="3088" t="s">
        <v>153</v>
      </c>
      <c r="B21" s="3089"/>
      <c r="C21" s="3090"/>
    </row>
    <row r="22" spans="1:3" ht="13.5">
      <c r="A22" s="3259" t="s">
        <v>154</v>
      </c>
      <c r="B22" s="3254" t="s">
        <v>155</v>
      </c>
      <c r="C22" s="3255"/>
    </row>
    <row r="23" spans="1:3" ht="13.5">
      <c r="A23" s="3259"/>
      <c r="B23" s="3254" t="s">
        <v>156</v>
      </c>
      <c r="C23" s="3255"/>
    </row>
    <row r="24" spans="1:3" ht="13.5">
      <c r="A24" s="3259"/>
      <c r="B24" s="3254" t="s">
        <v>157</v>
      </c>
      <c r="C24" s="3255"/>
    </row>
    <row r="25" spans="1:3" ht="13.5">
      <c r="A25" s="3259"/>
      <c r="B25" s="3260" t="s">
        <v>158</v>
      </c>
      <c r="C25" s="3087" t="s">
        <v>159</v>
      </c>
    </row>
    <row r="26" spans="1:3" ht="13.5">
      <c r="A26" s="3259"/>
      <c r="B26" s="3260"/>
      <c r="C26" s="3087" t="s">
        <v>160</v>
      </c>
    </row>
    <row r="27" spans="1:3" ht="13.5">
      <c r="A27" s="3259"/>
      <c r="B27" s="3260"/>
      <c r="C27" s="3087" t="s">
        <v>161</v>
      </c>
    </row>
    <row r="28" spans="1:3" ht="13.5">
      <c r="A28" s="3259"/>
      <c r="B28" s="3260"/>
      <c r="C28" s="3087" t="s">
        <v>162</v>
      </c>
    </row>
    <row r="29" spans="1:3" ht="13.5">
      <c r="A29" s="3259"/>
      <c r="B29" s="3260"/>
      <c r="C29" s="3087" t="s">
        <v>163</v>
      </c>
    </row>
    <row r="30" spans="1:3" ht="13.5">
      <c r="A30" s="3259"/>
      <c r="B30" s="3260"/>
      <c r="C30" s="3087" t="s">
        <v>164</v>
      </c>
    </row>
    <row r="31" spans="1:3" ht="13.5">
      <c r="A31" s="3259"/>
      <c r="B31" s="3260"/>
      <c r="C31" s="3087" t="s">
        <v>165</v>
      </c>
    </row>
    <row r="32" spans="1:3" ht="13.5">
      <c r="A32" s="3259"/>
      <c r="B32" s="3260"/>
      <c r="C32" s="3087" t="s">
        <v>166</v>
      </c>
    </row>
    <row r="33" spans="1:3" ht="13.5">
      <c r="A33" s="3259"/>
      <c r="B33" s="3260"/>
      <c r="C33" s="3087" t="s">
        <v>167</v>
      </c>
    </row>
    <row r="34" spans="1:3">
      <c r="A34" s="3091" t="s">
        <v>168</v>
      </c>
    </row>
    <row r="37" spans="1:3">
      <c r="A37" s="3091" t="s">
        <v>169</v>
      </c>
    </row>
    <row r="38" spans="1:3" ht="13.5">
      <c r="A38" s="3092" t="s">
        <v>170</v>
      </c>
    </row>
    <row r="39" spans="1:3" ht="13.5">
      <c r="A39" s="3092" t="s">
        <v>171</v>
      </c>
    </row>
    <row r="40" spans="1:3" ht="13.5">
      <c r="A40" s="3092" t="s">
        <v>172</v>
      </c>
    </row>
    <row r="41" spans="1:3" ht="13.5">
      <c r="A41" s="3093" t="s">
        <v>173</v>
      </c>
    </row>
    <row r="42" spans="1:3" ht="13.5">
      <c r="A42" s="309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3046" customWidth="1"/>
    <col min="2" max="2" width="38.625" style="3046" customWidth="1"/>
    <col min="3" max="3" width="26" style="3046" customWidth="1"/>
    <col min="4" max="4" width="35" style="3046" hidden="1" customWidth="1"/>
    <col min="5" max="5" width="30.125" style="3046" customWidth="1"/>
    <col min="6" max="6" width="35.5" style="3046" customWidth="1"/>
    <col min="7" max="7" width="31" style="3046" customWidth="1"/>
    <col min="8" max="8" width="37.5" style="3046" hidden="1" customWidth="1"/>
    <col min="9" max="16384" width="22.625" style="3046"/>
  </cols>
  <sheetData>
    <row r="1" spans="1:8" ht="24" customHeight="1">
      <c r="A1" s="3047"/>
      <c r="B1" s="3047"/>
      <c r="C1" s="3047"/>
      <c r="D1" s="3047"/>
      <c r="E1" s="3047"/>
      <c r="F1" s="3047"/>
      <c r="G1" s="3047"/>
      <c r="H1" s="3047"/>
    </row>
    <row r="2" spans="1:8" ht="24" customHeight="1">
      <c r="A2" s="3048" t="s">
        <v>175</v>
      </c>
      <c r="B2" s="3049">
        <f ca="1">TODAY()</f>
        <v>44399</v>
      </c>
      <c r="C2" s="3050" t="s">
        <v>176</v>
      </c>
      <c r="D2" s="3050"/>
      <c r="E2" s="3050"/>
      <c r="F2" s="3047"/>
      <c r="G2" s="3047"/>
      <c r="H2" s="3047"/>
    </row>
    <row r="3" spans="1:8" ht="24" customHeight="1">
      <c r="A3" s="3051" t="s">
        <v>177</v>
      </c>
      <c r="B3" s="3052" t="s">
        <v>178</v>
      </c>
      <c r="C3" s="3052" t="s">
        <v>179</v>
      </c>
      <c r="D3" s="3053" t="s">
        <v>180</v>
      </c>
      <c r="E3" s="3054" t="s">
        <v>181</v>
      </c>
      <c r="F3" s="3055" t="s">
        <v>182</v>
      </c>
      <c r="G3" s="3052" t="s">
        <v>179</v>
      </c>
      <c r="H3" s="3053" t="s">
        <v>183</v>
      </c>
    </row>
    <row r="4" spans="1:8" ht="24" customHeight="1">
      <c r="A4" s="3055" t="s">
        <v>184</v>
      </c>
      <c r="B4" s="3055">
        <f ca="1">IF(C4&lt;B2,"已过期",1119970066)</f>
        <v>1119970066</v>
      </c>
      <c r="C4" s="3056">
        <v>44876</v>
      </c>
      <c r="D4" s="3057" t="str">
        <f ca="1">A4&amp;"（注册号："&amp;B4&amp;"）"</f>
        <v>梁津（注册号：1119970066）</v>
      </c>
      <c r="E4" s="3058" t="s">
        <v>184</v>
      </c>
      <c r="F4" s="3055">
        <f ca="1">IF(G4&lt;B2,"已过期",96010014)</f>
        <v>96010014</v>
      </c>
      <c r="G4" s="3059">
        <v>47118</v>
      </c>
      <c r="H4" s="3060" t="str">
        <f ca="1">E4&amp;"（注册号："&amp;F4&amp;"）"</f>
        <v>梁津（注册号：96010014）</v>
      </c>
    </row>
    <row r="5" spans="1:8" ht="24" customHeight="1">
      <c r="A5" s="3055" t="s">
        <v>185</v>
      </c>
      <c r="B5" s="3055">
        <f ca="1">IF(C5&lt;B2,"已过期",1119970111)</f>
        <v>1119970111</v>
      </c>
      <c r="C5" s="3056">
        <v>44876</v>
      </c>
      <c r="D5" s="3057" t="str">
        <f t="shared" ref="D5:D16" ca="1" si="0">A5&amp;"（注册号："&amp;B5&amp;"）"</f>
        <v>叶凌（注册号：1119970111）</v>
      </c>
      <c r="E5" s="3058" t="s">
        <v>185</v>
      </c>
      <c r="F5" s="3055">
        <f ca="1">IF(G5&lt;B2,"已过期",94010078)</f>
        <v>94010078</v>
      </c>
      <c r="G5" s="3059">
        <v>46387</v>
      </c>
      <c r="H5" s="3060" t="str">
        <f t="shared" ref="H5:H16" ca="1" si="1">E5&amp;"（注册号："&amp;F5&amp;"）"</f>
        <v>叶凌（注册号：94010078）</v>
      </c>
    </row>
    <row r="6" spans="1:8" ht="24" customHeight="1">
      <c r="A6" s="3055" t="s">
        <v>186</v>
      </c>
      <c r="B6" s="3055" t="str">
        <f ca="1">IF(C6&lt;B2,"已过期",1120050019)</f>
        <v>已过期</v>
      </c>
      <c r="C6" s="3056">
        <v>44395</v>
      </c>
      <c r="D6" s="3057" t="str">
        <f t="shared" ca="1" si="0"/>
        <v>王鹏（注册号：已过期）</v>
      </c>
      <c r="E6" s="3058" t="s">
        <v>186</v>
      </c>
      <c r="F6" s="3055">
        <f ca="1">IF(G6&lt;B2,"已过期",2002110030)</f>
        <v>2002110030</v>
      </c>
      <c r="G6" s="3059">
        <v>46387</v>
      </c>
      <c r="H6" s="3060" t="str">
        <f t="shared" ca="1" si="1"/>
        <v>王鹏（注册号：2002110030）</v>
      </c>
    </row>
    <row r="7" spans="1:8" ht="24" customHeight="1">
      <c r="A7" s="3055" t="s">
        <v>187</v>
      </c>
      <c r="B7" s="3055">
        <f ca="1">IF(C7&lt;B2,"已过期",1120000080)</f>
        <v>1120000080</v>
      </c>
      <c r="C7" s="3056">
        <v>44876</v>
      </c>
      <c r="D7" s="3057" t="str">
        <f t="shared" ca="1" si="0"/>
        <v>欧红伟（注册号：1120000080）</v>
      </c>
      <c r="E7" s="3058" t="s">
        <v>187</v>
      </c>
      <c r="F7" s="3055">
        <f ca="1">IF(G7&lt;B2,"已过期",2000110082)</f>
        <v>2000110082</v>
      </c>
      <c r="G7" s="3059">
        <v>46387</v>
      </c>
      <c r="H7" s="3060" t="str">
        <f t="shared" ca="1" si="1"/>
        <v>欧红伟（注册号：2000110082）</v>
      </c>
    </row>
    <row r="8" spans="1:8" ht="24" customHeight="1">
      <c r="A8" s="3055" t="s">
        <v>188</v>
      </c>
      <c r="B8" s="3055">
        <f ca="1">IF(C8&lt;B2,"已过期",1419970001)</f>
        <v>1419970001</v>
      </c>
      <c r="C8" s="3056">
        <v>44899</v>
      </c>
      <c r="D8" s="3057" t="str">
        <f t="shared" ca="1" si="0"/>
        <v>吴薇（注册号：1419970001）</v>
      </c>
      <c r="E8" s="3058" t="s">
        <v>188</v>
      </c>
      <c r="F8" s="3055">
        <f ca="1">IF(G8&lt;B2,"已过期",2002110125)</f>
        <v>2002110125</v>
      </c>
      <c r="G8" s="3059">
        <v>47118</v>
      </c>
      <c r="H8" s="3060" t="str">
        <f t="shared" ca="1" si="1"/>
        <v>吴薇（注册号：2002110125）</v>
      </c>
    </row>
    <row r="9" spans="1:8" ht="24" customHeight="1">
      <c r="A9" s="3055" t="s">
        <v>189</v>
      </c>
      <c r="B9" s="3055">
        <f ca="1">IF(C9&lt;B2,"已过期",1120060040)</f>
        <v>1120060040</v>
      </c>
      <c r="C9" s="3061">
        <v>44554</v>
      </c>
      <c r="D9" s="3057" t="str">
        <f t="shared" ca="1" si="0"/>
        <v>陈颖（注册号：1120060040）</v>
      </c>
      <c r="E9" s="3058" t="s">
        <v>189</v>
      </c>
      <c r="F9" s="3055">
        <f ca="1">IF(G9&lt;B2,"已过期",2004110096)</f>
        <v>2004110096</v>
      </c>
      <c r="G9" s="3059">
        <v>47118</v>
      </c>
      <c r="H9" s="3060" t="str">
        <f t="shared" ca="1" si="1"/>
        <v>陈颖（注册号：2004110096）</v>
      </c>
    </row>
    <row r="10" spans="1:8" ht="24" customHeight="1">
      <c r="A10" s="3055" t="s">
        <v>190</v>
      </c>
      <c r="B10" s="3055">
        <f ca="1">IF(C10&lt;B2,"已过期",1120100036)</f>
        <v>1120100036</v>
      </c>
      <c r="C10" s="3061">
        <v>44675</v>
      </c>
      <c r="D10" s="3057" t="str">
        <f t="shared" ca="1" si="0"/>
        <v>崔锴（注册号：1120100036）</v>
      </c>
      <c r="E10" s="3058" t="s">
        <v>190</v>
      </c>
      <c r="F10" s="3055">
        <f ca="1">IF(G10&lt;B2,"已过期",2010110070)</f>
        <v>2010110070</v>
      </c>
      <c r="G10" s="3059">
        <v>47907</v>
      </c>
      <c r="H10" s="3060" t="str">
        <f t="shared" ca="1" si="1"/>
        <v>崔锴（注册号：2010110070）</v>
      </c>
    </row>
    <row r="11" spans="1:8" ht="24" customHeight="1">
      <c r="A11" s="3055" t="s">
        <v>191</v>
      </c>
      <c r="B11" s="3055">
        <f ca="1">IF(C11&lt;B2,"已过期",1120070131)</f>
        <v>1120070131</v>
      </c>
      <c r="C11" s="3056">
        <v>44849</v>
      </c>
      <c r="D11" s="3057" t="str">
        <f t="shared" ca="1" si="0"/>
        <v>郑燚（注册号：1120070131）</v>
      </c>
      <c r="E11" s="3058" t="s">
        <v>191</v>
      </c>
      <c r="F11" s="3055">
        <f ca="1">IF(G11&lt;B2,"已过期",2014110011)</f>
        <v>2014110011</v>
      </c>
      <c r="G11" s="3059">
        <v>49302</v>
      </c>
      <c r="H11" s="3060" t="str">
        <f t="shared" ca="1" si="1"/>
        <v>郑燚（注册号：2014110011）</v>
      </c>
    </row>
    <row r="12" spans="1:8" ht="24" customHeight="1">
      <c r="A12" s="3055" t="s">
        <v>192</v>
      </c>
      <c r="B12" s="3055">
        <f ca="1">IF(C12&lt;B2,"已过期",1120040230)</f>
        <v>1120040230</v>
      </c>
      <c r="C12" s="3061">
        <v>44864</v>
      </c>
      <c r="D12" s="3057" t="str">
        <f t="shared" ca="1" si="0"/>
        <v>苏海（注册号：1120040230）</v>
      </c>
      <c r="E12" s="3058" t="s">
        <v>192</v>
      </c>
      <c r="F12" s="3055">
        <f ca="1">IF(G12&lt;B2,"已过期",98030020)</f>
        <v>98030020</v>
      </c>
      <c r="G12" s="3059">
        <v>47118</v>
      </c>
      <c r="H12" s="3060" t="str">
        <f t="shared" ca="1" si="1"/>
        <v>苏海（注册号：98030020）</v>
      </c>
    </row>
    <row r="13" spans="1:8" ht="24" customHeight="1">
      <c r="A13" s="3055" t="s">
        <v>193</v>
      </c>
      <c r="B13" s="3055" t="str">
        <f ca="1">IF(C13&lt;B2,"已过期",1120020033)</f>
        <v>已过期</v>
      </c>
      <c r="C13" s="3056">
        <v>44339</v>
      </c>
      <c r="D13" s="3057" t="str">
        <f t="shared" ca="1" si="0"/>
        <v>刘敬东（注册号：已过期）</v>
      </c>
      <c r="E13" s="3058" t="s">
        <v>193</v>
      </c>
      <c r="F13" s="3055">
        <f ca="1">IF(G13&lt;B2,"已过期",2000110137)</f>
        <v>2000110137</v>
      </c>
      <c r="G13" s="3059">
        <v>46387</v>
      </c>
      <c r="H13" s="3060" t="str">
        <f t="shared" ca="1" si="1"/>
        <v>刘敬东（注册号：2000110137）</v>
      </c>
    </row>
    <row r="14" spans="1:8" ht="24" customHeight="1">
      <c r="A14" s="3055" t="s">
        <v>194</v>
      </c>
      <c r="B14" s="3055">
        <f ca="1">IF(C14&lt;B2,"已过期",1119980106)</f>
        <v>1119980106</v>
      </c>
      <c r="C14" s="3061">
        <v>44969</v>
      </c>
      <c r="D14" s="3057" t="str">
        <f t="shared" ca="1" si="0"/>
        <v>刘俊财（注册号：1119980106）</v>
      </c>
      <c r="E14" s="3058" t="s">
        <v>194</v>
      </c>
      <c r="F14" s="3055">
        <f ca="1">IF(G14&lt;B2,"已过期",96010063)</f>
        <v>96010063</v>
      </c>
      <c r="G14" s="3059">
        <v>47483</v>
      </c>
      <c r="H14" s="3060" t="str">
        <f t="shared" ca="1" si="1"/>
        <v>刘俊财（注册号：96010063）</v>
      </c>
    </row>
    <row r="15" spans="1:8" ht="24" customHeight="1">
      <c r="A15" s="3055"/>
      <c r="B15" s="3055"/>
      <c r="C15" s="3061"/>
      <c r="D15" s="3057" t="str">
        <f t="shared" si="0"/>
        <v>（注册号：）</v>
      </c>
      <c r="E15" s="3058" t="s">
        <v>195</v>
      </c>
      <c r="F15" s="3055">
        <f ca="1">IF(G15&lt;B2,"已过期",2011110090)</f>
        <v>2011110090</v>
      </c>
      <c r="G15" s="3059">
        <v>48302</v>
      </c>
      <c r="H15" s="3060" t="str">
        <f t="shared" ca="1" si="1"/>
        <v>赵雯（注册号：2011110090）</v>
      </c>
    </row>
    <row r="16" spans="1:8" s="3044" customFormat="1" ht="24" customHeight="1">
      <c r="A16" s="3055"/>
      <c r="B16" s="3055"/>
      <c r="C16" s="3055"/>
      <c r="D16" s="3057" t="str">
        <f t="shared" si="0"/>
        <v>（注册号：）</v>
      </c>
      <c r="E16" s="3058"/>
      <c r="F16" s="3055"/>
      <c r="G16" s="3055"/>
      <c r="H16" s="3062" t="str">
        <f t="shared" si="1"/>
        <v>（注册号：）</v>
      </c>
    </row>
    <row r="17" spans="1:8" ht="24" customHeight="1">
      <c r="A17" s="3262" t="s">
        <v>196</v>
      </c>
      <c r="B17" s="3262"/>
      <c r="C17" s="3262"/>
      <c r="D17" s="3262"/>
      <c r="E17" s="3262"/>
      <c r="F17" s="3262"/>
      <c r="G17" s="3262"/>
      <c r="H17" s="3262"/>
    </row>
    <row r="18" spans="1:8" ht="24" customHeight="1">
      <c r="A18" s="3263" t="s">
        <v>197</v>
      </c>
      <c r="B18" s="3263"/>
      <c r="C18" s="3263"/>
      <c r="D18" s="3053"/>
      <c r="E18" s="3264" t="s">
        <v>198</v>
      </c>
      <c r="F18" s="3263"/>
      <c r="G18" s="3263"/>
    </row>
    <row r="19" spans="1:8" s="3045" customFormat="1" ht="24" customHeight="1">
      <c r="A19" s="3063" t="s">
        <v>199</v>
      </c>
      <c r="B19" s="3052" t="s">
        <v>200</v>
      </c>
      <c r="C19" s="3052" t="s">
        <v>179</v>
      </c>
      <c r="D19" s="3053"/>
      <c r="E19" s="3058" t="s">
        <v>199</v>
      </c>
      <c r="F19" s="3052" t="s">
        <v>200</v>
      </c>
      <c r="G19" s="3052" t="s">
        <v>179</v>
      </c>
    </row>
    <row r="20" spans="1:8" s="3045" customFormat="1" ht="24" customHeight="1">
      <c r="A20" s="3064" t="s">
        <v>201</v>
      </c>
      <c r="B20" s="3064" t="s">
        <v>202</v>
      </c>
      <c r="C20" s="3059">
        <v>44820</v>
      </c>
      <c r="D20" s="3065"/>
      <c r="E20" s="3066" t="s">
        <v>203</v>
      </c>
      <c r="F20" s="3064" t="s">
        <v>204</v>
      </c>
      <c r="G20" s="3067">
        <v>44377</v>
      </c>
    </row>
    <row r="21" spans="1:8" s="3045" customFormat="1" ht="24" customHeight="1">
      <c r="A21" s="3064"/>
      <c r="B21" s="3064"/>
      <c r="C21" s="3068"/>
      <c r="D21" s="3069"/>
      <c r="E21" s="3066" t="s">
        <v>205</v>
      </c>
      <c r="F21" s="3070" t="s">
        <v>206</v>
      </c>
      <c r="G21" s="3071">
        <v>44012</v>
      </c>
    </row>
    <row r="22" spans="1:8" ht="24" customHeight="1">
      <c r="C22" s="3072"/>
      <c r="D22" s="3072"/>
      <c r="E22" s="3073"/>
      <c r="F22" s="3074"/>
      <c r="G22" s="3075" t="s">
        <v>207</v>
      </c>
    </row>
  </sheetData>
  <sheetProtection password="CEE9" sheet="1" objects="1" scenarios="1"/>
  <mergeCells count="3">
    <mergeCell ref="A17:H17"/>
    <mergeCell ref="A18:C18"/>
    <mergeCell ref="E18:G18"/>
  </mergeCells>
  <phoneticPr fontId="225"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毛坯建安单价</vt:lpstr>
      <vt:lpstr>系统读取表</vt:lpstr>
      <vt:lpstr>结果表</vt:lpstr>
      <vt:lpstr>成本法-共产划拨</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土地比较法（土地一级开发成本）-住宅、综合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共产房土地案例</vt:lpstr>
      <vt:lpstr>拆分后土地案例废弃</vt:lpstr>
      <vt:lpstr>案例-土地一级开发成本</vt:lpstr>
      <vt:lpstr>比较法-共产出让</vt:lpstr>
      <vt:lpstr>共产房土地案例新</vt:lpstr>
      <vt:lpstr>石景山共有产权</vt:lpstr>
      <vt:lpstr>土地开发建设补偿费</vt:lpstr>
      <vt:lpstr>出让金加利息利润</vt:lpstr>
      <vt:lpstr>Sheet1</vt:lpstr>
      <vt:lpstr>'比较法-办公'!Print_Area</vt:lpstr>
      <vt:lpstr>'比较法-仓储'!Print_Area</vt:lpstr>
      <vt:lpstr>'比较法-车位'!Print_Area</vt:lpstr>
      <vt:lpstr>'比较法-工业'!Print_Area</vt:lpstr>
      <vt:lpstr>'比较法-共产出让'!Print_Area</vt:lpstr>
      <vt:lpstr>'比较法-商业'!Print_Area</vt:lpstr>
      <vt:lpstr>'成本法-共产划拨'!Print_Area</vt:lpstr>
      <vt:lpstr>出让金加利息利润!Print_Area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'土地比较法（土地一级开发成本）-住宅、综合'!Print_Area</vt:lpstr>
      <vt:lpstr>'土地比较法-工业'!Print_Area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2021-07-22T02:50:09Z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