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评估\2024-1-0585-日坛贸易中心\"/>
    </mc:Choice>
  </mc:AlternateContent>
  <xr:revisionPtr revIDLastSave="0" documentId="13_ncr:1_{FE4D2C6F-7FFD-4563-975E-5C12B5B1FFE6}" xr6:coauthVersionLast="47" xr6:coauthVersionMax="47" xr10:uidLastSave="{00000000-0000-0000-0000-000000000000}"/>
  <bookViews>
    <workbookView xWindow="-110" yWindow="-110" windowWidth="19420" windowHeight="103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汇总）" sheetId="76" state="hidden"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收益法车" sheetId="86" r:id="rId42"/>
    <sheet name="区片价" sheetId="44" r:id="rId43"/>
    <sheet name="因素修正幅度" sheetId="65" state="hidden" r:id="rId44"/>
    <sheet name="区片价（范围）" sheetId="75"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21">'基准地价（汇总）'!$A$1:$E$13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1">收益法车!$A$1:$F$43,收益法车!$H$3:$M$29,收益法车!$A$46:$F$71,收益法车!$I$46:$N$65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8">'[4]数据-汇总表'!$C$17:$C$26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workbook>
</file>

<file path=xl/calcChain.xml><?xml version="1.0" encoding="utf-8"?>
<calcChain xmlns="http://schemas.openxmlformats.org/spreadsheetml/2006/main">
  <c r="B15" i="74" l="1"/>
  <c r="D15" i="74" l="1"/>
  <c r="G15" i="74" s="1"/>
  <c r="H15" i="74" s="1"/>
  <c r="D26" i="80" l="1"/>
  <c r="F10" i="82"/>
  <c r="D37" i="43"/>
  <c r="U16" i="43"/>
  <c r="U11" i="43"/>
  <c r="U10" i="43"/>
  <c r="U9" i="43"/>
  <c r="U6" i="43"/>
  <c r="H32" i="82"/>
  <c r="AM7" i="1"/>
  <c r="AK7" i="1"/>
  <c r="Y7" i="1"/>
  <c r="Y6" i="1"/>
  <c r="W7" i="1"/>
  <c r="V7" i="1"/>
  <c r="L14" i="1"/>
  <c r="M14" i="3"/>
  <c r="M13" i="3"/>
  <c r="K13" i="3"/>
  <c r="I14" i="3"/>
  <c r="I13" i="3"/>
  <c r="C26" i="80"/>
  <c r="C25" i="80"/>
  <c r="C6" i="80"/>
  <c r="E6" i="80" s="1"/>
  <c r="C5" i="80"/>
  <c r="H16" i="80"/>
  <c r="H18" i="80" s="1"/>
  <c r="D9" i="80"/>
  <c r="E9" i="80" s="1"/>
  <c r="C27" i="80" l="1"/>
  <c r="C4" i="80"/>
  <c r="C7" i="80" s="1"/>
  <c r="E7" i="80" s="1"/>
  <c r="E5" i="80"/>
  <c r="E4" i="80" s="1"/>
  <c r="D25" i="80"/>
  <c r="E27" i="80" s="1"/>
  <c r="C8" i="80" l="1"/>
  <c r="E8" i="80" s="1"/>
  <c r="E10" i="80" s="1"/>
  <c r="C10" i="80"/>
  <c r="D4" i="80"/>
  <c r="D10" i="80" l="1"/>
  <c r="G10" i="80"/>
  <c r="Q72" i="86" l="1"/>
  <c r="Q59" i="86"/>
  <c r="K59" i="86"/>
  <c r="P74" i="86" s="1"/>
  <c r="Q58" i="86"/>
  <c r="Q51" i="86"/>
  <c r="J50" i="86"/>
  <c r="J49" i="86"/>
  <c r="M47" i="86"/>
  <c r="D46" i="86"/>
  <c r="F33" i="86"/>
  <c r="F61" i="86" s="1"/>
  <c r="F23" i="86"/>
  <c r="D23" i="86" s="1"/>
  <c r="F21" i="86"/>
  <c r="F20" i="86"/>
  <c r="M19" i="86"/>
  <c r="F18" i="86"/>
  <c r="F15" i="86"/>
  <c r="AM6" i="1"/>
  <c r="G9" i="82"/>
  <c r="K14" i="3"/>
  <c r="C14" i="3"/>
  <c r="C13" i="3"/>
  <c r="D24" i="86" l="1"/>
  <c r="P61" i="86"/>
  <c r="D22" i="86"/>
  <c r="Q21" i="1"/>
  <c r="P21" i="1" l="1"/>
  <c r="J49" i="15"/>
  <c r="L7" i="1"/>
  <c r="B35" i="1"/>
  <c r="F17" i="86" s="1"/>
  <c r="B29" i="1"/>
  <c r="B21" i="1"/>
  <c r="N6" i="1"/>
  <c r="N7" i="1" s="1"/>
  <c r="P22" i="1" l="1"/>
  <c r="P20" i="1"/>
  <c r="Q24" i="1" l="1"/>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M38" i="79"/>
  <c r="L38" i="79"/>
  <c r="S38" i="79" s="1"/>
  <c r="I38" i="79"/>
  <c r="AD38" i="79" s="1"/>
  <c r="AB37" i="79"/>
  <c r="AA37" i="79"/>
  <c r="Z37" i="79"/>
  <c r="N37" i="79"/>
  <c r="M37" i="79"/>
  <c r="L37" i="79"/>
  <c r="S37" i="79" s="1"/>
  <c r="I37" i="79"/>
  <c r="AD37" i="79" s="1"/>
  <c r="AB36" i="79"/>
  <c r="AA36" i="79"/>
  <c r="Z36" i="79"/>
  <c r="N36" i="79"/>
  <c r="U36" i="79" s="1"/>
  <c r="M36" i="79"/>
  <c r="L36" i="79"/>
  <c r="I36" i="79"/>
  <c r="AD36" i="79" s="1"/>
  <c r="AB35" i="79"/>
  <c r="AA35" i="79"/>
  <c r="Z35" i="79"/>
  <c r="N35" i="79"/>
  <c r="U30" i="79" s="1"/>
  <c r="M35" i="79"/>
  <c r="T30" i="79" s="1"/>
  <c r="W30" i="79" s="1"/>
  <c r="L35" i="79"/>
  <c r="I35" i="79"/>
  <c r="AB29" i="79"/>
  <c r="AA29" i="79"/>
  <c r="AA26" i="79" s="1"/>
  <c r="AD26" i="79" s="1"/>
  <c r="Z29" i="79"/>
  <c r="N29" i="79"/>
  <c r="U28" i="79" s="1"/>
  <c r="M29" i="79"/>
  <c r="L29" i="79"/>
  <c r="S28" i="79" s="1"/>
  <c r="I29" i="79"/>
  <c r="AD29" i="79" s="1"/>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S16" i="79" s="1"/>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U5" i="79"/>
  <c r="U16" i="79"/>
  <c r="Y3" i="79"/>
  <c r="S15" i="79"/>
  <c r="T17" i="79"/>
  <c r="W17" i="79" s="1"/>
  <c r="U26" i="79"/>
  <c r="U38" i="79"/>
  <c r="L3" i="79"/>
  <c r="T15" i="79"/>
  <c r="W15" i="79" s="1"/>
  <c r="U17" i="79"/>
  <c r="S30" i="79"/>
  <c r="T36" i="79"/>
  <c r="W36" i="79" s="1"/>
  <c r="U37" i="79"/>
  <c r="V3" i="79"/>
  <c r="S13" i="79"/>
  <c r="U15" i="79"/>
  <c r="AB3" i="79"/>
  <c r="T29" i="79"/>
  <c r="T28" i="79"/>
  <c r="W28" i="79" s="1"/>
  <c r="Z3" i="79"/>
  <c r="AC3"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AB13" i="71" s="1"/>
  <c r="P20" i="71"/>
  <c r="O20" i="71"/>
  <c r="N20" i="71"/>
  <c r="L3" i="71"/>
  <c r="AH3" i="71" s="1"/>
  <c r="K3" i="71"/>
  <c r="AG3" i="71" s="1"/>
  <c r="J3" i="71"/>
  <c r="AE3" i="71" s="1"/>
  <c r="I3" i="71"/>
  <c r="AH21" i="71"/>
  <c r="AG21" i="71"/>
  <c r="AE21" i="71"/>
  <c r="AF21" i="71"/>
  <c r="AD21" i="71"/>
  <c r="Q21" i="71"/>
  <c r="AB21" i="71" s="1"/>
  <c r="Q22" i="71"/>
  <c r="P21" i="71"/>
  <c r="P22" i="71"/>
  <c r="O21" i="71"/>
  <c r="O22" i="71"/>
  <c r="N21" i="71"/>
  <c r="N22" i="71"/>
  <c r="N23" i="71"/>
  <c r="AH22" i="71"/>
  <c r="AG22" i="71"/>
  <c r="AE22" i="71"/>
  <c r="AF22" i="71"/>
  <c r="AD22" i="71"/>
  <c r="Q23" i="71"/>
  <c r="AB23" i="71" s="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E23"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4" i="71" s="1"/>
  <c r="Z24"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s="1"/>
  <c r="C88" i="71"/>
  <c r="B88" i="71"/>
  <c r="B87" i="71" s="1"/>
  <c r="B86" i="71" s="1"/>
  <c r="F87" i="71"/>
  <c r="F86" i="71" s="1"/>
  <c r="D85" i="71"/>
  <c r="F84" i="71"/>
  <c r="F83" i="71" s="1"/>
  <c r="E84" i="71"/>
  <c r="E83" i="71" s="1"/>
  <c r="E82" i="71" s="1"/>
  <c r="C84" i="71"/>
  <c r="D84" i="71" s="1"/>
  <c r="B84" i="71"/>
  <c r="F82" i="71"/>
  <c r="B83" i="71"/>
  <c r="B82" i="71" s="1"/>
  <c r="D81" i="71"/>
  <c r="Q80" i="71"/>
  <c r="P80" i="71"/>
  <c r="O80" i="71"/>
  <c r="N80" i="71"/>
  <c r="F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c r="O41" i="71"/>
  <c r="C42" i="71" s="1"/>
  <c r="N41" i="71"/>
  <c r="B42" i="71" s="1"/>
  <c r="B43" i="71" s="1"/>
  <c r="B44" i="71" s="1"/>
  <c r="S44" i="71" s="1"/>
  <c r="D41" i="71"/>
  <c r="Q40" i="71"/>
  <c r="P40" i="71"/>
  <c r="O40" i="71"/>
  <c r="N40" i="71"/>
  <c r="Q39" i="71"/>
  <c r="AB10" i="71" s="1"/>
  <c r="P39" i="71"/>
  <c r="AA39" i="71"/>
  <c r="O39" i="71"/>
  <c r="Y39" i="71" s="1"/>
  <c r="Z39" i="71" s="1"/>
  <c r="N39" i="71"/>
  <c r="X39" i="71" s="1"/>
  <c r="Q38" i="71"/>
  <c r="AB38" i="71" s="1"/>
  <c r="P38" i="71"/>
  <c r="O38" i="71"/>
  <c r="Y38" i="71" s="1"/>
  <c r="Z38" i="71" s="1"/>
  <c r="N38" i="71"/>
  <c r="Q37" i="71"/>
  <c r="AB37" i="71" s="1"/>
  <c r="P37" i="71"/>
  <c r="O37" i="71"/>
  <c r="N37" i="71"/>
  <c r="D37" i="71"/>
  <c r="Q36" i="71"/>
  <c r="AB30" i="71" s="1"/>
  <c r="P36" i="71"/>
  <c r="O36" i="71"/>
  <c r="Y36" i="71" s="1"/>
  <c r="Z36" i="71" s="1"/>
  <c r="N36" i="71"/>
  <c r="Q35" i="71"/>
  <c r="AB35" i="71"/>
  <c r="P35" i="71"/>
  <c r="O35" i="71"/>
  <c r="Y23" i="71" s="1"/>
  <c r="Z23" i="71" s="1"/>
  <c r="N35" i="71"/>
  <c r="X33" i="71" s="1"/>
  <c r="Q34" i="71"/>
  <c r="AB34" i="71" s="1"/>
  <c r="P34" i="71"/>
  <c r="O34" i="71"/>
  <c r="Y34" i="71"/>
  <c r="Z34" i="71" s="1"/>
  <c r="N34" i="71"/>
  <c r="F34" i="71"/>
  <c r="F35" i="71" s="1"/>
  <c r="F36" i="71" s="1"/>
  <c r="V36" i="71" s="1"/>
  <c r="Q33" i="71"/>
  <c r="P33" i="71"/>
  <c r="O33" i="71"/>
  <c r="C34" i="71" s="1"/>
  <c r="N33" i="71"/>
  <c r="D33" i="71"/>
  <c r="Q32" i="71"/>
  <c r="AB32" i="71" s="1"/>
  <c r="P32" i="71"/>
  <c r="O32" i="71"/>
  <c r="Y32" i="71"/>
  <c r="Z32" i="71" s="1"/>
  <c r="N32" i="71"/>
  <c r="Q31" i="71"/>
  <c r="AB31" i="71" s="1"/>
  <c r="P31" i="71"/>
  <c r="O31" i="71"/>
  <c r="Y25" i="71" s="1"/>
  <c r="Z25" i="71" s="1"/>
  <c r="N31" i="71"/>
  <c r="Q30" i="71"/>
  <c r="P30" i="71"/>
  <c r="O30" i="71"/>
  <c r="N30" i="71"/>
  <c r="X30" i="71" s="1"/>
  <c r="F30" i="71"/>
  <c r="F31" i="71" s="1"/>
  <c r="F32" i="71" s="1"/>
  <c r="V32" i="71" s="1"/>
  <c r="Q29" i="71"/>
  <c r="P29" i="71"/>
  <c r="E30" i="71" s="1"/>
  <c r="E31" i="71" s="1"/>
  <c r="E32" i="71" s="1"/>
  <c r="U32" i="71" s="1"/>
  <c r="O29" i="71"/>
  <c r="N29" i="71"/>
  <c r="D29" i="71"/>
  <c r="O28" i="71"/>
  <c r="N28" i="71"/>
  <c r="B34" i="71"/>
  <c r="B35" i="71" s="1"/>
  <c r="B36" i="71" s="1"/>
  <c r="S36" i="71" s="1"/>
  <c r="B38" i="71"/>
  <c r="B39" i="71" s="1"/>
  <c r="B40" i="71" s="1"/>
  <c r="S40" i="71" s="1"/>
  <c r="X37" i="71"/>
  <c r="E38" i="71"/>
  <c r="E39" i="71" s="1"/>
  <c r="E40" i="71" s="1"/>
  <c r="U40" i="71" s="1"/>
  <c r="C30" i="71"/>
  <c r="AB29" i="71"/>
  <c r="AA30" i="71"/>
  <c r="X31" i="71"/>
  <c r="X32" i="71"/>
  <c r="AB33" i="71"/>
  <c r="X34" i="71"/>
  <c r="X35" i="71"/>
  <c r="X36" i="71"/>
  <c r="C38" i="71"/>
  <c r="Y37" i="71"/>
  <c r="Z37" i="71" s="1"/>
  <c r="X38" i="71"/>
  <c r="C28" i="71"/>
  <c r="T28" i="71" s="1"/>
  <c r="Y28" i="71"/>
  <c r="Z28" i="71" s="1"/>
  <c r="B28" i="71"/>
  <c r="B27" i="71"/>
  <c r="B26" i="71"/>
  <c r="C31" i="71"/>
  <c r="C32" i="71" s="1"/>
  <c r="D30" i="71"/>
  <c r="P28" i="71"/>
  <c r="U56" i="71"/>
  <c r="U68" i="71"/>
  <c r="E67" i="71"/>
  <c r="P67" i="71" s="1"/>
  <c r="Q28" i="71"/>
  <c r="D58" i="71"/>
  <c r="C63" i="71"/>
  <c r="D62" i="71"/>
  <c r="T68" i="71"/>
  <c r="O68" i="71"/>
  <c r="D68" i="71"/>
  <c r="C67" i="71"/>
  <c r="C66" i="71" s="1"/>
  <c r="Q68" i="71"/>
  <c r="C71" i="71"/>
  <c r="C70" i="71" s="1"/>
  <c r="E71" i="71"/>
  <c r="E70" i="71" s="1"/>
  <c r="D72" i="71"/>
  <c r="C75" i="71"/>
  <c r="E75" i="71"/>
  <c r="E74" i="71" s="1"/>
  <c r="D76" i="71"/>
  <c r="C79" i="71"/>
  <c r="D79" i="71" s="1"/>
  <c r="E79" i="71"/>
  <c r="E78" i="71" s="1"/>
  <c r="D80" i="71"/>
  <c r="C83" i="71"/>
  <c r="C27" i="71"/>
  <c r="S28" i="71"/>
  <c r="F28" i="71"/>
  <c r="F27" i="71" s="1"/>
  <c r="F26" i="71" s="1"/>
  <c r="AB26" i="71"/>
  <c r="AB27" i="71"/>
  <c r="AB28" i="71"/>
  <c r="E28" i="71"/>
  <c r="E27" i="71" s="1"/>
  <c r="E26" i="71" s="1"/>
  <c r="D28" i="71"/>
  <c r="U28" i="71" s="1"/>
  <c r="O67" i="71"/>
  <c r="D67" i="71"/>
  <c r="C64" i="71"/>
  <c r="D64" i="71" s="1"/>
  <c r="D63" i="71"/>
  <c r="D83" i="71"/>
  <c r="C82" i="71"/>
  <c r="D82" i="71" s="1"/>
  <c r="D75" i="71"/>
  <c r="C74" i="71"/>
  <c r="D74" i="71" s="1"/>
  <c r="D71" i="71"/>
  <c r="D70" i="71"/>
  <c r="E66" i="71"/>
  <c r="P65" i="71" s="1"/>
  <c r="D31" i="71"/>
  <c r="P6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S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77" i="43"/>
  <c r="B57" i="43"/>
  <c r="B68" i="43"/>
  <c r="C29" i="39"/>
  <c r="S21" i="34"/>
  <c r="H25" i="40"/>
  <c r="J25" i="40"/>
  <c r="AC25" i="40" s="1"/>
  <c r="H29" i="39"/>
  <c r="AB29" i="39" s="1"/>
  <c r="J29" i="39"/>
  <c r="AC29" i="39" s="1"/>
  <c r="J18" i="36"/>
  <c r="AC18" i="36" s="1"/>
  <c r="H18" i="35"/>
  <c r="J18" i="35"/>
  <c r="W18" i="35" s="1"/>
  <c r="H21" i="37"/>
  <c r="F21" i="37"/>
  <c r="F84" i="34"/>
  <c r="H21" i="34"/>
  <c r="H21" i="33"/>
  <c r="U21" i="33" s="1"/>
  <c r="F21" i="33"/>
  <c r="AA21" i="33" s="1"/>
  <c r="E83" i="21"/>
  <c r="H1" i="69"/>
  <c r="W25" i="40"/>
  <c r="U29" i="39"/>
  <c r="W29" i="39"/>
  <c r="W18" i="36"/>
  <c r="AB21" i="37"/>
  <c r="U21" i="37"/>
  <c r="AB21" i="33"/>
  <c r="S21" i="33"/>
  <c r="AC18" i="35"/>
  <c r="J21" i="37"/>
  <c r="W21" i="37" s="1"/>
  <c r="G84" i="34"/>
  <c r="J21" i="34"/>
  <c r="W21" i="34" s="1"/>
  <c r="J21" i="33"/>
  <c r="F83" i="21"/>
  <c r="H21" i="21"/>
  <c r="U21" i="21" s="1"/>
  <c r="F38" i="69"/>
  <c r="E37" i="69"/>
  <c r="F36" i="69"/>
  <c r="F35" i="69"/>
  <c r="F21" i="69"/>
  <c r="F40" i="69" s="1"/>
  <c r="F20" i="69"/>
  <c r="F39" i="69" s="1"/>
  <c r="E10" i="69"/>
  <c r="E9" i="69"/>
  <c r="C7" i="69"/>
  <c r="AC21" i="37"/>
  <c r="AC21" i="33"/>
  <c r="W21" i="33"/>
  <c r="AB21" i="21"/>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s="1"/>
  <c r="H6" i="31" s="1"/>
  <c r="I6" i="31"/>
  <c r="J6" i="31" s="1"/>
  <c r="K6" i="31" s="1"/>
  <c r="L6" i="31" s="1"/>
  <c r="M6" i="31" s="1"/>
  <c r="N6" i="31" s="1"/>
  <c r="O6" i="31" s="1"/>
  <c r="P6" i="31" s="1"/>
  <c r="Q6" i="31" s="1"/>
  <c r="R6" i="31" s="1"/>
  <c r="S6" i="31" s="1"/>
  <c r="B2" i="1"/>
  <c r="J51" i="86"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BD104" i="3"/>
  <c r="BC104" i="3"/>
  <c r="BB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G95" i="3" s="1"/>
  <c r="H95" i="3"/>
  <c r="BT94" i="3"/>
  <c r="BS94" i="3"/>
  <c r="BR94" i="3"/>
  <c r="BQ94" i="3"/>
  <c r="BP94" i="3"/>
  <c r="BL94" i="3" s="1"/>
  <c r="BO94" i="3"/>
  <c r="BN94" i="3"/>
  <c r="BM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A83" i="3" s="1"/>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L68" i="3" s="1"/>
  <c r="BQ68" i="3"/>
  <c r="BP68" i="3"/>
  <c r="BO68" i="3"/>
  <c r="BN68" i="3"/>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A63" i="3" s="1"/>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L52" i="3" s="1"/>
  <c r="BQ52" i="3"/>
  <c r="BP52" i="3"/>
  <c r="BO52" i="3"/>
  <c r="BN52" i="3"/>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A50" i="3" s="1"/>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A40" i="3" s="1"/>
  <c r="BF40" i="3"/>
  <c r="BE40" i="3"/>
  <c r="BD40" i="3"/>
  <c r="BC40" i="3"/>
  <c r="BB40" i="3"/>
  <c r="AX40" i="3"/>
  <c r="AW40" i="3"/>
  <c r="AV40" i="3"/>
  <c r="AC40" i="3"/>
  <c r="H40" i="3"/>
  <c r="G40" i="3" s="1"/>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A37" i="3" s="1"/>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A30" i="3" s="1"/>
  <c r="BF30" i="3"/>
  <c r="BE30" i="3"/>
  <c r="BD30" i="3"/>
  <c r="BC30" i="3"/>
  <c r="BB30" i="3"/>
  <c r="AX30" i="3"/>
  <c r="AW30" i="3"/>
  <c r="AV30" i="3"/>
  <c r="AC30" i="3"/>
  <c r="H30" i="3"/>
  <c r="G30" i="3" s="1"/>
  <c r="BT29" i="3"/>
  <c r="BS29" i="3"/>
  <c r="BR29" i="3"/>
  <c r="BL29" i="3" s="1"/>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s="1"/>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L199" i="3" s="1"/>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G194" i="3" s="1"/>
  <c r="H194" i="3"/>
  <c r="BT193" i="3"/>
  <c r="BS193" i="3"/>
  <c r="BR193" i="3"/>
  <c r="BL193" i="3" s="1"/>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L158" i="3" s="1"/>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A293" i="3" s="1"/>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A290" i="3" s="1"/>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AZ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A276" i="3" s="1"/>
  <c r="BD276" i="3"/>
  <c r="BC276" i="3"/>
  <c r="BB276" i="3"/>
  <c r="AX276" i="3"/>
  <c r="AW276" i="3"/>
  <c r="AV276" i="3"/>
  <c r="AC276" i="3"/>
  <c r="G276" i="3" s="1"/>
  <c r="H276" i="3"/>
  <c r="BT275" i="3"/>
  <c r="BS275" i="3"/>
  <c r="BR275" i="3"/>
  <c r="BQ275" i="3"/>
  <c r="BP275" i="3"/>
  <c r="BL275" i="3" s="1"/>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A253" i="3" s="1"/>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A397" i="3" s="1"/>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L492" i="3" s="1"/>
  <c r="BO492" i="3"/>
  <c r="BN492" i="3"/>
  <c r="BM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A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A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s="1"/>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A495" i="3" s="1"/>
  <c r="BJ495" i="3"/>
  <c r="BK495" i="3"/>
  <c r="BM495" i="3"/>
  <c r="BN495" i="3"/>
  <c r="BO495" i="3"/>
  <c r="BP495" i="3"/>
  <c r="BR495" i="3"/>
  <c r="BS495" i="3"/>
  <c r="BL495" i="3" s="1"/>
  <c r="BT495" i="3"/>
  <c r="H496" i="3"/>
  <c r="AC496" i="3"/>
  <c r="BB496" i="3"/>
  <c r="BC496" i="3"/>
  <c r="BD496" i="3"/>
  <c r="BE496" i="3"/>
  <c r="BF496" i="3"/>
  <c r="BA496" i="3" s="1"/>
  <c r="AZ496"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J5" i="3" s="1"/>
  <c r="BK497" i="3"/>
  <c r="BM497" i="3"/>
  <c r="BN497" i="3"/>
  <c r="BO497" i="3"/>
  <c r="BP497" i="3"/>
  <c r="BR497" i="3"/>
  <c r="BS497" i="3"/>
  <c r="BT497" i="3"/>
  <c r="BL497" i="3" s="1"/>
  <c r="H498" i="3"/>
  <c r="AC498" i="3"/>
  <c r="BB498" i="3"/>
  <c r="BC498" i="3"/>
  <c r="BD498" i="3"/>
  <c r="BE498" i="3"/>
  <c r="BF498" i="3"/>
  <c r="BG498" i="3"/>
  <c r="BG5" i="3" s="1"/>
  <c r="BH498" i="3"/>
  <c r="BI498" i="3"/>
  <c r="BJ498" i="3"/>
  <c r="BK498" i="3"/>
  <c r="BM498" i="3"/>
  <c r="BN498" i="3"/>
  <c r="BO498" i="3"/>
  <c r="BP498" i="3"/>
  <c r="BL498" i="3" s="1"/>
  <c r="BQ498" i="3"/>
  <c r="BR498" i="3"/>
  <c r="BS498" i="3"/>
  <c r="BT498" i="3"/>
  <c r="H499" i="3"/>
  <c r="AC499" i="3"/>
  <c r="BB499" i="3"/>
  <c r="BC499" i="3"/>
  <c r="BA499" i="3" s="1"/>
  <c r="BD499" i="3"/>
  <c r="BE499" i="3"/>
  <c r="BF499" i="3"/>
  <c r="BG499" i="3"/>
  <c r="BH499" i="3"/>
  <c r="BI499" i="3"/>
  <c r="BJ499" i="3"/>
  <c r="BK499" i="3"/>
  <c r="BK5" i="3" s="1"/>
  <c r="BM499" i="3"/>
  <c r="BN499" i="3"/>
  <c r="BO499" i="3"/>
  <c r="BP499" i="3"/>
  <c r="BR499" i="3"/>
  <c r="BS499" i="3"/>
  <c r="BT499" i="3"/>
  <c r="H500" i="3"/>
  <c r="G500" i="3" s="1"/>
  <c r="AC500" i="3"/>
  <c r="BB500" i="3"/>
  <c r="BC500" i="3"/>
  <c r="BD500" i="3"/>
  <c r="BE500" i="3"/>
  <c r="BF500" i="3"/>
  <c r="BG500" i="3"/>
  <c r="BH500" i="3"/>
  <c r="BA500" i="3" s="1"/>
  <c r="AZ500" i="3" s="1"/>
  <c r="BI500" i="3"/>
  <c r="BJ500" i="3"/>
  <c r="BK500" i="3"/>
  <c r="BM500" i="3"/>
  <c r="BN500" i="3"/>
  <c r="BO500" i="3"/>
  <c r="BP500" i="3"/>
  <c r="BQ500" i="3"/>
  <c r="BL500" i="3" s="1"/>
  <c r="BR500" i="3"/>
  <c r="BS500" i="3"/>
  <c r="BT500" i="3"/>
  <c r="H501" i="3"/>
  <c r="AC501" i="3"/>
  <c r="BB501" i="3"/>
  <c r="BC501" i="3"/>
  <c r="BD501" i="3"/>
  <c r="BA501" i="3" s="1"/>
  <c r="AZ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AZ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AZ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A509" i="3" s="1"/>
  <c r="AZ509" i="3" s="1"/>
  <c r="BJ509" i="3"/>
  <c r="BK509" i="3"/>
  <c r="BM509" i="3"/>
  <c r="BN509" i="3"/>
  <c r="BO509" i="3"/>
  <c r="BP509" i="3"/>
  <c r="BR509" i="3"/>
  <c r="BS509" i="3"/>
  <c r="BL509" i="3" s="1"/>
  <c r="BT509" i="3"/>
  <c r="H510" i="3"/>
  <c r="AC510" i="3"/>
  <c r="BB510" i="3"/>
  <c r="BC510" i="3"/>
  <c r="BD510" i="3"/>
  <c r="BE510" i="3"/>
  <c r="BF510" i="3"/>
  <c r="BA510" i="3" s="1"/>
  <c r="AZ510" i="3" s="1"/>
  <c r="BG510" i="3"/>
  <c r="BH510" i="3"/>
  <c r="BI510" i="3"/>
  <c r="BJ510" i="3"/>
  <c r="BK510" i="3"/>
  <c r="BM510" i="3"/>
  <c r="BN510" i="3"/>
  <c r="BO510" i="3"/>
  <c r="BL510" i="3" s="1"/>
  <c r="BP510" i="3"/>
  <c r="BQ510" i="3"/>
  <c r="BR510" i="3"/>
  <c r="BS510" i="3"/>
  <c r="BT510" i="3"/>
  <c r="H511" i="3"/>
  <c r="AC511" i="3"/>
  <c r="BB511" i="3"/>
  <c r="BA511" i="3" s="1"/>
  <c r="AZ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A512" i="3" s="1"/>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AZ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AZ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A523" i="3" s="1"/>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L526" i="3" s="1"/>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A530" i="3" s="1"/>
  <c r="AZ530" i="3" s="1"/>
  <c r="BJ530" i="3"/>
  <c r="BK530" i="3"/>
  <c r="BM530" i="3"/>
  <c r="BN530" i="3"/>
  <c r="BO530" i="3"/>
  <c r="BP530" i="3"/>
  <c r="BQ530" i="3"/>
  <c r="BR530" i="3"/>
  <c r="BL530" i="3" s="1"/>
  <c r="BS530" i="3"/>
  <c r="BT530" i="3"/>
  <c r="H531" i="3"/>
  <c r="AC531" i="3"/>
  <c r="BB531" i="3"/>
  <c r="BC531" i="3"/>
  <c r="BD531" i="3"/>
  <c r="BE531" i="3"/>
  <c r="BA531" i="3" s="1"/>
  <c r="BF531" i="3"/>
  <c r="BG531" i="3"/>
  <c r="BH531" i="3"/>
  <c r="BI531" i="3"/>
  <c r="BJ531" i="3"/>
  <c r="BK531" i="3"/>
  <c r="BM531" i="3"/>
  <c r="BN531" i="3"/>
  <c r="BL531" i="3" s="1"/>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L535" i="3" s="1"/>
  <c r="BR535" i="3"/>
  <c r="BS535" i="3"/>
  <c r="BT535" i="3"/>
  <c r="H536" i="3"/>
  <c r="AC536" i="3"/>
  <c r="BB536" i="3"/>
  <c r="BC536" i="3"/>
  <c r="BD536" i="3"/>
  <c r="BA536" i="3" s="1"/>
  <c r="AZ536" i="3" s="1"/>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A537" i="3" s="1"/>
  <c r="AZ537" i="3" s="1"/>
  <c r="BI537" i="3"/>
  <c r="BJ537" i="3"/>
  <c r="BK537" i="3"/>
  <c r="BM537" i="3"/>
  <c r="BN537" i="3"/>
  <c r="BO537" i="3"/>
  <c r="BP537" i="3"/>
  <c r="BR537" i="3"/>
  <c r="BL537" i="3" s="1"/>
  <c r="BS537" i="3"/>
  <c r="BT537" i="3"/>
  <c r="H538" i="3"/>
  <c r="AC538" i="3"/>
  <c r="BB538" i="3"/>
  <c r="BC538" i="3"/>
  <c r="BD538" i="3"/>
  <c r="BE538" i="3"/>
  <c r="BA538" i="3" s="1"/>
  <c r="AZ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BL541" i="3" s="1"/>
  <c r="H542" i="3"/>
  <c r="AC542" i="3"/>
  <c r="G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A548" i="3" s="1"/>
  <c r="AZ548" i="3" s="1"/>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L553" i="3" s="1"/>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A555" i="3" s="1"/>
  <c r="BH555" i="3"/>
  <c r="BI555" i="3"/>
  <c r="BJ555" i="3"/>
  <c r="BK555" i="3"/>
  <c r="BM555" i="3"/>
  <c r="BN555" i="3"/>
  <c r="BO555" i="3"/>
  <c r="BP555" i="3"/>
  <c r="BL555" i="3" s="1"/>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AZ557" i="3" s="1"/>
  <c r="BJ557" i="3"/>
  <c r="BK557" i="3"/>
  <c r="BM557" i="3"/>
  <c r="BN557" i="3"/>
  <c r="BO557" i="3"/>
  <c r="BP557" i="3"/>
  <c r="BR557" i="3"/>
  <c r="BS557" i="3"/>
  <c r="BT557" i="3"/>
  <c r="H558" i="3"/>
  <c r="AC558" i="3"/>
  <c r="G558" i="3"/>
  <c r="BB558" i="3"/>
  <c r="BC558" i="3"/>
  <c r="BD558" i="3"/>
  <c r="BE558" i="3"/>
  <c r="BA558" i="3" s="1"/>
  <c r="AZ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BL561" i="3" s="1"/>
  <c r="H562" i="3"/>
  <c r="G562" i="3" s="1"/>
  <c r="AC562" i="3"/>
  <c r="BB562" i="3"/>
  <c r="BC562" i="3"/>
  <c r="BD562" i="3"/>
  <c r="BE562" i="3"/>
  <c r="BF562" i="3"/>
  <c r="BG562" i="3"/>
  <c r="BA562" i="3" s="1"/>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L564" i="3" s="1"/>
  <c r="BR564" i="3"/>
  <c r="BS564" i="3"/>
  <c r="BT564" i="3"/>
  <c r="H565" i="3"/>
  <c r="AC565" i="3"/>
  <c r="BB565" i="3"/>
  <c r="BC565" i="3"/>
  <c r="BD565" i="3"/>
  <c r="BE565" i="3"/>
  <c r="BF565" i="3"/>
  <c r="BG565" i="3"/>
  <c r="BH565" i="3"/>
  <c r="BI565" i="3"/>
  <c r="BJ565" i="3"/>
  <c r="BK565" i="3"/>
  <c r="BM565" i="3"/>
  <c r="BL565" i="3" s="1"/>
  <c r="AZ565" i="3" s="1"/>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c r="J87" i="35" s="1"/>
  <c r="K87" i="35" s="1"/>
  <c r="L87" i="35"/>
  <c r="M87" i="35" s="1"/>
  <c r="H34" i="37"/>
  <c r="D101" i="37"/>
  <c r="F34" i="37"/>
  <c r="D99" i="37"/>
  <c r="E99" i="37" s="1"/>
  <c r="F99" i="37" s="1"/>
  <c r="G99" i="37"/>
  <c r="H99" i="37" s="1"/>
  <c r="I99" i="37" s="1"/>
  <c r="J99" i="37" s="1"/>
  <c r="K99" i="37" s="1"/>
  <c r="L99" i="37" s="1"/>
  <c r="M99" i="37" s="1"/>
  <c r="H42" i="34"/>
  <c r="J42" i="34"/>
  <c r="W42" i="34"/>
  <c r="F42" i="34"/>
  <c r="J38" i="34"/>
  <c r="W38" i="34" s="1"/>
  <c r="D114" i="34"/>
  <c r="F38" i="34"/>
  <c r="S38" i="34"/>
  <c r="D112" i="34"/>
  <c r="E112" i="34"/>
  <c r="F112" i="34"/>
  <c r="G112" i="34" s="1"/>
  <c r="H112" i="34" s="1"/>
  <c r="I112" i="34" s="1"/>
  <c r="J112" i="34" s="1"/>
  <c r="K112" i="34" s="1"/>
  <c r="L112" i="34" s="1"/>
  <c r="M112" i="34" s="1"/>
  <c r="F40" i="33"/>
  <c r="J41" i="33"/>
  <c r="D113" i="33"/>
  <c r="F37" i="33"/>
  <c r="D111" i="33"/>
  <c r="E111" i="33"/>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B116" i="40"/>
  <c r="F38" i="40"/>
  <c r="D115" i="40"/>
  <c r="E115" i="40"/>
  <c r="F115" i="40" s="1"/>
  <c r="G115" i="40"/>
  <c r="H115" i="40" s="1"/>
  <c r="I115" i="40" s="1"/>
  <c r="J115" i="40" s="1"/>
  <c r="K115" i="40" s="1"/>
  <c r="L115" i="40" s="1"/>
  <c r="M115" i="40" s="1"/>
  <c r="D113" i="40"/>
  <c r="E113" i="40"/>
  <c r="F113" i="40" s="1"/>
  <c r="G113" i="40" s="1"/>
  <c r="H113" i="40"/>
  <c r="I113" i="40" s="1"/>
  <c r="J113" i="40" s="1"/>
  <c r="K113" i="40"/>
  <c r="L113" i="40" s="1"/>
  <c r="M113" i="40" s="1"/>
  <c r="D111" i="40"/>
  <c r="E111" i="40"/>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s="1"/>
  <c r="F92" i="40"/>
  <c r="G92" i="40" s="1"/>
  <c r="D90" i="40"/>
  <c r="E90" i="40"/>
  <c r="F90" i="40" s="1"/>
  <c r="G90" i="40" s="1"/>
  <c r="D88" i="40"/>
  <c r="E88" i="40" s="1"/>
  <c r="D86" i="40"/>
  <c r="E86" i="40" s="1"/>
  <c r="F86" i="40" s="1"/>
  <c r="G86" i="40"/>
  <c r="D84" i="40"/>
  <c r="E84" i="40"/>
  <c r="F84" i="40"/>
  <c r="G84" i="40" s="1"/>
  <c r="B81" i="40"/>
  <c r="H14" i="40" s="1"/>
  <c r="U14" i="40" s="1"/>
  <c r="B79" i="40"/>
  <c r="B77" i="40"/>
  <c r="J12" i="40"/>
  <c r="M74" i="40"/>
  <c r="L74" i="40"/>
  <c r="K74" i="40"/>
  <c r="J74" i="40"/>
  <c r="I74" i="40"/>
  <c r="H74" i="40"/>
  <c r="G74" i="40"/>
  <c r="F74" i="40"/>
  <c r="E74" i="40"/>
  <c r="D74" i="40"/>
  <c r="C74" i="40"/>
  <c r="P43" i="40"/>
  <c r="P42" i="40"/>
  <c r="V41" i="40"/>
  <c r="T41" i="40"/>
  <c r="R41" i="40"/>
  <c r="P41" i="40"/>
  <c r="Q40" i="40"/>
  <c r="Z40" i="40"/>
  <c r="J40" i="40"/>
  <c r="W40" i="40"/>
  <c r="F40" i="40"/>
  <c r="AA40" i="40" s="1"/>
  <c r="Q39" i="40"/>
  <c r="Z39" i="40"/>
  <c r="Q38" i="40"/>
  <c r="Z38" i="40"/>
  <c r="J38" i="40"/>
  <c r="AC38" i="40" s="1"/>
  <c r="H38" i="40"/>
  <c r="AB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c r="Q15" i="40"/>
  <c r="Z15" i="40"/>
  <c r="Q14" i="40"/>
  <c r="Z14" i="40" s="1"/>
  <c r="Q13" i="40"/>
  <c r="Z13" i="40"/>
  <c r="Q12" i="40"/>
  <c r="Z12" i="40"/>
  <c r="Q11" i="40"/>
  <c r="Z11" i="40"/>
  <c r="Q10" i="40"/>
  <c r="Z10" i="40" s="1"/>
  <c r="Q9" i="40"/>
  <c r="Z9" i="40"/>
  <c r="J9" i="40"/>
  <c r="W9" i="40"/>
  <c r="H9" i="40"/>
  <c r="AB9" i="40"/>
  <c r="F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H38" i="37" s="1"/>
  <c r="AB38" i="37" s="1"/>
  <c r="C23" i="37"/>
  <c r="C19" i="37"/>
  <c r="C17" i="37"/>
  <c r="C15" i="37"/>
  <c r="B112" i="37"/>
  <c r="D107" i="37"/>
  <c r="E107" i="37" s="1"/>
  <c r="F107" i="37" s="1"/>
  <c r="G107" i="37" s="1"/>
  <c r="H107" i="37" s="1"/>
  <c r="I107" i="37" s="1"/>
  <c r="J107" i="37" s="1"/>
  <c r="K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H28" i="37" s="1"/>
  <c r="U28" i="37" s="1"/>
  <c r="B84" i="37"/>
  <c r="H27" i="37"/>
  <c r="U27" i="37"/>
  <c r="B82" i="37"/>
  <c r="D79" i="37"/>
  <c r="E79" i="37"/>
  <c r="D75" i="37"/>
  <c r="E75" i="37"/>
  <c r="F75" i="37" s="1"/>
  <c r="D73" i="37"/>
  <c r="E73" i="37"/>
  <c r="F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c r="J31" i="37"/>
  <c r="AC31" i="37"/>
  <c r="Q30" i="37"/>
  <c r="Z30" i="37" s="1"/>
  <c r="J30" i="37"/>
  <c r="H30" i="37"/>
  <c r="AB30" i="37" s="1"/>
  <c r="F30" i="37"/>
  <c r="AA30" i="37" s="1"/>
  <c r="Q29" i="37"/>
  <c r="Z29" i="37" s="1"/>
  <c r="H29" i="37"/>
  <c r="AB29" i="37"/>
  <c r="Q28" i="37"/>
  <c r="Z28" i="37"/>
  <c r="Q27" i="37"/>
  <c r="Z27" i="37"/>
  <c r="Q26" i="37"/>
  <c r="Z26" i="37" s="1"/>
  <c r="J26" i="37"/>
  <c r="AC26" i="37"/>
  <c r="H26" i="37"/>
  <c r="AB26" i="37"/>
  <c r="F26" i="37"/>
  <c r="AA26" i="37"/>
  <c r="Q25" i="37"/>
  <c r="Z25" i="37" s="1"/>
  <c r="J25" i="37"/>
  <c r="AC25" i="37"/>
  <c r="F25" i="37"/>
  <c r="AA25" i="37"/>
  <c r="Q23" i="37"/>
  <c r="Z23" i="37"/>
  <c r="Q19" i="37"/>
  <c r="Z19" i="37" s="1"/>
  <c r="Q17" i="37"/>
  <c r="Z17" i="37"/>
  <c r="Q15" i="37"/>
  <c r="Z15" i="37"/>
  <c r="Q14" i="37"/>
  <c r="Z14" i="37"/>
  <c r="Q13" i="37"/>
  <c r="Z13" i="37" s="1"/>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c r="J81" i="36" s="1"/>
  <c r="K81" i="36"/>
  <c r="L81" i="36" s="1"/>
  <c r="M81" i="36" s="1"/>
  <c r="F79" i="36"/>
  <c r="E79" i="36"/>
  <c r="D79" i="36"/>
  <c r="C79" i="36"/>
  <c r="B93" i="36"/>
  <c r="H33" i="36"/>
  <c r="B91" i="36"/>
  <c r="F32" i="36"/>
  <c r="B95" i="36"/>
  <c r="H34" i="36" s="1"/>
  <c r="D83" i="36"/>
  <c r="E83" i="36"/>
  <c r="F83" i="36" s="1"/>
  <c r="G83" i="36"/>
  <c r="H83" i="36" s="1"/>
  <c r="I83" i="36" s="1"/>
  <c r="J83" i="36"/>
  <c r="K83" i="36" s="1"/>
  <c r="L83" i="36" s="1"/>
  <c r="M83" i="36" s="1"/>
  <c r="D78" i="36"/>
  <c r="E78" i="36"/>
  <c r="F78" i="36" s="1"/>
  <c r="G78" i="36" s="1"/>
  <c r="H78" i="36" s="1"/>
  <c r="I78" i="36" s="1"/>
  <c r="J78" i="36" s="1"/>
  <c r="K78" i="36"/>
  <c r="L78" i="36" s="1"/>
  <c r="M78" i="36" s="1"/>
  <c r="B75" i="36"/>
  <c r="B73" i="36"/>
  <c r="H24" i="36" s="1"/>
  <c r="AB24" i="36" s="1"/>
  <c r="J24" i="36"/>
  <c r="AC24" i="36" s="1"/>
  <c r="B71" i="36"/>
  <c r="H23" i="36" s="1"/>
  <c r="AB23" i="36" s="1"/>
  <c r="D70" i="36"/>
  <c r="H22" i="36"/>
  <c r="AB22" i="36"/>
  <c r="D68" i="36"/>
  <c r="E68" i="36"/>
  <c r="F68" i="36"/>
  <c r="G68" i="36" s="1"/>
  <c r="D64" i="36"/>
  <c r="E64" i="36"/>
  <c r="F64" i="36" s="1"/>
  <c r="G64" i="36"/>
  <c r="J16" i="36"/>
  <c r="W16" i="36"/>
  <c r="D62" i="36"/>
  <c r="E62" i="36" s="1"/>
  <c r="F62" i="36" s="1"/>
  <c r="G62" i="36"/>
  <c r="B59" i="36"/>
  <c r="B57" i="36"/>
  <c r="B55" i="36"/>
  <c r="C51" i="36"/>
  <c r="P37" i="36"/>
  <c r="P36" i="36"/>
  <c r="V35" i="36"/>
  <c r="T35" i="36"/>
  <c r="R35" i="36"/>
  <c r="P35" i="36"/>
  <c r="Q34" i="36"/>
  <c r="Z34" i="36"/>
  <c r="Q33" i="36"/>
  <c r="Z33" i="36"/>
  <c r="Q32" i="36"/>
  <c r="Z32" i="36" s="1"/>
  <c r="Q31" i="36"/>
  <c r="Z31" i="36" s="1"/>
  <c r="Q30" i="36"/>
  <c r="Z30" i="36"/>
  <c r="Q29" i="36"/>
  <c r="Z29" i="36"/>
  <c r="Q28" i="36"/>
  <c r="Z28" i="36"/>
  <c r="J28" i="36"/>
  <c r="AC28" i="36" s="1"/>
  <c r="Q27" i="36"/>
  <c r="Z27" i="36"/>
  <c r="Q26" i="36"/>
  <c r="Z26" i="36"/>
  <c r="H26" i="36"/>
  <c r="AB26" i="36" s="1"/>
  <c r="Q25" i="36"/>
  <c r="Z25" i="36" s="1"/>
  <c r="Q24" i="36"/>
  <c r="Z24" i="36"/>
  <c r="Q23" i="36"/>
  <c r="Z23" i="36" s="1"/>
  <c r="J23" i="36"/>
  <c r="AC23" i="36" s="1"/>
  <c r="Q22" i="36"/>
  <c r="Z22" i="36" s="1"/>
  <c r="J22" i="36"/>
  <c r="AC22" i="36" s="1"/>
  <c r="Q20" i="36"/>
  <c r="Z20" i="36"/>
  <c r="Q16" i="36"/>
  <c r="Z16" i="36"/>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F36" i="35" s="1"/>
  <c r="B99" i="35"/>
  <c r="H35" i="35" s="1"/>
  <c r="AB35" i="35" s="1"/>
  <c r="B97" i="35"/>
  <c r="J34" i="35" s="1"/>
  <c r="B77" i="35"/>
  <c r="B75" i="35"/>
  <c r="J24" i="35" s="1"/>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c r="D70" i="35"/>
  <c r="E70" i="35"/>
  <c r="F70" i="35"/>
  <c r="G70" i="35" s="1"/>
  <c r="D66" i="35"/>
  <c r="E66" i="35" s="1"/>
  <c r="F66" i="35" s="1"/>
  <c r="G66" i="35"/>
  <c r="D64" i="35"/>
  <c r="E64" i="35"/>
  <c r="F64" i="35"/>
  <c r="G64" i="35" s="1"/>
  <c r="J14" i="35"/>
  <c r="W14" i="35" s="1"/>
  <c r="C53" i="35"/>
  <c r="J9" i="35"/>
  <c r="P39" i="35"/>
  <c r="P38" i="35"/>
  <c r="V37" i="35"/>
  <c r="T37" i="35"/>
  <c r="R37" i="35"/>
  <c r="P37" i="35"/>
  <c r="Q36" i="35"/>
  <c r="Z36" i="35"/>
  <c r="Q35" i="35"/>
  <c r="Z35" i="35" s="1"/>
  <c r="Q34" i="35"/>
  <c r="Z34" i="35" s="1"/>
  <c r="AC34" i="35"/>
  <c r="F34" i="35"/>
  <c r="Q33" i="35"/>
  <c r="Z33" i="35" s="1"/>
  <c r="Q32" i="35"/>
  <c r="Z32" i="35"/>
  <c r="H32" i="35"/>
  <c r="AB32" i="35" s="1"/>
  <c r="F32" i="35"/>
  <c r="AA32" i="35" s="1"/>
  <c r="Q31" i="35"/>
  <c r="Z31" i="35" s="1"/>
  <c r="AC31" i="35"/>
  <c r="AB31" i="35"/>
  <c r="Q30" i="35"/>
  <c r="Z30" i="35" s="1"/>
  <c r="Q29" i="35"/>
  <c r="Z29" i="35"/>
  <c r="Q28" i="35"/>
  <c r="Z28" i="35"/>
  <c r="J28" i="35"/>
  <c r="AC28" i="35" s="1"/>
  <c r="H28" i="35"/>
  <c r="AB28" i="35" s="1"/>
  <c r="F28" i="35"/>
  <c r="AA28" i="35"/>
  <c r="Q27" i="35"/>
  <c r="Z27" i="35"/>
  <c r="Q26" i="35"/>
  <c r="Z26" i="35" s="1"/>
  <c r="Q25" i="35"/>
  <c r="Z25" i="35" s="1"/>
  <c r="Q24" i="35"/>
  <c r="Z24" i="35"/>
  <c r="Q23" i="35"/>
  <c r="Z23" i="35"/>
  <c r="J23" i="35"/>
  <c r="AC23" i="35" s="1"/>
  <c r="Q22" i="35"/>
  <c r="Z22" i="35" s="1"/>
  <c r="Q20" i="35"/>
  <c r="Z20" i="35"/>
  <c r="Q16" i="35"/>
  <c r="Z16" i="35"/>
  <c r="Q14" i="35"/>
  <c r="Z14" i="35" s="1"/>
  <c r="Q13" i="35"/>
  <c r="Z13" i="35" s="1"/>
  <c r="Q12" i="35"/>
  <c r="Z12" i="35"/>
  <c r="J12" i="35"/>
  <c r="W12" i="35" s="1"/>
  <c r="H12" i="35"/>
  <c r="U12" i="35" s="1"/>
  <c r="F12" i="35"/>
  <c r="S12" i="35" s="1"/>
  <c r="Q11" i="35"/>
  <c r="Z11" i="35"/>
  <c r="Q10" i="35"/>
  <c r="Z10" i="35"/>
  <c r="Q9" i="35"/>
  <c r="Z9" i="35" s="1"/>
  <c r="J8" i="35"/>
  <c r="W8" i="35" s="1"/>
  <c r="H8" i="35"/>
  <c r="AB8" i="35" s="1"/>
  <c r="F8" i="35"/>
  <c r="AA8" i="35" s="1"/>
  <c r="D120" i="34"/>
  <c r="E120" i="34" s="1"/>
  <c r="F120" i="34" s="1"/>
  <c r="G120" i="34"/>
  <c r="H120" i="34" s="1"/>
  <c r="I120" i="34"/>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c r="F124" i="34"/>
  <c r="G124" i="34" s="1"/>
  <c r="H124" i="34"/>
  <c r="I124" i="34" s="1"/>
  <c r="J124" i="34" s="1"/>
  <c r="K124" i="34" s="1"/>
  <c r="L124" i="34" s="1"/>
  <c r="M124" i="34" s="1"/>
  <c r="H43" i="34"/>
  <c r="AB43" i="34" s="1"/>
  <c r="D118" i="34"/>
  <c r="E118" i="34" s="1"/>
  <c r="F118" i="34" s="1"/>
  <c r="G118" i="34" s="1"/>
  <c r="D116" i="34"/>
  <c r="E116" i="34"/>
  <c r="F116" i="34"/>
  <c r="G116" i="34" s="1"/>
  <c r="H116" i="34"/>
  <c r="I116" i="34" s="1"/>
  <c r="J116" i="34" s="1"/>
  <c r="K116" i="34" s="1"/>
  <c r="L116" i="34" s="1"/>
  <c r="M116" i="34" s="1"/>
  <c r="F110" i="34"/>
  <c r="E110" i="34"/>
  <c r="D110" i="34"/>
  <c r="C110" i="34"/>
  <c r="D109" i="34"/>
  <c r="E109" i="34"/>
  <c r="F109" i="34" s="1"/>
  <c r="G109" i="34" s="1"/>
  <c r="H109" i="34"/>
  <c r="I109" i="34" s="1"/>
  <c r="J109" i="34" s="1"/>
  <c r="K109" i="34" s="1"/>
  <c r="L109" i="34" s="1"/>
  <c r="M109" i="34"/>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c r="F88" i="34" s="1"/>
  <c r="G88" i="34" s="1"/>
  <c r="H88" i="34" s="1"/>
  <c r="I88" i="34" s="1"/>
  <c r="J88" i="34"/>
  <c r="K88" i="34" s="1"/>
  <c r="L88" i="34" s="1"/>
  <c r="M88" i="34"/>
  <c r="D86" i="34"/>
  <c r="E86" i="34"/>
  <c r="F86" i="34"/>
  <c r="G86" i="34" s="1"/>
  <c r="D82" i="34"/>
  <c r="E82" i="34" s="1"/>
  <c r="F82" i="34" s="1"/>
  <c r="G82" i="34"/>
  <c r="D80" i="34"/>
  <c r="E80" i="34"/>
  <c r="F80" i="34"/>
  <c r="G80" i="34" s="1"/>
  <c r="D78" i="34"/>
  <c r="E78" i="34" s="1"/>
  <c r="F78" i="34" s="1"/>
  <c r="G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s="1"/>
  <c r="Q43" i="34"/>
  <c r="Z43" i="34" s="1"/>
  <c r="Q42" i="34"/>
  <c r="Z42" i="34"/>
  <c r="Q41" i="34"/>
  <c r="Z41" i="34"/>
  <c r="Q40" i="34"/>
  <c r="Z40" i="34" s="1"/>
  <c r="Q39" i="34"/>
  <c r="Z39" i="34" s="1"/>
  <c r="H39" i="34"/>
  <c r="AB39" i="34"/>
  <c r="Q38" i="34"/>
  <c r="Z38" i="34"/>
  <c r="Q37" i="34"/>
  <c r="Z37" i="34" s="1"/>
  <c r="Q36" i="34"/>
  <c r="Z36" i="34" s="1"/>
  <c r="Q35" i="34"/>
  <c r="Z35" i="34"/>
  <c r="Q34" i="34"/>
  <c r="Z34" i="34"/>
  <c r="J34" i="34"/>
  <c r="AC34" i="34" s="1"/>
  <c r="H34" i="34"/>
  <c r="AB34" i="34" s="1"/>
  <c r="F34" i="34"/>
  <c r="AA34" i="34" s="1"/>
  <c r="Q33" i="34"/>
  <c r="Z33" i="34" s="1"/>
  <c r="Q32" i="34"/>
  <c r="Z32" i="34" s="1"/>
  <c r="Q31" i="34"/>
  <c r="Z31" i="34"/>
  <c r="Q30" i="34"/>
  <c r="Z30" i="34"/>
  <c r="Q29" i="34"/>
  <c r="Z29" i="34" s="1"/>
  <c r="Q28" i="34"/>
  <c r="Z28" i="34" s="1"/>
  <c r="Q27" i="34"/>
  <c r="Z27" i="34"/>
  <c r="Q25" i="34"/>
  <c r="Z25" i="34"/>
  <c r="Q23" i="34"/>
  <c r="Z23" i="34" s="1"/>
  <c r="C23" i="34"/>
  <c r="Q19" i="34"/>
  <c r="Z19" i="34"/>
  <c r="C19" i="34"/>
  <c r="Q17" i="34"/>
  <c r="Z17" i="34"/>
  <c r="C17" i="34"/>
  <c r="Q15" i="34"/>
  <c r="Z15" i="34"/>
  <c r="Q14" i="34"/>
  <c r="Z14" i="34"/>
  <c r="Q13" i="34"/>
  <c r="Z13" i="34" s="1"/>
  <c r="Q12" i="34"/>
  <c r="Z12" i="34" s="1"/>
  <c r="H12" i="34"/>
  <c r="Q11" i="34"/>
  <c r="Z11" i="34"/>
  <c r="Q10" i="34"/>
  <c r="Z10" i="34"/>
  <c r="F10" i="34"/>
  <c r="AA10" i="34" s="1"/>
  <c r="Q9" i="34"/>
  <c r="Z9" i="34"/>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c r="D115" i="33"/>
  <c r="E115" i="33"/>
  <c r="F115" i="33" s="1"/>
  <c r="G115" i="33" s="1"/>
  <c r="H115" i="33"/>
  <c r="I115" i="33" s="1"/>
  <c r="J115" i="33" s="1"/>
  <c r="K115" i="33"/>
  <c r="L115" i="33" s="1"/>
  <c r="M115" i="33"/>
  <c r="D108" i="33"/>
  <c r="E108" i="33" s="1"/>
  <c r="F108" i="33"/>
  <c r="G108" i="33" s="1"/>
  <c r="H108" i="33" s="1"/>
  <c r="I108" i="33" s="1"/>
  <c r="J108" i="33" s="1"/>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D77" i="33"/>
  <c r="E77" i="33"/>
  <c r="F77" i="33" s="1"/>
  <c r="G77" i="33" s="1"/>
  <c r="D69" i="33"/>
  <c r="E69" i="33" s="1"/>
  <c r="F69" i="33"/>
  <c r="G69" i="33" s="1"/>
  <c r="H69" i="33" s="1"/>
  <c r="I69" i="33"/>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c r="Q42" i="33"/>
  <c r="Z42" i="33"/>
  <c r="J42" i="33"/>
  <c r="AC42" i="33" s="1"/>
  <c r="AC41" i="33"/>
  <c r="W41" i="33"/>
  <c r="Q41" i="33"/>
  <c r="Z41" i="33" s="1"/>
  <c r="Q40" i="33"/>
  <c r="Z40" i="33"/>
  <c r="J40" i="33"/>
  <c r="AC40" i="33" s="1"/>
  <c r="H40" i="33"/>
  <c r="AB40" i="33" s="1"/>
  <c r="Q39" i="33"/>
  <c r="Z39" i="33" s="1"/>
  <c r="J39" i="33"/>
  <c r="Q38" i="33"/>
  <c r="Z38" i="33"/>
  <c r="J38" i="33"/>
  <c r="AC38" i="33"/>
  <c r="H38" i="33"/>
  <c r="AB38" i="33" s="1"/>
  <c r="F38" i="33"/>
  <c r="AA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s="1"/>
  <c r="Q27" i="33"/>
  <c r="Z27" i="33" s="1"/>
  <c r="Q26" i="33"/>
  <c r="Z26" i="33"/>
  <c r="Q25" i="33"/>
  <c r="Z25" i="33"/>
  <c r="Q23" i="33"/>
  <c r="Z23" i="33" s="1"/>
  <c r="Q19" i="33"/>
  <c r="Z19" i="33" s="1"/>
  <c r="Q17" i="33"/>
  <c r="Z17" i="33" s="1"/>
  <c r="Q15" i="33"/>
  <c r="Z15" i="33"/>
  <c r="F15" i="33"/>
  <c r="AA15" i="33" s="1"/>
  <c r="Q14" i="33"/>
  <c r="Z14" i="33" s="1"/>
  <c r="Q13" i="33"/>
  <c r="Z13" i="33" s="1"/>
  <c r="Q12" i="33"/>
  <c r="Z12" i="33"/>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B87" i="43"/>
  <c r="G16" i="20"/>
  <c r="B84" i="43"/>
  <c r="G15" i="20"/>
  <c r="C24" i="20"/>
  <c r="C21" i="20"/>
  <c r="B76" i="43"/>
  <c r="C20" i="20"/>
  <c r="C18" i="20"/>
  <c r="B73" i="43"/>
  <c r="C17" i="20"/>
  <c r="C16" i="20"/>
  <c r="C17" i="39" s="1"/>
  <c r="C15" i="20"/>
  <c r="B72" i="43"/>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D119" i="21"/>
  <c r="F40" i="21"/>
  <c r="AA40" i="21" s="1"/>
  <c r="D117" i="21"/>
  <c r="E117" i="21"/>
  <c r="F117" i="21" s="1"/>
  <c r="G117" i="2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c r="G108" i="21" s="1"/>
  <c r="H108" i="21" s="1"/>
  <c r="I108" i="21"/>
  <c r="J108" i="21" s="1"/>
  <c r="K108" i="21" s="1"/>
  <c r="L108" i="21" s="1"/>
  <c r="M108" i="21" s="1"/>
  <c r="D106" i="21"/>
  <c r="E106" i="21" s="1"/>
  <c r="F106" i="21" s="1"/>
  <c r="G106" i="21" s="1"/>
  <c r="H106" i="21" s="1"/>
  <c r="I106" i="21" s="1"/>
  <c r="J106" i="21" s="1"/>
  <c r="K106" i="21" s="1"/>
  <c r="L106" i="21"/>
  <c r="M106" i="21" s="1"/>
  <c r="D101" i="21"/>
  <c r="E101" i="21" s="1"/>
  <c r="F101" i="21" s="1"/>
  <c r="G101" i="21"/>
  <c r="H101" i="21" s="1"/>
  <c r="I101" i="21" s="1"/>
  <c r="J101" i="21" s="1"/>
  <c r="K101" i="21" s="1"/>
  <c r="L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s="1"/>
  <c r="F79" i="21" s="1"/>
  <c r="G79" i="21"/>
  <c r="D85" i="21"/>
  <c r="F19" i="21"/>
  <c r="AA19" i="21" s="1"/>
  <c r="E81" i="21"/>
  <c r="F81" i="21"/>
  <c r="G81" i="21"/>
  <c r="D77" i="21"/>
  <c r="E77" i="21"/>
  <c r="B130" i="21"/>
  <c r="B128" i="21"/>
  <c r="J45" i="21" s="1"/>
  <c r="W45" i="21" s="1"/>
  <c r="B126" i="21"/>
  <c r="B98" i="21"/>
  <c r="H31" i="21" s="1"/>
  <c r="B96" i="21"/>
  <c r="B94" i="21"/>
  <c r="J29" i="21"/>
  <c r="AC29" i="21" s="1"/>
  <c r="B92" i="21"/>
  <c r="B90" i="21"/>
  <c r="J27" i="21" s="1"/>
  <c r="W27" i="21" s="1"/>
  <c r="B74" i="21"/>
  <c r="J14" i="21" s="1"/>
  <c r="B72" i="21"/>
  <c r="H13" i="21"/>
  <c r="B70" i="21"/>
  <c r="C19" i="21"/>
  <c r="C17" i="21"/>
  <c r="C23" i="21"/>
  <c r="Q9" i="21"/>
  <c r="Z9" i="21" s="1"/>
  <c r="Q10" i="21"/>
  <c r="Z10" i="21"/>
  <c r="Q11" i="21"/>
  <c r="Z11" i="21"/>
  <c r="Q12" i="21"/>
  <c r="Z12" i="21" s="1"/>
  <c r="Q13" i="21"/>
  <c r="Z13" i="21" s="1"/>
  <c r="Q14" i="21"/>
  <c r="Z14" i="21" s="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c r="J39" i="21"/>
  <c r="AC39" i="21"/>
  <c r="Q39" i="21"/>
  <c r="Z39" i="21" s="1"/>
  <c r="H40" i="21"/>
  <c r="AB40" i="21" s="1"/>
  <c r="Q40" i="21"/>
  <c r="Z40" i="2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G19" i="6" s="1"/>
  <c r="F38"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D42" i="43" s="1"/>
  <c r="D1" i="43" s="1"/>
  <c r="N5" i="3"/>
  <c r="P5" i="3"/>
  <c r="Q5" i="3"/>
  <c r="R5" i="3"/>
  <c r="T5" i="3"/>
  <c r="U5" i="3"/>
  <c r="V5" i="3"/>
  <c r="W5" i="3"/>
  <c r="X5" i="3"/>
  <c r="Y5" i="3"/>
  <c r="Z5" i="3"/>
  <c r="AA5" i="3"/>
  <c r="AB5" i="3"/>
  <c r="H585" i="3"/>
  <c r="H586" i="3"/>
  <c r="G586" i="3" s="1"/>
  <c r="H587" i="3"/>
  <c r="G587" i="3"/>
  <c r="F5" i="3"/>
  <c r="F34" i="21"/>
  <c r="AA34" i="21" s="1"/>
  <c r="H34" i="21"/>
  <c r="AB34" i="21"/>
  <c r="F43" i="21"/>
  <c r="S43" i="21" s="1"/>
  <c r="H38" i="21"/>
  <c r="U38" i="21"/>
  <c r="H43" i="21"/>
  <c r="AB43" i="21" s="1"/>
  <c r="F38" i="21"/>
  <c r="F36" i="21"/>
  <c r="S36" i="21"/>
  <c r="F39" i="21"/>
  <c r="AA39" i="21"/>
  <c r="J40" i="21"/>
  <c r="W40" i="21" s="1"/>
  <c r="H35" i="21"/>
  <c r="AB35" i="21"/>
  <c r="J8" i="21"/>
  <c r="AC8" i="21" s="1"/>
  <c r="H8" i="21"/>
  <c r="U8" i="21" s="1"/>
  <c r="H10" i="21"/>
  <c r="AB10" i="21" s="1"/>
  <c r="H39" i="21"/>
  <c r="U39" i="21"/>
  <c r="J34" i="21"/>
  <c r="W34" i="21"/>
  <c r="H36" i="21"/>
  <c r="U36" i="21" s="1"/>
  <c r="F35" i="21"/>
  <c r="AA35" i="21"/>
  <c r="J10" i="21"/>
  <c r="AC10" i="21" s="1"/>
  <c r="H26" i="21"/>
  <c r="AB19" i="21"/>
  <c r="J19" i="21"/>
  <c r="W19" i="21"/>
  <c r="J26" i="21"/>
  <c r="W26" i="21"/>
  <c r="F26" i="21"/>
  <c r="S26" i="21"/>
  <c r="AB41" i="21"/>
  <c r="S41" i="21"/>
  <c r="AA41" i="21"/>
  <c r="F45" i="39"/>
  <c r="S45" i="39"/>
  <c r="J45" i="39"/>
  <c r="W45" i="39" s="1"/>
  <c r="F36" i="39"/>
  <c r="S36" i="39"/>
  <c r="H36" i="39"/>
  <c r="AB36" i="39"/>
  <c r="J35" i="39"/>
  <c r="AC35" i="39" s="1"/>
  <c r="F35" i="39"/>
  <c r="AA35" i="39"/>
  <c r="J36" i="39"/>
  <c r="U9" i="39"/>
  <c r="W40" i="39"/>
  <c r="W25" i="37"/>
  <c r="U30" i="37"/>
  <c r="W31" i="37"/>
  <c r="E103" i="37"/>
  <c r="F103" i="37" s="1"/>
  <c r="G103" i="37" s="1"/>
  <c r="H103" i="37" s="1"/>
  <c r="I103" i="37" s="1"/>
  <c r="J103" i="37" s="1"/>
  <c r="K103" i="37" s="1"/>
  <c r="L103" i="37" s="1"/>
  <c r="M103" i="37" s="1"/>
  <c r="F39" i="37"/>
  <c r="AA39" i="37" s="1"/>
  <c r="S39" i="37"/>
  <c r="F29" i="36"/>
  <c r="AA29" i="36" s="1"/>
  <c r="F16" i="36"/>
  <c r="AA16" i="36" s="1"/>
  <c r="W28" i="36"/>
  <c r="U31" i="36"/>
  <c r="J33" i="36"/>
  <c r="AC33" i="36" s="1"/>
  <c r="H22" i="35"/>
  <c r="AB22" i="35" s="1"/>
  <c r="AC27" i="35"/>
  <c r="W28" i="35"/>
  <c r="U31" i="35"/>
  <c r="W34" i="35"/>
  <c r="W22" i="35"/>
  <c r="S31" i="35"/>
  <c r="F36" i="34"/>
  <c r="J35" i="34"/>
  <c r="U34" i="34"/>
  <c r="H39" i="33"/>
  <c r="AB39" i="33"/>
  <c r="F26" i="33"/>
  <c r="AA26" i="33"/>
  <c r="U35" i="33"/>
  <c r="W33" i="33"/>
  <c r="H39" i="37"/>
  <c r="AB39" i="37"/>
  <c r="S27" i="35"/>
  <c r="F11" i="40"/>
  <c r="AA11" i="40"/>
  <c r="H11" i="40"/>
  <c r="AB11" i="40"/>
  <c r="W8" i="40"/>
  <c r="AC40" i="40"/>
  <c r="AC9" i="40"/>
  <c r="U9" i="40"/>
  <c r="S34" i="40"/>
  <c r="U38" i="40"/>
  <c r="S40" i="40"/>
  <c r="W31" i="40"/>
  <c r="U34" i="40"/>
  <c r="F42" i="39"/>
  <c r="AA42" i="39" s="1"/>
  <c r="F41" i="39"/>
  <c r="S41" i="39" s="1"/>
  <c r="H40" i="39"/>
  <c r="AB40" i="39" s="1"/>
  <c r="H39" i="39"/>
  <c r="U39" i="39" s="1"/>
  <c r="S38" i="39"/>
  <c r="S34" i="39"/>
  <c r="H34" i="39"/>
  <c r="U34" i="39" s="1"/>
  <c r="E108" i="39"/>
  <c r="H31" i="39"/>
  <c r="AB31" i="39" s="1"/>
  <c r="F31" i="39"/>
  <c r="AA31" i="39" s="1"/>
  <c r="E100" i="39"/>
  <c r="H19" i="39"/>
  <c r="F19" i="39"/>
  <c r="AA19" i="39" s="1"/>
  <c r="H17" i="39"/>
  <c r="AB17" i="39" s="1"/>
  <c r="F17" i="39"/>
  <c r="AA17" i="39" s="1"/>
  <c r="J23" i="40"/>
  <c r="AC23" i="40"/>
  <c r="F21" i="40"/>
  <c r="AA21" i="40" s="1"/>
  <c r="J21" i="40"/>
  <c r="AC21" i="40" s="1"/>
  <c r="W21" i="40"/>
  <c r="H42" i="39"/>
  <c r="AB42" i="39" s="1"/>
  <c r="J34" i="39"/>
  <c r="AC34" i="39" s="1"/>
  <c r="F108" i="39"/>
  <c r="G108" i="39" s="1"/>
  <c r="H108" i="39" s="1"/>
  <c r="I108" i="39" s="1"/>
  <c r="J108" i="39" s="1"/>
  <c r="K108" i="39" s="1"/>
  <c r="L108" i="39" s="1"/>
  <c r="M108" i="39" s="1"/>
  <c r="J31" i="39"/>
  <c r="F100" i="39"/>
  <c r="H27" i="39"/>
  <c r="U27" i="39" s="1"/>
  <c r="J19" i="39"/>
  <c r="AC19" i="39" s="1"/>
  <c r="J17" i="39"/>
  <c r="W17" i="39" s="1"/>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c r="H23" i="40"/>
  <c r="H17" i="40"/>
  <c r="U17" i="40" s="1"/>
  <c r="J15" i="40"/>
  <c r="W15" i="40" s="1"/>
  <c r="J11" i="40"/>
  <c r="W11" i="40"/>
  <c r="AB8" i="39"/>
  <c r="AB12" i="33"/>
  <c r="AB12" i="35"/>
  <c r="F37" i="39"/>
  <c r="J34" i="36"/>
  <c r="W34" i="36" s="1"/>
  <c r="U30" i="36"/>
  <c r="J30" i="35"/>
  <c r="W30" i="35" s="1"/>
  <c r="H30" i="35"/>
  <c r="AB30" i="35" s="1"/>
  <c r="F22" i="35"/>
  <c r="AA22" i="35"/>
  <c r="H10" i="35"/>
  <c r="U10" i="35" s="1"/>
  <c r="AC16" i="36"/>
  <c r="F33" i="36"/>
  <c r="AA33" i="36" s="1"/>
  <c r="W30" i="36"/>
  <c r="H16" i="36"/>
  <c r="AB16" i="36" s="1"/>
  <c r="E85" i="36"/>
  <c r="F85" i="36"/>
  <c r="G85" i="36" s="1"/>
  <c r="H85" i="36"/>
  <c r="I85" i="36" s="1"/>
  <c r="J85" i="36" s="1"/>
  <c r="K85" i="36" s="1"/>
  <c r="L85" i="36" s="1"/>
  <c r="M85" i="36"/>
  <c r="J29" i="36"/>
  <c r="F12" i="36"/>
  <c r="F24" i="36"/>
  <c r="AA24" i="36" s="1"/>
  <c r="F34" i="36"/>
  <c r="S34" i="36" s="1"/>
  <c r="F14" i="35"/>
  <c r="AA14" i="35"/>
  <c r="F23" i="35"/>
  <c r="AA23" i="35" s="1"/>
  <c r="J32" i="35"/>
  <c r="AC32" i="35" s="1"/>
  <c r="J16" i="35"/>
  <c r="AC16" i="35"/>
  <c r="H16" i="35"/>
  <c r="U16" i="35" s="1"/>
  <c r="F16" i="35"/>
  <c r="S16" i="35" s="1"/>
  <c r="H14" i="35"/>
  <c r="AB14" i="35"/>
  <c r="J29" i="35"/>
  <c r="H33" i="35"/>
  <c r="AB33" i="35" s="1"/>
  <c r="J20" i="35"/>
  <c r="W20" i="35"/>
  <c r="F35" i="37"/>
  <c r="S35" i="37" s="1"/>
  <c r="E101" i="37"/>
  <c r="F101" i="37" s="1"/>
  <c r="G101" i="37" s="1"/>
  <c r="H101" i="37" s="1"/>
  <c r="I101" i="37" s="1"/>
  <c r="J101" i="37"/>
  <c r="K101" i="37"/>
  <c r="L101" i="37" s="1"/>
  <c r="M101" i="37"/>
  <c r="J34" i="37"/>
  <c r="W34" i="37"/>
  <c r="AB34" i="37"/>
  <c r="J33" i="37"/>
  <c r="AC33" i="37" s="1"/>
  <c r="U42" i="34"/>
  <c r="H40" i="34"/>
  <c r="U40" i="34"/>
  <c r="E114" i="34"/>
  <c r="H36" i="34"/>
  <c r="U36" i="34" s="1"/>
  <c r="F37" i="34"/>
  <c r="AA37" i="34" s="1"/>
  <c r="S35" i="34"/>
  <c r="F28" i="34"/>
  <c r="F27" i="34"/>
  <c r="AA27" i="34" s="1"/>
  <c r="F25" i="34"/>
  <c r="S25" i="34" s="1"/>
  <c r="H23" i="34"/>
  <c r="U23" i="34"/>
  <c r="J23" i="34"/>
  <c r="W23" i="34" s="1"/>
  <c r="F19" i="34"/>
  <c r="H17" i="34"/>
  <c r="U17" i="34" s="1"/>
  <c r="F15" i="34"/>
  <c r="AA15" i="34" s="1"/>
  <c r="J15" i="34"/>
  <c r="H15" i="34"/>
  <c r="AB15" i="34"/>
  <c r="W8" i="34"/>
  <c r="J28" i="34"/>
  <c r="W28" i="34"/>
  <c r="F41" i="33"/>
  <c r="AA41" i="33"/>
  <c r="S38" i="33"/>
  <c r="E113" i="33"/>
  <c r="F32" i="33"/>
  <c r="S32" i="33" s="1"/>
  <c r="AA32" i="33"/>
  <c r="J19" i="33"/>
  <c r="AC19" i="33"/>
  <c r="J15" i="33"/>
  <c r="AC15" i="33"/>
  <c r="F11" i="33"/>
  <c r="AA11" i="33" s="1"/>
  <c r="S26" i="33"/>
  <c r="U40" i="33"/>
  <c r="W40" i="33"/>
  <c r="F37" i="40"/>
  <c r="AA37" i="40"/>
  <c r="F36" i="40"/>
  <c r="AA36" i="40"/>
  <c r="H28" i="40"/>
  <c r="U28" i="40"/>
  <c r="F23" i="40"/>
  <c r="S23" i="40" s="1"/>
  <c r="AA23" i="40"/>
  <c r="F17" i="40"/>
  <c r="AA17" i="40"/>
  <c r="J17" i="40"/>
  <c r="W17" i="40"/>
  <c r="F15" i="40"/>
  <c r="S15" i="40"/>
  <c r="H15" i="40"/>
  <c r="U15" i="40" s="1"/>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s="1"/>
  <c r="H114" i="34"/>
  <c r="I114" i="34" s="1"/>
  <c r="J114" i="34" s="1"/>
  <c r="K114" i="34" s="1"/>
  <c r="L114" i="34" s="1"/>
  <c r="M114" i="34" s="1"/>
  <c r="H38" i="34"/>
  <c r="AB38" i="34" s="1"/>
  <c r="J36" i="34"/>
  <c r="H37" i="34"/>
  <c r="U37" i="34" s="1"/>
  <c r="H25" i="34"/>
  <c r="AB25" i="34" s="1"/>
  <c r="J25" i="34"/>
  <c r="AC25" i="34"/>
  <c r="AB23" i="34"/>
  <c r="F23" i="34"/>
  <c r="AA23" i="34" s="1"/>
  <c r="J19" i="34"/>
  <c r="AC19" i="34" s="1"/>
  <c r="F17" i="34"/>
  <c r="AA17" i="34"/>
  <c r="J17" i="34"/>
  <c r="W17" i="34" s="1"/>
  <c r="S15" i="34"/>
  <c r="S41" i="33"/>
  <c r="F113" i="33"/>
  <c r="G113" i="33"/>
  <c r="H113" i="33" s="1"/>
  <c r="I113" i="33" s="1"/>
  <c r="J113" i="33" s="1"/>
  <c r="K113" i="33" s="1"/>
  <c r="L113" i="33" s="1"/>
  <c r="M113" i="33" s="1"/>
  <c r="H37" i="33"/>
  <c r="AB37" i="33"/>
  <c r="H15" i="33"/>
  <c r="AB15" i="33" s="1"/>
  <c r="H11" i="33"/>
  <c r="F28" i="40"/>
  <c r="AA28" i="40"/>
  <c r="AA29" i="35"/>
  <c r="AA42" i="34"/>
  <c r="S42" i="34"/>
  <c r="AC38" i="34"/>
  <c r="AA38" i="34"/>
  <c r="J37" i="34"/>
  <c r="AC37" i="34" s="1"/>
  <c r="J11" i="33"/>
  <c r="W11" i="33" s="1"/>
  <c r="J42" i="21"/>
  <c r="AC42" i="21"/>
  <c r="H42" i="21"/>
  <c r="U42" i="21"/>
  <c r="J44" i="34"/>
  <c r="F44" i="34"/>
  <c r="J10" i="35"/>
  <c r="AC10" i="35" s="1"/>
  <c r="W14" i="21"/>
  <c r="F14" i="21"/>
  <c r="S14" i="21" s="1"/>
  <c r="H14" i="21"/>
  <c r="U14" i="21" s="1"/>
  <c r="H28" i="21"/>
  <c r="AB28" i="21" s="1"/>
  <c r="F28" i="21"/>
  <c r="AA28" i="21"/>
  <c r="J28" i="21"/>
  <c r="W28" i="21" s="1"/>
  <c r="J44" i="21"/>
  <c r="AC44" i="21" s="1"/>
  <c r="H44" i="21"/>
  <c r="U44" i="21" s="1"/>
  <c r="F44" i="21"/>
  <c r="AA44" i="21" s="1"/>
  <c r="H46" i="21"/>
  <c r="U46" i="21"/>
  <c r="J46" i="21"/>
  <c r="W46" i="21" s="1"/>
  <c r="F46" i="21"/>
  <c r="AA46" i="21" s="1"/>
  <c r="E119" i="21"/>
  <c r="F119" i="21" s="1"/>
  <c r="G119" i="21" s="1"/>
  <c r="H119" i="21"/>
  <c r="I119" i="21"/>
  <c r="J119" i="21" s="1"/>
  <c r="K119" i="21"/>
  <c r="L119" i="21" s="1"/>
  <c r="M119" i="21" s="1"/>
  <c r="H26" i="33"/>
  <c r="U26" i="33"/>
  <c r="H28" i="33"/>
  <c r="U28" i="33" s="1"/>
  <c r="F28" i="33"/>
  <c r="AA28" i="33"/>
  <c r="J28" i="33"/>
  <c r="W28" i="33"/>
  <c r="F33" i="35"/>
  <c r="S33" i="35"/>
  <c r="J33" i="35"/>
  <c r="AC33" i="35" s="1"/>
  <c r="F30" i="35"/>
  <c r="S30" i="35" s="1"/>
  <c r="E89" i="35"/>
  <c r="F89" i="35"/>
  <c r="G89" i="35" s="1"/>
  <c r="H89" i="35" s="1"/>
  <c r="I89" i="35" s="1"/>
  <c r="J89" i="35" s="1"/>
  <c r="K89" i="35"/>
  <c r="L89" i="35"/>
  <c r="M89" i="35" s="1"/>
  <c r="H10" i="36"/>
  <c r="AB10" i="36" s="1"/>
  <c r="J14" i="36"/>
  <c r="AC14" i="36"/>
  <c r="H14" i="36"/>
  <c r="U14" i="36" s="1"/>
  <c r="F28" i="36"/>
  <c r="AA28" i="36" s="1"/>
  <c r="J13" i="21"/>
  <c r="AC13" i="21" s="1"/>
  <c r="H27" i="21"/>
  <c r="AB27" i="21" s="1"/>
  <c r="F27" i="21"/>
  <c r="AA27" i="21"/>
  <c r="H29" i="21"/>
  <c r="U29" i="21"/>
  <c r="J31" i="21"/>
  <c r="AC31" i="21" s="1"/>
  <c r="F31" i="21"/>
  <c r="S31" i="21" s="1"/>
  <c r="F45" i="21"/>
  <c r="AA45" i="21"/>
  <c r="F27" i="33"/>
  <c r="AA27" i="33"/>
  <c r="J13" i="33"/>
  <c r="H13" i="33"/>
  <c r="U13" i="33" s="1"/>
  <c r="F13" i="33"/>
  <c r="S13" i="33" s="1"/>
  <c r="J29" i="33"/>
  <c r="AC29" i="33"/>
  <c r="H29" i="33"/>
  <c r="U29" i="33"/>
  <c r="F29" i="33"/>
  <c r="J31" i="33"/>
  <c r="W31" i="33" s="1"/>
  <c r="H31" i="33"/>
  <c r="F31" i="33"/>
  <c r="H45" i="33"/>
  <c r="U45" i="33"/>
  <c r="J45" i="33"/>
  <c r="W45" i="33" s="1"/>
  <c r="F45" i="33"/>
  <c r="J14" i="34"/>
  <c r="W14" i="34"/>
  <c r="F14" i="34"/>
  <c r="S14" i="34"/>
  <c r="H14" i="34"/>
  <c r="H30" i="34"/>
  <c r="F30" i="34"/>
  <c r="S30" i="34" s="1"/>
  <c r="J30" i="34"/>
  <c r="AC30" i="34" s="1"/>
  <c r="W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F105" i="37"/>
  <c r="H36" i="37"/>
  <c r="AB36" i="37" s="1"/>
  <c r="J37" i="37"/>
  <c r="AC37" i="37" s="1"/>
  <c r="H37" i="37"/>
  <c r="H40" i="37"/>
  <c r="U40" i="37"/>
  <c r="J40" i="37"/>
  <c r="AC40" i="37"/>
  <c r="F40" i="37"/>
  <c r="AA40" i="37" s="1"/>
  <c r="AC12" i="40"/>
  <c r="W12" i="40"/>
  <c r="H14" i="33"/>
  <c r="U14" i="33"/>
  <c r="F14" i="33"/>
  <c r="S14" i="33"/>
  <c r="J14" i="33"/>
  <c r="H30" i="33"/>
  <c r="AB30" i="33"/>
  <c r="F30" i="33"/>
  <c r="J30" i="33"/>
  <c r="F44" i="33"/>
  <c r="S44" i="33" s="1"/>
  <c r="J46" i="33"/>
  <c r="AC46" i="33" s="1"/>
  <c r="F46" i="33"/>
  <c r="AA46" i="33"/>
  <c r="H46" i="33"/>
  <c r="U46" i="33" s="1"/>
  <c r="AB46" i="33"/>
  <c r="H13" i="34"/>
  <c r="J13" i="34"/>
  <c r="W13" i="34" s="1"/>
  <c r="F13" i="34"/>
  <c r="AA13" i="34" s="1"/>
  <c r="J29" i="34"/>
  <c r="F29" i="34"/>
  <c r="S29" i="34"/>
  <c r="H29" i="34"/>
  <c r="AB29" i="34" s="1"/>
  <c r="J31" i="34"/>
  <c r="H45" i="34"/>
  <c r="U45" i="34" s="1"/>
  <c r="J45" i="34"/>
  <c r="W45" i="34" s="1"/>
  <c r="F45" i="34"/>
  <c r="S45" i="34"/>
  <c r="H47" i="34"/>
  <c r="U47" i="34"/>
  <c r="F47" i="34"/>
  <c r="S47" i="34" s="1"/>
  <c r="J47" i="34"/>
  <c r="F13" i="35"/>
  <c r="AA13" i="35" s="1"/>
  <c r="S13" i="35"/>
  <c r="J13" i="35"/>
  <c r="AC13" i="35"/>
  <c r="H13" i="35"/>
  <c r="U13" i="35" s="1"/>
  <c r="J25" i="35"/>
  <c r="W25" i="35" s="1"/>
  <c r="J35" i="35"/>
  <c r="F35" i="35"/>
  <c r="AA35" i="35" s="1"/>
  <c r="J25" i="36"/>
  <c r="W25" i="36"/>
  <c r="F25" i="36"/>
  <c r="S25" i="36" s="1"/>
  <c r="H25" i="36"/>
  <c r="AB25" i="36" s="1"/>
  <c r="H13" i="37"/>
  <c r="AB13" i="37" s="1"/>
  <c r="F13" i="37"/>
  <c r="S13" i="37" s="1"/>
  <c r="J13" i="37"/>
  <c r="F43" i="39"/>
  <c r="AA43" i="39" s="1"/>
  <c r="H43" i="39"/>
  <c r="J14" i="39"/>
  <c r="AC14" i="39" s="1"/>
  <c r="F14" i="39"/>
  <c r="H14" i="39"/>
  <c r="AB14" i="39"/>
  <c r="F12" i="40"/>
  <c r="S12" i="40"/>
  <c r="H12" i="40"/>
  <c r="AB12" i="40"/>
  <c r="H30" i="40"/>
  <c r="F33" i="40"/>
  <c r="AA33" i="40"/>
  <c r="H33" i="40"/>
  <c r="U33" i="40"/>
  <c r="J35" i="40"/>
  <c r="AC35" i="40" s="1"/>
  <c r="J37" i="40"/>
  <c r="W37" i="40" s="1"/>
  <c r="AC37" i="40"/>
  <c r="H13" i="40"/>
  <c r="U13" i="40"/>
  <c r="J13" i="40"/>
  <c r="W13" i="40"/>
  <c r="F13" i="40"/>
  <c r="AA13" i="40" s="1"/>
  <c r="F14" i="37"/>
  <c r="AA14" i="37" s="1"/>
  <c r="S14" i="37"/>
  <c r="F27" i="37"/>
  <c r="AA27" i="37"/>
  <c r="F13" i="39"/>
  <c r="J13" i="39"/>
  <c r="W13" i="39" s="1"/>
  <c r="H13" i="39"/>
  <c r="AB14" i="40"/>
  <c r="J14" i="40"/>
  <c r="W14" i="40" s="1"/>
  <c r="F14" i="40"/>
  <c r="AA14" i="40" s="1"/>
  <c r="J14" i="37"/>
  <c r="AC14" i="37"/>
  <c r="J27" i="37"/>
  <c r="AC27" i="37"/>
  <c r="AA14" i="33"/>
  <c r="J36" i="37"/>
  <c r="AC36" i="37" s="1"/>
  <c r="G105" i="37"/>
  <c r="J10" i="36"/>
  <c r="AC10" i="36" s="1"/>
  <c r="AB26" i="33"/>
  <c r="AC13" i="36"/>
  <c r="W13" i="36"/>
  <c r="S11" i="36"/>
  <c r="AB46" i="34"/>
  <c r="AA14" i="34"/>
  <c r="AB45" i="33"/>
  <c r="AB31" i="33"/>
  <c r="U31" i="33"/>
  <c r="W29" i="33"/>
  <c r="BA586" i="3"/>
  <c r="F17" i="21"/>
  <c r="AA17" i="21" s="1"/>
  <c r="H17" i="21"/>
  <c r="AB17" i="21"/>
  <c r="F15" i="21"/>
  <c r="S15" i="21" s="1"/>
  <c r="J41" i="39"/>
  <c r="W41" i="39" s="1"/>
  <c r="AC45" i="39"/>
  <c r="W35" i="39"/>
  <c r="U36" i="39"/>
  <c r="S35" i="39"/>
  <c r="G544" i="3"/>
  <c r="G540" i="3"/>
  <c r="G536" i="3"/>
  <c r="G535" i="3"/>
  <c r="G532" i="3"/>
  <c r="G531" i="3"/>
  <c r="G527" i="3"/>
  <c r="G518" i="3"/>
  <c r="G510" i="3"/>
  <c r="G508" i="3"/>
  <c r="G504" i="3"/>
  <c r="G496" i="3"/>
  <c r="G584" i="3"/>
  <c r="G580" i="3"/>
  <c r="G576" i="3"/>
  <c r="G572" i="3"/>
  <c r="G568" i="3"/>
  <c r="G560" i="3"/>
  <c r="G554" i="3"/>
  <c r="G550" i="3"/>
  <c r="BL584" i="3"/>
  <c r="BL580" i="3"/>
  <c r="BL576" i="3"/>
  <c r="BL572" i="3"/>
  <c r="BL568" i="3"/>
  <c r="BL522" i="3"/>
  <c r="BL512" i="3"/>
  <c r="BL582" i="3"/>
  <c r="BL578" i="3"/>
  <c r="BL574" i="3"/>
  <c r="BL570" i="3"/>
  <c r="BL566" i="3"/>
  <c r="BL540" i="3"/>
  <c r="G533" i="3"/>
  <c r="G529" i="3"/>
  <c r="G525" i="3"/>
  <c r="BA584" i="3"/>
  <c r="BA582" i="3"/>
  <c r="AZ582" i="3" s="1"/>
  <c r="BA580" i="3"/>
  <c r="AZ580" i="3" s="1"/>
  <c r="BA578" i="3"/>
  <c r="BA576" i="3"/>
  <c r="AZ576" i="3"/>
  <c r="BA574" i="3"/>
  <c r="AZ574" i="3" s="1"/>
  <c r="BA572" i="3"/>
  <c r="AZ572" i="3" s="1"/>
  <c r="BA570" i="3"/>
  <c r="AZ570" i="3" s="1"/>
  <c r="BA568" i="3"/>
  <c r="AZ568" i="3"/>
  <c r="BA566" i="3"/>
  <c r="AZ566" i="3" s="1"/>
  <c r="BA564" i="3"/>
  <c r="BA546" i="3"/>
  <c r="AZ546" i="3" s="1"/>
  <c r="AZ544" i="3"/>
  <c r="BA520" i="3"/>
  <c r="AZ520" i="3" s="1"/>
  <c r="BA518" i="3"/>
  <c r="BA494" i="3"/>
  <c r="BA583" i="3"/>
  <c r="BA581" i="3"/>
  <c r="BA579" i="3"/>
  <c r="AZ579" i="3" s="1"/>
  <c r="BA577" i="3"/>
  <c r="BA575" i="3"/>
  <c r="BA573" i="3"/>
  <c r="BA571" i="3"/>
  <c r="BA569" i="3"/>
  <c r="BA567" i="3"/>
  <c r="AZ567" i="3" s="1"/>
  <c r="BA565" i="3"/>
  <c r="BA549" i="3"/>
  <c r="BA543" i="3"/>
  <c r="BA539" i="3"/>
  <c r="BA493" i="3"/>
  <c r="AZ493" i="3" s="1"/>
  <c r="AZ560" i="3"/>
  <c r="G583" i="3"/>
  <c r="G581" i="3"/>
  <c r="G579" i="3"/>
  <c r="G577" i="3"/>
  <c r="G575" i="3"/>
  <c r="G573" i="3"/>
  <c r="G571" i="3"/>
  <c r="G569" i="3"/>
  <c r="G567" i="3"/>
  <c r="G565" i="3"/>
  <c r="G563" i="3"/>
  <c r="G561" i="3"/>
  <c r="AC557" i="3"/>
  <c r="BQ557" i="3"/>
  <c r="BL557" i="3" s="1"/>
  <c r="BQ583" i="3"/>
  <c r="BL583" i="3" s="1"/>
  <c r="AZ583" i="3" s="1"/>
  <c r="BQ581" i="3"/>
  <c r="BL581" i="3"/>
  <c r="AZ581" i="3" s="1"/>
  <c r="BQ579" i="3"/>
  <c r="BL579" i="3"/>
  <c r="BQ577" i="3"/>
  <c r="BL577" i="3" s="1"/>
  <c r="AZ577" i="3" s="1"/>
  <c r="BQ575" i="3"/>
  <c r="BL575" i="3"/>
  <c r="BQ573" i="3"/>
  <c r="BL573" i="3" s="1"/>
  <c r="AZ573" i="3" s="1"/>
  <c r="BQ571" i="3"/>
  <c r="BL571" i="3"/>
  <c r="AZ571" i="3"/>
  <c r="BQ569" i="3"/>
  <c r="BL569" i="3" s="1"/>
  <c r="AZ569" i="3"/>
  <c r="BQ567" i="3"/>
  <c r="BL567" i="3"/>
  <c r="BQ565" i="3"/>
  <c r="BQ563" i="3"/>
  <c r="BL563" i="3"/>
  <c r="BQ561" i="3"/>
  <c r="BQ559" i="3"/>
  <c r="BL559" i="3"/>
  <c r="AZ559" i="3"/>
  <c r="G555" i="3"/>
  <c r="G553" i="3"/>
  <c r="G549" i="3"/>
  <c r="G547" i="3"/>
  <c r="G545" i="3"/>
  <c r="G543" i="3"/>
  <c r="G541" i="3"/>
  <c r="G537" i="3"/>
  <c r="BQ555" i="3"/>
  <c r="BQ553" i="3"/>
  <c r="BQ551" i="3"/>
  <c r="BL551" i="3"/>
  <c r="BQ549" i="3"/>
  <c r="BQ547" i="3"/>
  <c r="BQ545" i="3"/>
  <c r="BL545" i="3"/>
  <c r="BQ543" i="3"/>
  <c r="BQ541" i="3"/>
  <c r="BQ539" i="3"/>
  <c r="BQ537" i="3"/>
  <c r="BQ535" i="3"/>
  <c r="BQ533" i="3"/>
  <c r="BQ531" i="3"/>
  <c r="BQ529" i="3"/>
  <c r="BL529" i="3"/>
  <c r="BQ527" i="3"/>
  <c r="BL527" i="3" s="1"/>
  <c r="BQ525" i="3"/>
  <c r="BQ523" i="3"/>
  <c r="AC521" i="3"/>
  <c r="G521" i="3"/>
  <c r="BQ521" i="3"/>
  <c r="BL521" i="3" s="1"/>
  <c r="G519" i="3"/>
  <c r="G517" i="3"/>
  <c r="G515" i="3"/>
  <c r="G513" i="3"/>
  <c r="G511" i="3"/>
  <c r="BQ519" i="3"/>
  <c r="BQ517" i="3"/>
  <c r="BQ515" i="3"/>
  <c r="BQ513" i="3"/>
  <c r="BL513" i="3"/>
  <c r="BQ511" i="3"/>
  <c r="BL511" i="3" s="1"/>
  <c r="AC509" i="3"/>
  <c r="BQ509" i="3"/>
  <c r="G507" i="3"/>
  <c r="G505" i="3"/>
  <c r="G503" i="3"/>
  <c r="G501" i="3"/>
  <c r="G499" i="3"/>
  <c r="G497"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c r="H43" i="33"/>
  <c r="H17" i="37"/>
  <c r="U17" i="37" s="1"/>
  <c r="AB27" i="37"/>
  <c r="U32" i="33"/>
  <c r="AA36" i="39"/>
  <c r="F39" i="33"/>
  <c r="AA39" i="33"/>
  <c r="E123" i="33"/>
  <c r="F42" i="33"/>
  <c r="AA42" i="33" s="1"/>
  <c r="H28" i="34"/>
  <c r="AB28" i="34" s="1"/>
  <c r="F14" i="36"/>
  <c r="AA14" i="36"/>
  <c r="F22" i="36"/>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U19" i="37" s="1"/>
  <c r="AB19" i="37"/>
  <c r="F123" i="33"/>
  <c r="G123" i="33" s="1"/>
  <c r="H123" i="33" s="1"/>
  <c r="I123" i="33" s="1"/>
  <c r="J123" i="33" s="1"/>
  <c r="K123" i="33" s="1"/>
  <c r="L123" i="33" s="1"/>
  <c r="M123" i="33" s="1"/>
  <c r="H42" i="33"/>
  <c r="AB42" i="33" s="1"/>
  <c r="G125" i="33"/>
  <c r="J43" i="33"/>
  <c r="AC43" i="33"/>
  <c r="S28" i="31"/>
  <c r="S27" i="31"/>
  <c r="S26" i="31"/>
  <c r="U35" i="35"/>
  <c r="AA12" i="35"/>
  <c r="W23" i="35"/>
  <c r="W14" i="37"/>
  <c r="AB28" i="37"/>
  <c r="U39" i="37"/>
  <c r="W26" i="37"/>
  <c r="U26" i="37"/>
  <c r="AA13" i="33"/>
  <c r="AC31" i="33"/>
  <c r="AC45" i="33"/>
  <c r="U19" i="21"/>
  <c r="W44" i="21"/>
  <c r="AB38" i="21"/>
  <c r="F43" i="33"/>
  <c r="AA43" i="33"/>
  <c r="W15" i="34"/>
  <c r="AC15" i="34"/>
  <c r="W16" i="35"/>
  <c r="W40" i="37"/>
  <c r="L107" i="37"/>
  <c r="M107" i="37" s="1"/>
  <c r="H37" i="21"/>
  <c r="U37" i="21" s="1"/>
  <c r="H19" i="34"/>
  <c r="AB19" i="34" s="1"/>
  <c r="J9" i="37"/>
  <c r="W9" i="37" s="1"/>
  <c r="H9" i="37"/>
  <c r="U9" i="37" s="1"/>
  <c r="F9" i="37"/>
  <c r="S9" i="37" s="1"/>
  <c r="J12" i="37"/>
  <c r="H12" i="37"/>
  <c r="AB12" i="37" s="1"/>
  <c r="F12" i="37"/>
  <c r="S12" i="37" s="1"/>
  <c r="E71" i="37"/>
  <c r="F15" i="37"/>
  <c r="AA15" i="37"/>
  <c r="E94" i="37"/>
  <c r="F31" i="37"/>
  <c r="S31" i="37"/>
  <c r="F12" i="39"/>
  <c r="S12" i="39" s="1"/>
  <c r="J42" i="39"/>
  <c r="AC42" i="39" s="1"/>
  <c r="H21" i="40"/>
  <c r="AB21" i="40" s="1"/>
  <c r="F94" i="37"/>
  <c r="G94" i="37"/>
  <c r="H94" i="37"/>
  <c r="I94" i="37" s="1"/>
  <c r="J94" i="37" s="1"/>
  <c r="K94" i="37" s="1"/>
  <c r="L94" i="37" s="1"/>
  <c r="M94" i="37" s="1"/>
  <c r="H31" i="37"/>
  <c r="U31" i="37"/>
  <c r="F71" i="37"/>
  <c r="G71" i="37"/>
  <c r="J15" i="37"/>
  <c r="W15" i="37"/>
  <c r="AT6" i="3"/>
  <c r="H19" i="40"/>
  <c r="U19" i="40"/>
  <c r="F88" i="40"/>
  <c r="G88" i="40"/>
  <c r="F19" i="40"/>
  <c r="S19" i="40"/>
  <c r="AC13" i="40"/>
  <c r="AB33" i="40"/>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s="1"/>
  <c r="F11" i="39"/>
  <c r="AA11" i="39"/>
  <c r="S11" i="39"/>
  <c r="G4" i="4"/>
  <c r="I4" i="4"/>
  <c r="A2" i="9"/>
  <c r="F61" i="43"/>
  <c r="H64" i="43" s="1"/>
  <c r="AZ28" i="3"/>
  <c r="BL549" i="3"/>
  <c r="AZ494" i="3"/>
  <c r="AZ502" i="3"/>
  <c r="G524" i="3"/>
  <c r="G303" i="3"/>
  <c r="BL304" i="3"/>
  <c r="AZ304" i="3" s="1"/>
  <c r="G305" i="3"/>
  <c r="BL306" i="3"/>
  <c r="BA308" i="3"/>
  <c r="AZ308" i="3" s="1"/>
  <c r="BA309" i="3"/>
  <c r="BL309" i="3"/>
  <c r="G310" i="3"/>
  <c r="BA311" i="3"/>
  <c r="AZ311" i="3" s="1"/>
  <c r="G319" i="3"/>
  <c r="BL320" i="3"/>
  <c r="AZ320" i="3" s="1"/>
  <c r="G321" i="3"/>
  <c r="BL322" i="3"/>
  <c r="BA324" i="3"/>
  <c r="AZ324" i="3"/>
  <c r="BA325" i="3"/>
  <c r="BL325" i="3"/>
  <c r="G326" i="3"/>
  <c r="BA327" i="3"/>
  <c r="G335" i="3"/>
  <c r="BL336" i="3"/>
  <c r="G337" i="3"/>
  <c r="BL338" i="3"/>
  <c r="AZ338" i="3" s="1"/>
  <c r="BA340" i="3"/>
  <c r="AZ340" i="3"/>
  <c r="BA341" i="3"/>
  <c r="AZ341" i="3" s="1"/>
  <c r="BL341" i="3"/>
  <c r="BA343" i="3"/>
  <c r="BA345" i="3"/>
  <c r="BL355" i="3"/>
  <c r="G356" i="3"/>
  <c r="BL357" i="3"/>
  <c r="AZ357" i="3" s="1"/>
  <c r="BA359" i="3"/>
  <c r="AZ359" i="3" s="1"/>
  <c r="BA360" i="3"/>
  <c r="BL360" i="3"/>
  <c r="G361" i="3"/>
  <c r="BA362" i="3"/>
  <c r="AZ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AZ115" i="3"/>
  <c r="BL116" i="3"/>
  <c r="AZ116" i="3" s="1"/>
  <c r="G117" i="3"/>
  <c r="BA119" i="3"/>
  <c r="AZ119" i="3" s="1"/>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AZ151" i="3"/>
  <c r="BL152" i="3"/>
  <c r="AZ152" i="3" s="1"/>
  <c r="G153" i="3"/>
  <c r="BA155" i="3"/>
  <c r="BL156" i="3"/>
  <c r="AZ156" i="3"/>
  <c r="G157" i="3"/>
  <c r="BA159" i="3"/>
  <c r="AZ159" i="3" s="1"/>
  <c r="BL160" i="3"/>
  <c r="AZ160" i="3" s="1"/>
  <c r="G161" i="3"/>
  <c r="BA163" i="3"/>
  <c r="AZ163" i="3"/>
  <c r="BL164" i="3"/>
  <c r="AZ164" i="3"/>
  <c r="G165" i="3"/>
  <c r="BA167" i="3"/>
  <c r="AZ167" i="3"/>
  <c r="BL168" i="3"/>
  <c r="G169" i="3"/>
  <c r="BA171" i="3"/>
  <c r="BL172" i="3"/>
  <c r="AZ172" i="3"/>
  <c r="G173" i="3"/>
  <c r="BA175" i="3"/>
  <c r="AZ175" i="3" s="1"/>
  <c r="BL176" i="3"/>
  <c r="G177" i="3"/>
  <c r="BA179" i="3"/>
  <c r="AZ179" i="3"/>
  <c r="BL180" i="3"/>
  <c r="AZ180" i="3" s="1"/>
  <c r="G181" i="3"/>
  <c r="BA183" i="3"/>
  <c r="AZ183" i="3" s="1"/>
  <c r="BL184" i="3"/>
  <c r="G185" i="3"/>
  <c r="BA187" i="3"/>
  <c r="AZ187" i="3"/>
  <c r="BL188" i="3"/>
  <c r="G189" i="3"/>
  <c r="BA191" i="3"/>
  <c r="AZ191" i="3"/>
  <c r="BL192" i="3"/>
  <c r="G193" i="3"/>
  <c r="BA195" i="3"/>
  <c r="AZ195" i="3" s="1"/>
  <c r="BL196" i="3"/>
  <c r="G197" i="3"/>
  <c r="BA199" i="3"/>
  <c r="AZ199" i="3"/>
  <c r="BL200" i="3"/>
  <c r="AZ200" i="3" s="1"/>
  <c r="G201" i="3"/>
  <c r="BA203" i="3"/>
  <c r="AZ203" i="3"/>
  <c r="BL204" i="3"/>
  <c r="AZ204" i="3" s="1"/>
  <c r="AZ39" i="3"/>
  <c r="AZ43" i="3"/>
  <c r="AZ51" i="3"/>
  <c r="AZ55" i="3"/>
  <c r="AZ63" i="3"/>
  <c r="AZ79" i="3"/>
  <c r="AZ176" i="3"/>
  <c r="AZ192" i="3"/>
  <c r="AZ85" i="3"/>
  <c r="AZ89" i="3"/>
  <c r="G534" i="3"/>
  <c r="G522" i="3"/>
  <c r="G512" i="3"/>
  <c r="G506" i="3"/>
  <c r="G498" i="3"/>
  <c r="G494" i="3"/>
  <c r="G16" i="3"/>
  <c r="BA304" i="3"/>
  <c r="BA305" i="3"/>
  <c r="BL305" i="3"/>
  <c r="AZ305" i="3" s="1"/>
  <c r="G306" i="3"/>
  <c r="G309" i="3"/>
  <c r="BL310" i="3"/>
  <c r="BA312" i="3"/>
  <c r="AZ312" i="3"/>
  <c r="BA313" i="3"/>
  <c r="BL313" i="3"/>
  <c r="AZ313" i="3"/>
  <c r="G314" i="3"/>
  <c r="G317" i="3"/>
  <c r="BL318" i="3"/>
  <c r="BA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BA347" i="3"/>
  <c r="AZ347" i="3" s="1"/>
  <c r="BL347" i="3"/>
  <c r="G350" i="3"/>
  <c r="BA351" i="3"/>
  <c r="AZ351" i="3"/>
  <c r="BL351" i="3"/>
  <c r="G352" i="3"/>
  <c r="G354" i="3"/>
  <c r="BA355" i="3"/>
  <c r="AZ355" i="3"/>
  <c r="BA356" i="3"/>
  <c r="AZ356" i="3" s="1"/>
  <c r="BL356" i="3"/>
  <c r="G357" i="3"/>
  <c r="G360" i="3"/>
  <c r="BL361" i="3"/>
  <c r="BA363" i="3"/>
  <c r="BA364" i="3"/>
  <c r="AZ364" i="3" s="1"/>
  <c r="BL364" i="3"/>
  <c r="G365" i="3"/>
  <c r="G368" i="3"/>
  <c r="BL369" i="3"/>
  <c r="BA371" i="3"/>
  <c r="AZ371" i="3" s="1"/>
  <c r="BA372" i="3"/>
  <c r="BL372" i="3"/>
  <c r="AZ372" i="3" s="1"/>
  <c r="G373" i="3"/>
  <c r="G376" i="3"/>
  <c r="BL377" i="3"/>
  <c r="BL379" i="3"/>
  <c r="BA381" i="3"/>
  <c r="AZ381" i="3" s="1"/>
  <c r="BA382" i="3"/>
  <c r="AZ382" i="3" s="1"/>
  <c r="BL382" i="3"/>
  <c r="G383" i="3"/>
  <c r="G386" i="3"/>
  <c r="BL387" i="3"/>
  <c r="BA389" i="3"/>
  <c r="AZ389" i="3" s="1"/>
  <c r="BA390" i="3"/>
  <c r="BL390" i="3"/>
  <c r="G391" i="3"/>
  <c r="G394" i="3"/>
  <c r="AZ158" i="3"/>
  <c r="AZ178" i="3"/>
  <c r="AZ182" i="3"/>
  <c r="AZ186" i="3"/>
  <c r="AZ190" i="3"/>
  <c r="AZ194" i="3"/>
  <c r="AZ202" i="3"/>
  <c r="AZ206" i="3"/>
  <c r="BA16" i="3"/>
  <c r="BL303" i="3"/>
  <c r="G304" i="3"/>
  <c r="BA306" i="3"/>
  <c r="AZ306" i="3"/>
  <c r="BL307" i="3"/>
  <c r="AZ307" i="3" s="1"/>
  <c r="G308" i="3"/>
  <c r="BA310" i="3"/>
  <c r="AZ310" i="3" s="1"/>
  <c r="BL311" i="3"/>
  <c r="G312" i="3"/>
  <c r="BA314" i="3"/>
  <c r="AZ314" i="3" s="1"/>
  <c r="BL315" i="3"/>
  <c r="G316" i="3"/>
  <c r="BA318" i="3"/>
  <c r="AZ318" i="3"/>
  <c r="BL319" i="3"/>
  <c r="AZ319" i="3" s="1"/>
  <c r="G320" i="3"/>
  <c r="BA322" i="3"/>
  <c r="AZ322" i="3"/>
  <c r="BL323" i="3"/>
  <c r="AZ323" i="3" s="1"/>
  <c r="G324" i="3"/>
  <c r="BA326" i="3"/>
  <c r="AZ326" i="3"/>
  <c r="BL327" i="3"/>
  <c r="G328" i="3"/>
  <c r="BA330" i="3"/>
  <c r="AZ330" i="3" s="1"/>
  <c r="BL331" i="3"/>
  <c r="G332" i="3"/>
  <c r="BA334" i="3"/>
  <c r="AZ334" i="3" s="1"/>
  <c r="BL335" i="3"/>
  <c r="AZ335" i="3" s="1"/>
  <c r="G336" i="3"/>
  <c r="BA338" i="3"/>
  <c r="BL339" i="3"/>
  <c r="AZ339" i="3"/>
  <c r="G340" i="3"/>
  <c r="BL343" i="3"/>
  <c r="G344" i="3"/>
  <c r="G348" i="3"/>
  <c r="G355" i="3"/>
  <c r="AZ209" i="3"/>
  <c r="AZ214" i="3"/>
  <c r="AZ218" i="3"/>
  <c r="AZ303" i="3"/>
  <c r="G342" i="3"/>
  <c r="BL345" i="3"/>
  <c r="AZ345" i="3"/>
  <c r="G346" i="3"/>
  <c r="AZ348" i="3"/>
  <c r="BL349" i="3"/>
  <c r="BL352" i="3"/>
  <c r="G353" i="3"/>
  <c r="BA357" i="3"/>
  <c r="BL358" i="3"/>
  <c r="AZ358" i="3"/>
  <c r="G359" i="3"/>
  <c r="BA361" i="3"/>
  <c r="AZ361" i="3" s="1"/>
  <c r="BL362" i="3"/>
  <c r="G363" i="3"/>
  <c r="BA365" i="3"/>
  <c r="AZ365" i="3"/>
  <c r="BL366" i="3"/>
  <c r="G367" i="3"/>
  <c r="BA369" i="3"/>
  <c r="AZ369" i="3" s="1"/>
  <c r="BL370" i="3"/>
  <c r="G371" i="3"/>
  <c r="BA373" i="3"/>
  <c r="AZ373" i="3"/>
  <c r="BL374" i="3"/>
  <c r="G375" i="3"/>
  <c r="BA377" i="3"/>
  <c r="AZ377" i="3"/>
  <c r="AZ229" i="3"/>
  <c r="AZ237" i="3"/>
  <c r="AZ241" i="3"/>
  <c r="AZ249" i="3"/>
  <c r="AZ257" i="3"/>
  <c r="AZ269" i="3"/>
  <c r="AZ273" i="3"/>
  <c r="AZ370" i="3"/>
  <c r="BA379" i="3"/>
  <c r="AZ379" i="3" s="1"/>
  <c r="BL380" i="3"/>
  <c r="G381" i="3"/>
  <c r="BA383" i="3"/>
  <c r="BL384" i="3"/>
  <c r="G385" i="3"/>
  <c r="BA387" i="3"/>
  <c r="AZ387" i="3" s="1"/>
  <c r="BL388" i="3"/>
  <c r="G389" i="3"/>
  <c r="BA391" i="3"/>
  <c r="AZ391" i="3"/>
  <c r="BL392" i="3"/>
  <c r="G393" i="3"/>
  <c r="AZ275" i="3"/>
  <c r="BF5" i="3"/>
  <c r="AZ309" i="3"/>
  <c r="AZ317" i="3"/>
  <c r="AZ333" i="3"/>
  <c r="AZ549" i="3"/>
  <c r="G538" i="3"/>
  <c r="G520" i="3"/>
  <c r="BP5" i="3"/>
  <c r="BN5" i="3"/>
  <c r="AZ343" i="3"/>
  <c r="G17" i="3"/>
  <c r="AZ352" i="3"/>
  <c r="AZ360" i="3"/>
  <c r="AZ380" i="3"/>
  <c r="AZ388" i="3"/>
  <c r="AZ396" i="3"/>
  <c r="AZ394" i="3"/>
  <c r="BL493" i="3"/>
  <c r="AZ491" i="3"/>
  <c r="AZ390" i="3"/>
  <c r="U36" i="40"/>
  <c r="F83" i="43"/>
  <c r="H85" i="43" s="1"/>
  <c r="F50" i="43"/>
  <c r="H54" i="43" s="1"/>
  <c r="F72" i="43"/>
  <c r="H75" i="43" s="1"/>
  <c r="U17" i="39"/>
  <c r="S14" i="35"/>
  <c r="U43" i="21"/>
  <c r="U35" i="21"/>
  <c r="AC35" i="21"/>
  <c r="G10" i="1"/>
  <c r="AC11" i="39"/>
  <c r="AZ563" i="3"/>
  <c r="W44" i="34"/>
  <c r="AC44" i="34"/>
  <c r="S15" i="37"/>
  <c r="U13" i="37"/>
  <c r="U12" i="40"/>
  <c r="AA12" i="40"/>
  <c r="J37" i="33"/>
  <c r="W37" i="33"/>
  <c r="AC17" i="34"/>
  <c r="F106" i="33"/>
  <c r="G106" i="33"/>
  <c r="H106" i="33"/>
  <c r="I106" i="33"/>
  <c r="J106" i="33"/>
  <c r="K106" i="33" s="1"/>
  <c r="L106" i="33" s="1"/>
  <c r="M106" i="33" s="1"/>
  <c r="J34" i="33"/>
  <c r="W34" i="33"/>
  <c r="F33" i="34"/>
  <c r="S33" i="34"/>
  <c r="H20" i="36"/>
  <c r="U20" i="36" s="1"/>
  <c r="J20" i="36"/>
  <c r="W20" i="36"/>
  <c r="W24" i="36"/>
  <c r="J27" i="36"/>
  <c r="W27" i="36" s="1"/>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F96" i="37"/>
  <c r="H27" i="40"/>
  <c r="U27" i="40" s="1"/>
  <c r="J27" i="40"/>
  <c r="AC27" i="40"/>
  <c r="F27" i="40"/>
  <c r="AA27" i="40" s="1"/>
  <c r="S27" i="40"/>
  <c r="J30" i="40"/>
  <c r="AC30" i="40"/>
  <c r="F30" i="40"/>
  <c r="AA30" i="40" s="1"/>
  <c r="S31" i="39"/>
  <c r="S11" i="40"/>
  <c r="E98" i="40"/>
  <c r="F98" i="40" s="1"/>
  <c r="G98" i="40" s="1"/>
  <c r="H98" i="40" s="1"/>
  <c r="I98" i="40" s="1"/>
  <c r="J98" i="40" s="1"/>
  <c r="K98" i="40" s="1"/>
  <c r="L98" i="40" s="1"/>
  <c r="M98" i="40" s="1"/>
  <c r="F10" i="33"/>
  <c r="S10" i="33" s="1"/>
  <c r="F34" i="33"/>
  <c r="S34" i="33" s="1"/>
  <c r="H34" i="33"/>
  <c r="U34" i="33"/>
  <c r="F35" i="33"/>
  <c r="AA35" i="33" s="1"/>
  <c r="S35" i="33"/>
  <c r="F39" i="34"/>
  <c r="J39" i="34"/>
  <c r="W39" i="34" s="1"/>
  <c r="F40" i="34"/>
  <c r="S40" i="34"/>
  <c r="F43" i="34"/>
  <c r="AA43" i="34"/>
  <c r="H44" i="34"/>
  <c r="F39" i="39"/>
  <c r="S39" i="39" s="1"/>
  <c r="J39" i="39"/>
  <c r="AC39" i="39" s="1"/>
  <c r="E96" i="39"/>
  <c r="F96" i="39" s="1"/>
  <c r="G96" i="39" s="1"/>
  <c r="AZ353" i="3"/>
  <c r="AZ354" i="3"/>
  <c r="C40" i="11"/>
  <c r="AZ215" i="3"/>
  <c r="AZ227" i="3"/>
  <c r="AZ232" i="3"/>
  <c r="AZ240" i="3"/>
  <c r="AZ256" i="3"/>
  <c r="AZ259" i="3"/>
  <c r="AZ29" i="3"/>
  <c r="AZ31" i="3"/>
  <c r="AZ37" i="3"/>
  <c r="AZ42" i="3"/>
  <c r="AZ53" i="3"/>
  <c r="AZ58" i="3"/>
  <c r="AZ66" i="3"/>
  <c r="AZ74" i="3"/>
  <c r="AZ77" i="3"/>
  <c r="AZ82" i="3"/>
  <c r="AZ86" i="3"/>
  <c r="AZ94" i="3"/>
  <c r="F23" i="39"/>
  <c r="AA23" i="39" s="1"/>
  <c r="H27" i="36"/>
  <c r="U27" i="36" s="1"/>
  <c r="F27" i="36"/>
  <c r="AA27" i="36" s="1"/>
  <c r="H33" i="34"/>
  <c r="U33" i="34"/>
  <c r="F32" i="37"/>
  <c r="G96" i="37"/>
  <c r="H96" i="37" s="1"/>
  <c r="I96" i="37" s="1"/>
  <c r="J96" i="37" s="1"/>
  <c r="K96" i="37" s="1"/>
  <c r="L96" i="37" s="1"/>
  <c r="M96" i="37"/>
  <c r="F20" i="36"/>
  <c r="AA20" i="36"/>
  <c r="J33" i="34"/>
  <c r="AC33" i="34" s="1"/>
  <c r="H23" i="39"/>
  <c r="U23" i="39" s="1"/>
  <c r="D48" i="9"/>
  <c r="M52" i="9" s="1"/>
  <c r="D93" i="9"/>
  <c r="AC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S19" i="39"/>
  <c r="F12" i="33"/>
  <c r="S12" i="33" s="1"/>
  <c r="H12" i="39"/>
  <c r="F39" i="40"/>
  <c r="AA39" i="40" s="1"/>
  <c r="BA14" i="3"/>
  <c r="AZ224" i="3"/>
  <c r="AZ238" i="3"/>
  <c r="AZ250" i="3"/>
  <c r="AZ165" i="3"/>
  <c r="AZ173" i="3"/>
  <c r="AZ181" i="3"/>
  <c r="AZ197" i="3"/>
  <c r="B12" i="1"/>
  <c r="E12" i="1" s="1"/>
  <c r="B10" i="1"/>
  <c r="AZ88" i="3"/>
  <c r="AZ111" i="3"/>
  <c r="K12" i="1"/>
  <c r="M12" i="1" s="1"/>
  <c r="S13" i="1"/>
  <c r="AR13" i="1" s="1"/>
  <c r="R13" i="1"/>
  <c r="J51" i="67"/>
  <c r="AC34" i="33"/>
  <c r="B41" i="1"/>
  <c r="AB37" i="40"/>
  <c r="S35" i="40"/>
  <c r="U35" i="40"/>
  <c r="AC36" i="40"/>
  <c r="S17" i="40"/>
  <c r="AC17" i="40"/>
  <c r="AC15" i="40"/>
  <c r="AB27" i="40"/>
  <c r="S30" i="40"/>
  <c r="AA19" i="40"/>
  <c r="S28" i="40"/>
  <c r="U21" i="40"/>
  <c r="AB19" i="40"/>
  <c r="U37" i="39"/>
  <c r="S43" i="39"/>
  <c r="U35" i="39"/>
  <c r="F32" i="39"/>
  <c r="AB27" i="39"/>
  <c r="U31" i="39"/>
  <c r="J21" i="39"/>
  <c r="W21" i="39" s="1"/>
  <c r="F21" i="39"/>
  <c r="S21" i="39" s="1"/>
  <c r="G94" i="39"/>
  <c r="H21" i="39"/>
  <c r="S17" i="39"/>
  <c r="S15" i="39"/>
  <c r="AA12" i="39"/>
  <c r="S9" i="39"/>
  <c r="U14" i="39"/>
  <c r="AC13" i="39"/>
  <c r="U13" i="36"/>
  <c r="U26" i="36"/>
  <c r="S33" i="36"/>
  <c r="AA26" i="36"/>
  <c r="AA34" i="36"/>
  <c r="AC26" i="36"/>
  <c r="W14" i="36"/>
  <c r="AB14" i="36"/>
  <c r="U22" i="36"/>
  <c r="S16" i="36"/>
  <c r="AA25" i="36"/>
  <c r="S24" i="36"/>
  <c r="U24" i="36"/>
  <c r="U23" i="36"/>
  <c r="U16" i="36"/>
  <c r="S14" i="36"/>
  <c r="W24" i="35"/>
  <c r="AB13" i="35"/>
  <c r="U28" i="35"/>
  <c r="AB27" i="35"/>
  <c r="U32" i="35"/>
  <c r="AA33" i="35"/>
  <c r="AC30" i="35"/>
  <c r="S32" i="35"/>
  <c r="S28" i="35"/>
  <c r="AB16" i="35"/>
  <c r="U22" i="35"/>
  <c r="S20" i="35"/>
  <c r="AC20" i="35"/>
  <c r="S22" i="35"/>
  <c r="U14" i="35"/>
  <c r="AA11" i="35"/>
  <c r="AC9" i="35"/>
  <c r="W9" i="35"/>
  <c r="AC12" i="35"/>
  <c r="W13" i="35"/>
  <c r="F9" i="35"/>
  <c r="S9" i="35" s="1"/>
  <c r="H9" i="35"/>
  <c r="U9" i="35" s="1"/>
  <c r="AB40" i="37"/>
  <c r="S25" i="37"/>
  <c r="W27" i="37"/>
  <c r="S26" i="37"/>
  <c r="AC29" i="37"/>
  <c r="U29" i="37"/>
  <c r="AB31" i="37"/>
  <c r="S36" i="37"/>
  <c r="AC35" i="37"/>
  <c r="W39" i="37"/>
  <c r="S30" i="37"/>
  <c r="S37" i="37"/>
  <c r="AC15" i="37"/>
  <c r="J17" i="37"/>
  <c r="W17" i="37"/>
  <c r="G73" i="37"/>
  <c r="F17" i="37"/>
  <c r="AB17" i="37"/>
  <c r="F19" i="37"/>
  <c r="F79" i="37"/>
  <c r="F23" i="37"/>
  <c r="AA23" i="37" s="1"/>
  <c r="S23" i="37"/>
  <c r="U23" i="37"/>
  <c r="U15" i="37"/>
  <c r="AA13" i="37"/>
  <c r="H10" i="37"/>
  <c r="AB10" i="37" s="1"/>
  <c r="F63" i="37"/>
  <c r="F11" i="37"/>
  <c r="S11" i="37" s="1"/>
  <c r="S27" i="34"/>
  <c r="W25" i="34"/>
  <c r="AB8" i="34"/>
  <c r="AA33" i="34"/>
  <c r="AC42" i="34"/>
  <c r="AB35" i="34"/>
  <c r="U39" i="34"/>
  <c r="S43" i="34"/>
  <c r="AA45" i="34"/>
  <c r="AA25" i="34"/>
  <c r="U28" i="34"/>
  <c r="S17" i="34"/>
  <c r="AA29" i="34"/>
  <c r="S23" i="34"/>
  <c r="U15" i="34"/>
  <c r="S13" i="34"/>
  <c r="H10" i="34"/>
  <c r="AB10" i="34" s="1"/>
  <c r="F11" i="34"/>
  <c r="S11" i="34" s="1"/>
  <c r="F70" i="34"/>
  <c r="G70" i="34" s="1"/>
  <c r="H70" i="34" s="1"/>
  <c r="I70" i="34" s="1"/>
  <c r="J70" i="34" s="1"/>
  <c r="K70" i="34" s="1"/>
  <c r="L70" i="34" s="1"/>
  <c r="M70" i="34" s="1"/>
  <c r="W42" i="33"/>
  <c r="S27" i="33"/>
  <c r="AB29" i="33"/>
  <c r="W38" i="33"/>
  <c r="H41" i="33"/>
  <c r="AB41" i="33" s="1"/>
  <c r="F121" i="33"/>
  <c r="G121" i="33" s="1"/>
  <c r="H121" i="33" s="1"/>
  <c r="I121" i="33" s="1"/>
  <c r="J121" i="33" s="1"/>
  <c r="K121" i="33" s="1"/>
  <c r="L121" i="33" s="1"/>
  <c r="M121" i="33" s="1"/>
  <c r="U42" i="33"/>
  <c r="S42" i="33"/>
  <c r="F36" i="33"/>
  <c r="AA36" i="33" s="1"/>
  <c r="K108" i="33"/>
  <c r="L108" i="33" s="1"/>
  <c r="M108" i="33" s="1"/>
  <c r="J35" i="33"/>
  <c r="S37" i="33"/>
  <c r="AA37" i="33"/>
  <c r="S39" i="33"/>
  <c r="F101" i="33"/>
  <c r="G101" i="33"/>
  <c r="H101" i="33" s="1"/>
  <c r="I101" i="33" s="1"/>
  <c r="J101" i="33" s="1"/>
  <c r="K101" i="33" s="1"/>
  <c r="L101" i="33" s="1"/>
  <c r="M101" i="33" s="1"/>
  <c r="J32" i="33"/>
  <c r="AC32" i="33" s="1"/>
  <c r="S46" i="33"/>
  <c r="W43" i="33"/>
  <c r="S43" i="33"/>
  <c r="F91" i="33"/>
  <c r="H27" i="33"/>
  <c r="F87" i="33"/>
  <c r="H25" i="33"/>
  <c r="U25" i="33" s="1"/>
  <c r="F25" i="33"/>
  <c r="J23" i="33"/>
  <c r="F85" i="33"/>
  <c r="H23" i="33"/>
  <c r="AB23" i="33" s="1"/>
  <c r="F81" i="33"/>
  <c r="F19" i="33"/>
  <c r="S19" i="33"/>
  <c r="W19" i="33"/>
  <c r="J17" i="33"/>
  <c r="AC17" i="33" s="1"/>
  <c r="F79" i="33"/>
  <c r="G79" i="33" s="1"/>
  <c r="S15" i="33"/>
  <c r="W15" i="33"/>
  <c r="U9" i="33"/>
  <c r="J10" i="33"/>
  <c r="W10" i="33" s="1"/>
  <c r="H10" i="33"/>
  <c r="U10" i="33" s="1"/>
  <c r="AC11" i="33"/>
  <c r="AB14" i="33"/>
  <c r="W43" i="21"/>
  <c r="W36" i="21"/>
  <c r="W41" i="21"/>
  <c r="AB39" i="21"/>
  <c r="AA43" i="21"/>
  <c r="S39" i="21"/>
  <c r="AA36" i="21"/>
  <c r="AC40" i="21"/>
  <c r="J15" i="21"/>
  <c r="AC15" i="21" s="1"/>
  <c r="W15" i="21"/>
  <c r="F77" i="21"/>
  <c r="G77" i="21" s="1"/>
  <c r="F23" i="21"/>
  <c r="S23" i="21"/>
  <c r="E85" i="21"/>
  <c r="F85" i="21" s="1"/>
  <c r="G85" i="21" s="1"/>
  <c r="AA14" i="21"/>
  <c r="D120" i="9"/>
  <c r="D121" i="9" s="1"/>
  <c r="D7" i="52" s="1"/>
  <c r="C18" i="9"/>
  <c r="D18" i="9" s="1"/>
  <c r="F34" i="67"/>
  <c r="F62" i="67" s="1"/>
  <c r="M20" i="67"/>
  <c r="F34" i="15"/>
  <c r="F62" i="15" s="1"/>
  <c r="BL17" i="3"/>
  <c r="BL13" i="3"/>
  <c r="J56" i="9"/>
  <c r="J57" i="9" s="1"/>
  <c r="J59" i="9" s="1"/>
  <c r="J61" i="9" s="1"/>
  <c r="A24" i="51"/>
  <c r="B18" i="72"/>
  <c r="E32" i="6"/>
  <c r="E19" i="69"/>
  <c r="E19" i="68"/>
  <c r="E19" i="11"/>
  <c r="E1" i="73"/>
  <c r="G22" i="69"/>
  <c r="G22" i="68"/>
  <c r="G26" i="12"/>
  <c r="G22" i="11"/>
  <c r="C6" i="43"/>
  <c r="B19" i="53"/>
  <c r="B37" i="72" s="1"/>
  <c r="C7" i="33"/>
  <c r="G23" i="43"/>
  <c r="C23" i="43" s="1"/>
  <c r="A4" i="51"/>
  <c r="B6" i="72" s="1"/>
  <c r="L20" i="6"/>
  <c r="B6" i="1"/>
  <c r="E6" i="1" s="1"/>
  <c r="G1" i="15"/>
  <c r="W23" i="40"/>
  <c r="AB31" i="40"/>
  <c r="S37" i="40"/>
  <c r="AB28" i="40"/>
  <c r="W28" i="40"/>
  <c r="W34" i="40"/>
  <c r="W19" i="40"/>
  <c r="W27" i="40"/>
  <c r="S36" i="40"/>
  <c r="AC14" i="40"/>
  <c r="S13" i="40"/>
  <c r="S33" i="40"/>
  <c r="AA15" i="40"/>
  <c r="U11" i="40"/>
  <c r="S31" i="40"/>
  <c r="AB13" i="40"/>
  <c r="U8" i="40"/>
  <c r="S8" i="40"/>
  <c r="AA39" i="39"/>
  <c r="AC41" i="39"/>
  <c r="U42" i="39"/>
  <c r="U41" i="39"/>
  <c r="W25" i="39"/>
  <c r="AC25" i="39"/>
  <c r="U13" i="39"/>
  <c r="AB13" i="39"/>
  <c r="AA13" i="39"/>
  <c r="S13" i="39"/>
  <c r="S14" i="39"/>
  <c r="AA14" i="39"/>
  <c r="U43" i="39"/>
  <c r="AB43" i="39"/>
  <c r="AB11" i="39"/>
  <c r="U11" i="39"/>
  <c r="AA27" i="39"/>
  <c r="S27" i="39"/>
  <c r="W31" i="39"/>
  <c r="AC31" i="39"/>
  <c r="AA45" i="39"/>
  <c r="AB39" i="39"/>
  <c r="W34" i="39"/>
  <c r="U38" i="39"/>
  <c r="S8" i="39"/>
  <c r="S20" i="36"/>
  <c r="AC25" i="36"/>
  <c r="U32" i="36"/>
  <c r="AC20" i="36"/>
  <c r="U25" i="36"/>
  <c r="AB28" i="36"/>
  <c r="AA13" i="36"/>
  <c r="W22" i="36"/>
  <c r="W23" i="36"/>
  <c r="AB20" i="35"/>
  <c r="AC25" i="35"/>
  <c r="S24" i="35"/>
  <c r="U24" i="35"/>
  <c r="S35" i="35"/>
  <c r="AA16" i="35"/>
  <c r="AA35" i="37"/>
  <c r="W36" i="37"/>
  <c r="S27" i="37"/>
  <c r="W32" i="37"/>
  <c r="U36" i="37"/>
  <c r="S40" i="37"/>
  <c r="AC34" i="37"/>
  <c r="AB35" i="37"/>
  <c r="AA31" i="37"/>
  <c r="AA29" i="37"/>
  <c r="U8" i="37"/>
  <c r="AA40" i="34"/>
  <c r="AB40" i="34"/>
  <c r="U19" i="34"/>
  <c r="W19" i="34"/>
  <c r="AB33" i="34"/>
  <c r="AB45" i="34"/>
  <c r="AB47" i="34"/>
  <c r="U25" i="34"/>
  <c r="AB36" i="34"/>
  <c r="W33" i="34"/>
  <c r="AC14" i="34"/>
  <c r="AC32" i="34"/>
  <c r="AC29" i="34"/>
  <c r="W29" i="34"/>
  <c r="W46" i="34"/>
  <c r="AC46" i="34"/>
  <c r="S32" i="34"/>
  <c r="AA32" i="34"/>
  <c r="U30" i="34"/>
  <c r="AB30" i="34"/>
  <c r="S37" i="34"/>
  <c r="W40" i="34"/>
  <c r="AA19" i="34"/>
  <c r="S19" i="34"/>
  <c r="AA36" i="34"/>
  <c r="S36" i="34"/>
  <c r="AA8" i="34"/>
  <c r="S8" i="34"/>
  <c r="AB9" i="34"/>
  <c r="U9" i="34"/>
  <c r="S46" i="34"/>
  <c r="AA46" i="34"/>
  <c r="U32" i="34"/>
  <c r="AB32" i="34"/>
  <c r="U14" i="34"/>
  <c r="AB14" i="34"/>
  <c r="AC43" i="34"/>
  <c r="W43" i="34"/>
  <c r="AC35" i="34"/>
  <c r="W35" i="34"/>
  <c r="U12" i="34"/>
  <c r="AB12" i="34"/>
  <c r="AC37" i="33"/>
  <c r="W46" i="33"/>
  <c r="U39" i="33"/>
  <c r="U38" i="33"/>
  <c r="S33" i="33"/>
  <c r="AB34" i="33"/>
  <c r="S30" i="33"/>
  <c r="AA30" i="33"/>
  <c r="AC14" i="33"/>
  <c r="W14" i="33"/>
  <c r="AC30" i="33"/>
  <c r="W30" i="33"/>
  <c r="S31" i="33"/>
  <c r="AA31" i="33"/>
  <c r="W13" i="33"/>
  <c r="AC13" i="33"/>
  <c r="U15" i="33"/>
  <c r="S11" i="33"/>
  <c r="U37" i="33"/>
  <c r="AC28" i="33"/>
  <c r="S28" i="33"/>
  <c r="W9" i="33"/>
  <c r="W8" i="33"/>
  <c r="S44" i="21"/>
  <c r="AB42" i="21"/>
  <c r="U28" i="21"/>
  <c r="S45" i="21"/>
  <c r="M101" i="21"/>
  <c r="F33" i="21"/>
  <c r="AA33" i="21" s="1"/>
  <c r="J33" i="21"/>
  <c r="AC33" i="21" s="1"/>
  <c r="H33" i="21"/>
  <c r="AB33" i="21" s="1"/>
  <c r="F37" i="21"/>
  <c r="AA37" i="21" s="1"/>
  <c r="AA26" i="21"/>
  <c r="AB14" i="21"/>
  <c r="AB46" i="21"/>
  <c r="U40" i="21"/>
  <c r="AB31" i="21"/>
  <c r="U31" i="21"/>
  <c r="U13" i="21"/>
  <c r="AB13" i="21"/>
  <c r="S35" i="21"/>
  <c r="J37" i="21"/>
  <c r="W37" i="21" s="1"/>
  <c r="H15" i="21"/>
  <c r="J17" i="21"/>
  <c r="AC17" i="21" s="1"/>
  <c r="AC19" i="21"/>
  <c r="W39" i="21"/>
  <c r="AC14"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17" i="21"/>
  <c r="W25" i="21"/>
  <c r="AA29" i="21"/>
  <c r="W31" i="21"/>
  <c r="S27" i="21"/>
  <c r="S17" i="21"/>
  <c r="AC27" i="21"/>
  <c r="AC26" i="21"/>
  <c r="AB29" i="21"/>
  <c r="S28" i="21"/>
  <c r="AC34" i="21"/>
  <c r="W30" i="40"/>
  <c r="C19" i="39"/>
  <c r="C15" i="40"/>
  <c r="C17" i="40"/>
  <c r="C23" i="40"/>
  <c r="C21" i="40"/>
  <c r="B56" i="43"/>
  <c r="B67" i="43"/>
  <c r="B51" i="43"/>
  <c r="B54" i="43"/>
  <c r="B58" i="43"/>
  <c r="B62" i="43"/>
  <c r="B65" i="43"/>
  <c r="B69" i="43"/>
  <c r="D23" i="15"/>
  <c r="D22" i="15"/>
  <c r="E4" i="4"/>
  <c r="B5" i="62" s="1"/>
  <c r="B73" i="72" s="1"/>
  <c r="C4" i="4"/>
  <c r="F30" i="68"/>
  <c r="F48" i="68" s="1"/>
  <c r="S39" i="40"/>
  <c r="J32" i="39"/>
  <c r="W32" i="39" s="1"/>
  <c r="H32" i="39"/>
  <c r="AB32" i="39" s="1"/>
  <c r="AA32" i="39"/>
  <c r="S32" i="39"/>
  <c r="AB21" i="39"/>
  <c r="U21" i="39"/>
  <c r="AA21" i="39"/>
  <c r="AC17" i="37"/>
  <c r="J19" i="37"/>
  <c r="G75" i="37"/>
  <c r="S19" i="37"/>
  <c r="AA19"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c r="I91" i="33"/>
  <c r="J91" i="33" s="1"/>
  <c r="K91" i="33" s="1"/>
  <c r="L91" i="33" s="1"/>
  <c r="M91" i="33" s="1"/>
  <c r="J27" i="33"/>
  <c r="AB25" i="33"/>
  <c r="S25" i="33"/>
  <c r="AA25" i="33"/>
  <c r="G87" i="33"/>
  <c r="H87" i="33"/>
  <c r="I87" i="33" s="1"/>
  <c r="J87" i="33" s="1"/>
  <c r="K87" i="33" s="1"/>
  <c r="L87" i="33" s="1"/>
  <c r="M87" i="33"/>
  <c r="J25" i="33"/>
  <c r="U23" i="33"/>
  <c r="F23" i="33"/>
  <c r="AA23" i="33" s="1"/>
  <c r="G85" i="33"/>
  <c r="AA19" i="33"/>
  <c r="H19" i="33"/>
  <c r="AB19" i="33" s="1"/>
  <c r="G81" i="33"/>
  <c r="H17" i="33"/>
  <c r="F17" i="33"/>
  <c r="S37" i="21"/>
  <c r="AA23" i="21"/>
  <c r="J23" i="21"/>
  <c r="AC23" i="21" s="1"/>
  <c r="H23" i="21"/>
  <c r="U23" i="21" s="1"/>
  <c r="S13" i="21"/>
  <c r="D6" i="52"/>
  <c r="AP7" i="1"/>
  <c r="AB45" i="21"/>
  <c r="AB9" i="21"/>
  <c r="U9" i="21"/>
  <c r="AA32" i="21"/>
  <c r="S32" i="21"/>
  <c r="AC9" i="21"/>
  <c r="U32" i="39"/>
  <c r="AC32" i="39"/>
  <c r="W23" i="37"/>
  <c r="AC23" i="37"/>
  <c r="J11" i="37"/>
  <c r="AC11" i="37" s="1"/>
  <c r="J11" i="34"/>
  <c r="W11" i="34" s="1"/>
  <c r="AB36" i="33"/>
  <c r="W27" i="33"/>
  <c r="AC27" i="33"/>
  <c r="S23" i="33"/>
  <c r="U19" i="33"/>
  <c r="AA17" i="33"/>
  <c r="S17" i="33"/>
  <c r="U17" i="33"/>
  <c r="AB17" i="33"/>
  <c r="W23" i="21"/>
  <c r="H112" i="9"/>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D21" i="71"/>
  <c r="AO13" i="1"/>
  <c r="F3" i="73"/>
  <c r="M24" i="15"/>
  <c r="L47" i="15"/>
  <c r="D3" i="73"/>
  <c r="E9" i="76"/>
  <c r="F7" i="73"/>
  <c r="M28" i="15"/>
  <c r="F36" i="15"/>
  <c r="F37" i="15"/>
  <c r="D6" i="73"/>
  <c r="F6" i="73"/>
  <c r="F42" i="15"/>
  <c r="E12" i="76"/>
  <c r="F26" i="15"/>
  <c r="F4" i="73"/>
  <c r="D4" i="73"/>
  <c r="M6" i="15"/>
  <c r="F5" i="73"/>
  <c r="B13" i="76"/>
  <c r="B12" i="76"/>
  <c r="F40" i="15"/>
  <c r="F9" i="15"/>
  <c r="E13" i="76"/>
  <c r="M9" i="15"/>
  <c r="B9" i="76"/>
  <c r="M8" i="15"/>
  <c r="E2" i="68"/>
  <c r="M26" i="15"/>
  <c r="F20" i="31"/>
  <c r="D5" i="73"/>
  <c r="F16" i="15"/>
  <c r="M23" i="15"/>
  <c r="M22" i="15"/>
  <c r="F8" i="15"/>
  <c r="C76" i="15"/>
  <c r="E2" i="69"/>
  <c r="F13" i="15"/>
  <c r="D7" i="73"/>
  <c r="B10" i="76"/>
  <c r="F38" i="15"/>
  <c r="F6" i="15"/>
  <c r="E10" i="76"/>
  <c r="B11" i="76"/>
  <c r="E11" i="76"/>
  <c r="H42" i="43" l="1"/>
  <c r="G1" i="68"/>
  <c r="G1" i="86"/>
  <c r="G1" i="69"/>
  <c r="AB44" i="34"/>
  <c r="U44" i="34"/>
  <c r="AC35" i="35"/>
  <c r="W35" i="35"/>
  <c r="S36" i="35"/>
  <c r="AA36" i="35"/>
  <c r="AZ519" i="3"/>
  <c r="AZ497" i="3"/>
  <c r="C19" i="71"/>
  <c r="T20" i="71"/>
  <c r="D20" i="71"/>
  <c r="U20" i="71" s="1"/>
  <c r="AC23" i="34"/>
  <c r="AB32" i="37"/>
  <c r="U32" i="37"/>
  <c r="AZ327" i="3"/>
  <c r="BL499" i="3"/>
  <c r="AZ499" i="3" s="1"/>
  <c r="BQ5" i="3"/>
  <c r="AC30" i="37"/>
  <c r="W30" i="37"/>
  <c r="H44" i="39"/>
  <c r="F44" i="39"/>
  <c r="J44" i="39"/>
  <c r="S9" i="40"/>
  <c r="AA9" i="40"/>
  <c r="AA38" i="40"/>
  <c r="S38" i="40"/>
  <c r="AZ553" i="3"/>
  <c r="D21" i="53"/>
  <c r="B39" i="72" s="1"/>
  <c r="W25" i="33"/>
  <c r="AC25" i="33"/>
  <c r="U15" i="21"/>
  <c r="AB15" i="21"/>
  <c r="AC17" i="39"/>
  <c r="W11" i="35"/>
  <c r="AC11" i="35"/>
  <c r="S29" i="33"/>
  <c r="AA29" i="33"/>
  <c r="AC29" i="36"/>
  <c r="W29" i="36"/>
  <c r="W19" i="37"/>
  <c r="AC19" i="37"/>
  <c r="W23" i="33"/>
  <c r="AC23" i="33"/>
  <c r="AA17" i="37"/>
  <c r="S17" i="37"/>
  <c r="AB12" i="39"/>
  <c r="U12" i="39"/>
  <c r="AB32" i="21"/>
  <c r="AA32" i="37"/>
  <c r="S32" i="37"/>
  <c r="AZ363" i="3"/>
  <c r="AZ325" i="3"/>
  <c r="S22" i="36"/>
  <c r="AA22" i="36"/>
  <c r="S25" i="21"/>
  <c r="AA25" i="21"/>
  <c r="AB30" i="40"/>
  <c r="U30" i="40"/>
  <c r="AB11" i="33"/>
  <c r="U11" i="33"/>
  <c r="AZ539" i="3"/>
  <c r="W13" i="37"/>
  <c r="AC13" i="37"/>
  <c r="S39" i="34"/>
  <c r="AA39" i="34"/>
  <c r="AZ518" i="3"/>
  <c r="AB19" i="39"/>
  <c r="U19" i="39"/>
  <c r="AA42" i="21"/>
  <c r="S42" i="21"/>
  <c r="AZ535" i="3"/>
  <c r="AZ529" i="3"/>
  <c r="AZ526" i="3"/>
  <c r="AZ515" i="3"/>
  <c r="U37" i="37"/>
  <c r="AB37" i="37"/>
  <c r="W12" i="37"/>
  <c r="AC12" i="37"/>
  <c r="AC47" i="34"/>
  <c r="W47" i="34"/>
  <c r="U13" i="34"/>
  <c r="AB13" i="34"/>
  <c r="S38" i="21"/>
  <c r="AA38" i="21"/>
  <c r="AZ587" i="3"/>
  <c r="AA37" i="39"/>
  <c r="S37" i="39"/>
  <c r="BA534" i="3"/>
  <c r="AZ534" i="3" s="1"/>
  <c r="AZ533" i="3"/>
  <c r="BA532" i="3"/>
  <c r="AZ532" i="3" s="1"/>
  <c r="AZ531" i="3"/>
  <c r="AZ521" i="3"/>
  <c r="AZ495" i="3"/>
  <c r="AC9" i="34"/>
  <c r="W9" i="34"/>
  <c r="AZ542" i="3"/>
  <c r="BL519" i="3"/>
  <c r="AZ517" i="3"/>
  <c r="AZ512" i="3"/>
  <c r="BS5" i="3"/>
  <c r="F28" i="6" s="1"/>
  <c r="F30" i="21"/>
  <c r="J30" i="21"/>
  <c r="B61" i="43"/>
  <c r="G557" i="3"/>
  <c r="AZ555" i="3"/>
  <c r="W17" i="33"/>
  <c r="U41" i="33"/>
  <c r="AB28" i="33"/>
  <c r="AC39" i="34"/>
  <c r="AB20" i="36"/>
  <c r="U25" i="39"/>
  <c r="F48" i="9"/>
  <c r="O52" i="9" s="1"/>
  <c r="M18" i="86"/>
  <c r="F32" i="86"/>
  <c r="F60" i="86" s="1"/>
  <c r="F28" i="86"/>
  <c r="S41" i="34"/>
  <c r="AA41" i="34"/>
  <c r="AZ575" i="3"/>
  <c r="BA498" i="3"/>
  <c r="AZ498" i="3" s="1"/>
  <c r="AC28" i="21"/>
  <c r="F38" i="37"/>
  <c r="AA34" i="35"/>
  <c r="S34" i="35"/>
  <c r="F25" i="35"/>
  <c r="H25" i="35"/>
  <c r="F9" i="36"/>
  <c r="J9" i="36"/>
  <c r="H9" i="36"/>
  <c r="S40" i="33"/>
  <c r="AA40" i="33"/>
  <c r="AB14" i="37"/>
  <c r="U14" i="37"/>
  <c r="W41" i="34"/>
  <c r="BT5" i="3"/>
  <c r="AC5" i="3"/>
  <c r="W23" i="39"/>
  <c r="BL539" i="3"/>
  <c r="AB17" i="34"/>
  <c r="AB23" i="40"/>
  <c r="U23" i="40"/>
  <c r="J32" i="40"/>
  <c r="H32" i="40"/>
  <c r="AB23" i="21"/>
  <c r="AA15" i="21"/>
  <c r="AA12" i="33"/>
  <c r="AB36" i="21"/>
  <c r="U38" i="34"/>
  <c r="U38" i="37"/>
  <c r="U43" i="34"/>
  <c r="U29" i="35"/>
  <c r="W19" i="39"/>
  <c r="AA34" i="33"/>
  <c r="AA47" i="34"/>
  <c r="BM5" i="3"/>
  <c r="AC46" i="21"/>
  <c r="AB43" i="33"/>
  <c r="U43" i="33"/>
  <c r="BL523" i="3"/>
  <c r="AZ523" i="3" s="1"/>
  <c r="AA44" i="33"/>
  <c r="J38" i="37"/>
  <c r="F12" i="21"/>
  <c r="J12" i="21"/>
  <c r="H12" i="21"/>
  <c r="AZ562" i="3"/>
  <c r="BA561" i="3"/>
  <c r="AZ561" i="3" s="1"/>
  <c r="AA30" i="34"/>
  <c r="S23" i="39"/>
  <c r="U29" i="34"/>
  <c r="AB41" i="34"/>
  <c r="AZ14" i="3"/>
  <c r="BI5" i="3"/>
  <c r="BO5" i="3"/>
  <c r="S14" i="40"/>
  <c r="BL543" i="3"/>
  <c r="AZ543" i="3" s="1"/>
  <c r="H30" i="21"/>
  <c r="W36" i="34"/>
  <c r="AC36" i="34"/>
  <c r="AA28" i="34"/>
  <c r="S28" i="34"/>
  <c r="AB26" i="21"/>
  <c r="U26" i="21"/>
  <c r="AC31" i="34"/>
  <c r="W31" i="34"/>
  <c r="AA45" i="33"/>
  <c r="S45" i="33"/>
  <c r="AZ524" i="3"/>
  <c r="AZ508" i="3"/>
  <c r="AZ505" i="3"/>
  <c r="BA504" i="3"/>
  <c r="AZ504" i="3" s="1"/>
  <c r="AB17" i="40"/>
  <c r="AC38" i="39"/>
  <c r="W37" i="37"/>
  <c r="AZ564" i="3"/>
  <c r="AC36" i="39"/>
  <c r="W36" i="39"/>
  <c r="BA585" i="3"/>
  <c r="AZ585" i="3" s="1"/>
  <c r="H44" i="33"/>
  <c r="J44" i="33"/>
  <c r="H36" i="35"/>
  <c r="J36" i="35"/>
  <c r="B83" i="43"/>
  <c r="AZ547" i="3"/>
  <c r="AZ540" i="3"/>
  <c r="AZ513" i="3"/>
  <c r="W32" i="33"/>
  <c r="W38" i="40"/>
  <c r="J28" i="37"/>
  <c r="S44" i="34"/>
  <c r="AA44" i="34"/>
  <c r="H31" i="34"/>
  <c r="F31" i="34"/>
  <c r="AC45" i="34"/>
  <c r="U27" i="34"/>
  <c r="S23" i="35"/>
  <c r="U33" i="37"/>
  <c r="F32" i="40"/>
  <c r="AZ578" i="3"/>
  <c r="F28" i="37"/>
  <c r="AC39" i="33"/>
  <c r="W39" i="33"/>
  <c r="BL550" i="3"/>
  <c r="AZ550" i="3" s="1"/>
  <c r="E5" i="6"/>
  <c r="D9" i="68" s="1"/>
  <c r="J12" i="36"/>
  <c r="H12" i="36"/>
  <c r="H39" i="40"/>
  <c r="J39" i="40"/>
  <c r="AZ302" i="3"/>
  <c r="B101" i="43"/>
  <c r="J12" i="34"/>
  <c r="F12" i="34"/>
  <c r="AB40" i="40"/>
  <c r="U40" i="40"/>
  <c r="B90" i="43"/>
  <c r="G574" i="3"/>
  <c r="B97" i="43"/>
  <c r="AZ450" i="3"/>
  <c r="AZ453" i="3"/>
  <c r="U33" i="33"/>
  <c r="B99" i="43"/>
  <c r="H34" i="35"/>
  <c r="F23" i="36"/>
  <c r="AZ406" i="3"/>
  <c r="AZ451" i="3"/>
  <c r="AZ252" i="3"/>
  <c r="G566" i="3"/>
  <c r="AZ413" i="3"/>
  <c r="AZ426" i="3"/>
  <c r="AZ444" i="3"/>
  <c r="AZ458" i="3"/>
  <c r="AZ464" i="3"/>
  <c r="AZ476" i="3"/>
  <c r="AZ477" i="3"/>
  <c r="AZ212" i="3"/>
  <c r="AZ272" i="3"/>
  <c r="AZ276" i="3"/>
  <c r="BA551" i="3"/>
  <c r="AZ551" i="3" s="1"/>
  <c r="AZ399" i="3"/>
  <c r="AZ400" i="3"/>
  <c r="AZ425" i="3"/>
  <c r="AZ459" i="3"/>
  <c r="AZ462" i="3"/>
  <c r="AZ290" i="3"/>
  <c r="AZ410" i="3"/>
  <c r="AZ424" i="3"/>
  <c r="AZ440" i="3"/>
  <c r="AZ442" i="3"/>
  <c r="AZ454" i="3"/>
  <c r="AZ456" i="3"/>
  <c r="AZ468" i="3"/>
  <c r="AZ470" i="3"/>
  <c r="AZ486" i="3"/>
  <c r="AZ487" i="3"/>
  <c r="AZ332" i="3"/>
  <c r="B94" i="43"/>
  <c r="AZ409" i="3"/>
  <c r="AZ423" i="3"/>
  <c r="AZ483" i="3"/>
  <c r="AZ262" i="3"/>
  <c r="AZ481" i="3"/>
  <c r="AZ484" i="3"/>
  <c r="AZ397" i="3"/>
  <c r="G395" i="3"/>
  <c r="BL212" i="3"/>
  <c r="BA254" i="3"/>
  <c r="AZ254" i="3" s="1"/>
  <c r="BA258" i="3"/>
  <c r="AZ258" i="3" s="1"/>
  <c r="BA261" i="3"/>
  <c r="AZ261" i="3" s="1"/>
  <c r="BA270" i="3"/>
  <c r="AZ270" i="3" s="1"/>
  <c r="BL283" i="3"/>
  <c r="BA286" i="3"/>
  <c r="AZ286" i="3" s="1"/>
  <c r="BL291" i="3"/>
  <c r="O65" i="71"/>
  <c r="O66" i="71"/>
  <c r="D66" i="71"/>
  <c r="AA23" i="71"/>
  <c r="AA25" i="71"/>
  <c r="AA24" i="71"/>
  <c r="BA331" i="3"/>
  <c r="AZ331" i="3" s="1"/>
  <c r="BA367" i="3"/>
  <c r="AZ367" i="3" s="1"/>
  <c r="BA368" i="3"/>
  <c r="AZ368" i="3" s="1"/>
  <c r="G384" i="3"/>
  <c r="BA384" i="3"/>
  <c r="AZ384" i="3" s="1"/>
  <c r="BA392" i="3"/>
  <c r="AZ392" i="3" s="1"/>
  <c r="BL393" i="3"/>
  <c r="AZ393" i="3" s="1"/>
  <c r="AZ210" i="3"/>
  <c r="BA211" i="3"/>
  <c r="AZ211" i="3" s="1"/>
  <c r="AZ225" i="3"/>
  <c r="BA234" i="3"/>
  <c r="AZ234" i="3" s="1"/>
  <c r="BA244" i="3"/>
  <c r="BA247" i="3"/>
  <c r="BA251" i="3"/>
  <c r="AZ260" i="3"/>
  <c r="BL276" i="3"/>
  <c r="BA279" i="3"/>
  <c r="AZ279" i="3" s="1"/>
  <c r="G283" i="3"/>
  <c r="BL290" i="3"/>
  <c r="BA294" i="3"/>
  <c r="AZ294" i="3" s="1"/>
  <c r="BL123" i="3"/>
  <c r="AZ123" i="3" s="1"/>
  <c r="BA140" i="3"/>
  <c r="AZ140" i="3" s="1"/>
  <c r="BA366" i="3"/>
  <c r="AZ366" i="3" s="1"/>
  <c r="BL383" i="3"/>
  <c r="AZ383" i="3" s="1"/>
  <c r="BL397" i="3"/>
  <c r="BA221" i="3"/>
  <c r="AZ221" i="3" s="1"/>
  <c r="BA233" i="3"/>
  <c r="AZ233" i="3" s="1"/>
  <c r="AZ239" i="3"/>
  <c r="BL285" i="3"/>
  <c r="AZ285" i="3" s="1"/>
  <c r="BL293" i="3"/>
  <c r="AZ293" i="3" s="1"/>
  <c r="AZ161" i="3"/>
  <c r="BL166" i="3"/>
  <c r="AZ166" i="3" s="1"/>
  <c r="BA174" i="3"/>
  <c r="AZ174" i="3" s="1"/>
  <c r="BL25" i="3"/>
  <c r="BA35" i="3"/>
  <c r="AZ35" i="3" s="1"/>
  <c r="BL40" i="3"/>
  <c r="AZ54" i="3"/>
  <c r="AZ57" i="3"/>
  <c r="BA315" i="3"/>
  <c r="AZ315" i="3" s="1"/>
  <c r="G382" i="3"/>
  <c r="G392" i="3"/>
  <c r="BA216" i="3"/>
  <c r="AZ217" i="3"/>
  <c r="BA219" i="3"/>
  <c r="AZ220" i="3"/>
  <c r="BA222" i="3"/>
  <c r="BL234" i="3"/>
  <c r="BA242" i="3"/>
  <c r="BL244" i="3"/>
  <c r="BL247" i="3"/>
  <c r="BL251" i="3"/>
  <c r="BL253" i="3"/>
  <c r="AZ253" i="3" s="1"/>
  <c r="G257" i="3"/>
  <c r="BA263" i="3"/>
  <c r="AZ263" i="3" s="1"/>
  <c r="BL272" i="3"/>
  <c r="BL289" i="3"/>
  <c r="AZ289" i="3" s="1"/>
  <c r="BA301" i="3"/>
  <c r="AZ301" i="3" s="1"/>
  <c r="BA122" i="3"/>
  <c r="AZ122" i="3" s="1"/>
  <c r="BL262" i="3"/>
  <c r="G15" i="3"/>
  <c r="BA350" i="3"/>
  <c r="AZ350" i="3" s="1"/>
  <c r="BL363" i="3"/>
  <c r="G380" i="3"/>
  <c r="BA386" i="3"/>
  <c r="AZ386" i="3" s="1"/>
  <c r="BA395" i="3"/>
  <c r="AZ395" i="3" s="1"/>
  <c r="BL213" i="3"/>
  <c r="AZ213" i="3" s="1"/>
  <c r="G214" i="3"/>
  <c r="BA223" i="3"/>
  <c r="AZ223" i="3" s="1"/>
  <c r="BA226" i="3"/>
  <c r="AZ226" i="3" s="1"/>
  <c r="BA236" i="3"/>
  <c r="AZ236" i="3" s="1"/>
  <c r="BL239" i="3"/>
  <c r="G240" i="3"/>
  <c r="BA243" i="3"/>
  <c r="AZ243" i="3" s="1"/>
  <c r="BA246" i="3"/>
  <c r="AZ246" i="3" s="1"/>
  <c r="BL252" i="3"/>
  <c r="BL265" i="3"/>
  <c r="AZ265" i="3" s="1"/>
  <c r="BA280" i="3"/>
  <c r="AZ280" i="3" s="1"/>
  <c r="BA281" i="3"/>
  <c r="AZ281" i="3" s="1"/>
  <c r="BA295" i="3"/>
  <c r="AZ295" i="3" s="1"/>
  <c r="BA296" i="3"/>
  <c r="AZ296" i="3" s="1"/>
  <c r="BA297" i="3"/>
  <c r="AZ297" i="3" s="1"/>
  <c r="BA298" i="3"/>
  <c r="BL301" i="3"/>
  <c r="BL121" i="3"/>
  <c r="AZ121" i="3" s="1"/>
  <c r="BA125" i="3"/>
  <c r="AZ125" i="3" s="1"/>
  <c r="BA136" i="3"/>
  <c r="AZ136" i="3" s="1"/>
  <c r="BL138" i="3"/>
  <c r="BA349" i="3"/>
  <c r="AZ349" i="3" s="1"/>
  <c r="BA385" i="3"/>
  <c r="AZ385" i="3" s="1"/>
  <c r="BL216" i="3"/>
  <c r="BL219" i="3"/>
  <c r="BL222" i="3"/>
  <c r="BL242" i="3"/>
  <c r="BL255" i="3"/>
  <c r="AZ255" i="3" s="1"/>
  <c r="BA274" i="3"/>
  <c r="AZ274" i="3" s="1"/>
  <c r="BA277" i="3"/>
  <c r="AZ277" i="3" s="1"/>
  <c r="BA284" i="3"/>
  <c r="AZ284" i="3" s="1"/>
  <c r="BA287" i="3"/>
  <c r="AZ287" i="3" s="1"/>
  <c r="BA292" i="3"/>
  <c r="AZ292" i="3" s="1"/>
  <c r="BL297" i="3"/>
  <c r="BL113" i="3"/>
  <c r="F34" i="86"/>
  <c r="F62" i="86" s="1"/>
  <c r="M20" i="86"/>
  <c r="G14" i="3"/>
  <c r="A15" i="62"/>
  <c r="B61" i="72" s="1"/>
  <c r="BL346" i="3"/>
  <c r="AZ346" i="3" s="1"/>
  <c r="BA374" i="3"/>
  <c r="AZ374" i="3" s="1"/>
  <c r="G378" i="3"/>
  <c r="BA208" i="3"/>
  <c r="AZ208" i="3" s="1"/>
  <c r="BL225" i="3"/>
  <c r="BL228" i="3"/>
  <c r="AZ228" i="3" s="1"/>
  <c r="BL231" i="3"/>
  <c r="AZ231" i="3" s="1"/>
  <c r="BL235" i="3"/>
  <c r="AZ235" i="3" s="1"/>
  <c r="BL245" i="3"/>
  <c r="AZ245" i="3" s="1"/>
  <c r="BL248" i="3"/>
  <c r="AZ248" i="3" s="1"/>
  <c r="BA264" i="3"/>
  <c r="AZ264" i="3" s="1"/>
  <c r="BA267" i="3"/>
  <c r="AZ267" i="3" s="1"/>
  <c r="BA268" i="3"/>
  <c r="AZ268" i="3" s="1"/>
  <c r="BA271" i="3"/>
  <c r="AZ271" i="3" s="1"/>
  <c r="BA283" i="3"/>
  <c r="BL298" i="3"/>
  <c r="BL126" i="3"/>
  <c r="BA113" i="3"/>
  <c r="AZ113" i="3" s="1"/>
  <c r="BA114" i="3"/>
  <c r="AZ114" i="3" s="1"/>
  <c r="BA145" i="3"/>
  <c r="AZ145" i="3" s="1"/>
  <c r="BA146" i="3"/>
  <c r="AZ146" i="3" s="1"/>
  <c r="BA188" i="3"/>
  <c r="AZ188" i="3" s="1"/>
  <c r="BL32" i="3"/>
  <c r="AZ32" i="3" s="1"/>
  <c r="BL36" i="3"/>
  <c r="AZ36" i="3" s="1"/>
  <c r="AZ40" i="3"/>
  <c r="AZ49" i="3"/>
  <c r="BL59" i="3"/>
  <c r="AZ59" i="3" s="1"/>
  <c r="BA73" i="3"/>
  <c r="AZ73" i="3" s="1"/>
  <c r="D88" i="71"/>
  <c r="C87" i="71"/>
  <c r="BL302" i="3"/>
  <c r="BA129" i="3"/>
  <c r="AZ129" i="3" s="1"/>
  <c r="BA130" i="3"/>
  <c r="AZ130" i="3" s="1"/>
  <c r="BA134" i="3"/>
  <c r="AZ134" i="3" s="1"/>
  <c r="BA144" i="3"/>
  <c r="AZ144" i="3" s="1"/>
  <c r="BL150" i="3"/>
  <c r="AZ150" i="3" s="1"/>
  <c r="BL154" i="3"/>
  <c r="AZ154" i="3" s="1"/>
  <c r="BL155" i="3"/>
  <c r="AZ155" i="3" s="1"/>
  <c r="BA168" i="3"/>
  <c r="AZ168" i="3" s="1"/>
  <c r="AZ169" i="3"/>
  <c r="BA185" i="3"/>
  <c r="AZ185" i="3" s="1"/>
  <c r="BL189" i="3"/>
  <c r="AZ189" i="3" s="1"/>
  <c r="BA196" i="3"/>
  <c r="AZ196" i="3" s="1"/>
  <c r="BL30" i="3"/>
  <c r="BA45" i="3"/>
  <c r="AZ45" i="3" s="1"/>
  <c r="AZ46" i="3"/>
  <c r="BA69" i="3"/>
  <c r="BA76" i="3"/>
  <c r="AZ76" i="3" s="1"/>
  <c r="BA84" i="3"/>
  <c r="AZ84" i="3" s="1"/>
  <c r="BA87" i="3"/>
  <c r="AZ87" i="3" s="1"/>
  <c r="AZ90" i="3"/>
  <c r="BA92" i="3"/>
  <c r="AZ92" i="3" s="1"/>
  <c r="AZ95" i="3"/>
  <c r="BL98" i="3"/>
  <c r="AZ98" i="3" s="1"/>
  <c r="BA99" i="3"/>
  <c r="AZ99" i="3" s="1"/>
  <c r="BA291" i="3"/>
  <c r="AZ291" i="3" s="1"/>
  <c r="BA300" i="3"/>
  <c r="AZ300" i="3" s="1"/>
  <c r="BA124" i="3"/>
  <c r="AZ124" i="3" s="1"/>
  <c r="BA128" i="3"/>
  <c r="AZ128" i="3" s="1"/>
  <c r="BA137" i="3"/>
  <c r="BA138" i="3"/>
  <c r="AZ138" i="3" s="1"/>
  <c r="BA141" i="3"/>
  <c r="AZ141" i="3" s="1"/>
  <c r="BA142" i="3"/>
  <c r="AZ142" i="3" s="1"/>
  <c r="BL149" i="3"/>
  <c r="AZ149" i="3" s="1"/>
  <c r="BL153" i="3"/>
  <c r="AZ153" i="3" s="1"/>
  <c r="BL169" i="3"/>
  <c r="BL171" i="3"/>
  <c r="AZ171" i="3" s="1"/>
  <c r="BA184" i="3"/>
  <c r="AZ184" i="3" s="1"/>
  <c r="BL198" i="3"/>
  <c r="AZ198" i="3" s="1"/>
  <c r="BL33" i="3"/>
  <c r="AZ33" i="3" s="1"/>
  <c r="BA41" i="3"/>
  <c r="AZ41" i="3" s="1"/>
  <c r="BA44" i="3"/>
  <c r="AZ44" i="3" s="1"/>
  <c r="BL50" i="3"/>
  <c r="AZ50" i="3" s="1"/>
  <c r="BA67" i="3"/>
  <c r="AZ67" i="3" s="1"/>
  <c r="BL71" i="3"/>
  <c r="AZ71" i="3" s="1"/>
  <c r="BL78" i="3"/>
  <c r="AZ78" i="3" s="1"/>
  <c r="BA112" i="3"/>
  <c r="C55" i="71"/>
  <c r="D54" i="71"/>
  <c r="G300" i="3"/>
  <c r="BL122" i="3"/>
  <c r="BA126" i="3"/>
  <c r="G132" i="3"/>
  <c r="BL133" i="3"/>
  <c r="AZ133" i="3" s="1"/>
  <c r="BL135" i="3"/>
  <c r="AZ135" i="3" s="1"/>
  <c r="BL139" i="3"/>
  <c r="AZ139" i="3" s="1"/>
  <c r="BL143" i="3"/>
  <c r="AZ143" i="3" s="1"/>
  <c r="BL147" i="3"/>
  <c r="AZ147" i="3" s="1"/>
  <c r="BA162" i="3"/>
  <c r="AZ162" i="3" s="1"/>
  <c r="AZ201" i="3"/>
  <c r="BA26" i="3"/>
  <c r="AZ26" i="3" s="1"/>
  <c r="BL47" i="3"/>
  <c r="AZ47" i="3" s="1"/>
  <c r="BL49" i="3"/>
  <c r="BA64" i="3"/>
  <c r="AZ64" i="3" s="1"/>
  <c r="AZ65" i="3"/>
  <c r="BL69" i="3"/>
  <c r="BL72" i="3"/>
  <c r="AZ72" i="3" s="1"/>
  <c r="BA80" i="3"/>
  <c r="AZ80" i="3" s="1"/>
  <c r="AZ81" i="3"/>
  <c r="BA106" i="3"/>
  <c r="AZ106" i="3" s="1"/>
  <c r="BA288" i="3"/>
  <c r="AZ288" i="3" s="1"/>
  <c r="BL299" i="3"/>
  <c r="AZ299" i="3" s="1"/>
  <c r="BA118" i="3"/>
  <c r="AZ118" i="3" s="1"/>
  <c r="BL127" i="3"/>
  <c r="AZ127" i="3" s="1"/>
  <c r="BL131" i="3"/>
  <c r="AZ131" i="3" s="1"/>
  <c r="BL137" i="3"/>
  <c r="BL142" i="3"/>
  <c r="BA157" i="3"/>
  <c r="AZ157" i="3" s="1"/>
  <c r="BL170" i="3"/>
  <c r="AZ170" i="3" s="1"/>
  <c r="AZ30" i="3"/>
  <c r="BA38" i="3"/>
  <c r="AZ38" i="3" s="1"/>
  <c r="BA61" i="3"/>
  <c r="AZ61" i="3" s="1"/>
  <c r="AZ62" i="3"/>
  <c r="BL75" i="3"/>
  <c r="AZ75" i="3" s="1"/>
  <c r="BL83" i="3"/>
  <c r="AZ83" i="3" s="1"/>
  <c r="BL91" i="3"/>
  <c r="BA101" i="3"/>
  <c r="AZ101" i="3" s="1"/>
  <c r="U21" i="34"/>
  <c r="AB21" i="34"/>
  <c r="C39" i="71"/>
  <c r="D38" i="71"/>
  <c r="F8" i="1"/>
  <c r="G8" i="1" s="1"/>
  <c r="BL296" i="3"/>
  <c r="BL117" i="3"/>
  <c r="AZ117" i="3" s="1"/>
  <c r="BA177" i="3"/>
  <c r="AZ177" i="3" s="1"/>
  <c r="BA205" i="3"/>
  <c r="AZ205" i="3" s="1"/>
  <c r="BL207" i="3"/>
  <c r="AZ207" i="3" s="1"/>
  <c r="BA97" i="3"/>
  <c r="AZ97" i="3" s="1"/>
  <c r="AZ104" i="3"/>
  <c r="BA27" i="3"/>
  <c r="AZ27" i="3" s="1"/>
  <c r="G89" i="3"/>
  <c r="BL93" i="3"/>
  <c r="AZ93" i="3" s="1"/>
  <c r="G103" i="3"/>
  <c r="BA108" i="3"/>
  <c r="AZ108" i="3" s="1"/>
  <c r="BA109" i="3"/>
  <c r="AZ109" i="3" s="1"/>
  <c r="AC21" i="34"/>
  <c r="X29" i="71"/>
  <c r="AA34" i="71"/>
  <c r="C43" i="71"/>
  <c r="D42" i="71"/>
  <c r="S68" i="71"/>
  <c r="B67" i="71"/>
  <c r="N68" i="71"/>
  <c r="V80" i="71"/>
  <c r="F79" i="71"/>
  <c r="F78" i="71" s="1"/>
  <c r="AA21" i="71"/>
  <c r="BL107" i="3"/>
  <c r="AZ107" i="3" s="1"/>
  <c r="BA110" i="3"/>
  <c r="AZ110" i="3" s="1"/>
  <c r="AA21" i="37"/>
  <c r="S21" i="37"/>
  <c r="AB25" i="40"/>
  <c r="U25" i="40"/>
  <c r="D34" i="71"/>
  <c r="C35" i="71"/>
  <c r="AA35" i="71"/>
  <c r="AA36" i="71"/>
  <c r="X17" i="71"/>
  <c r="BA91" i="3"/>
  <c r="AZ91" i="3" s="1"/>
  <c r="D52" i="43"/>
  <c r="AA33" i="71"/>
  <c r="E34" i="71"/>
  <c r="E35" i="71" s="1"/>
  <c r="E36" i="71" s="1"/>
  <c r="U36" i="71" s="1"/>
  <c r="AA26" i="71"/>
  <c r="Y21" i="71"/>
  <c r="Z21" i="71" s="1"/>
  <c r="AB18" i="71"/>
  <c r="Y14" i="71"/>
  <c r="Z14" i="71" s="1"/>
  <c r="BA100" i="3"/>
  <c r="AZ100" i="3" s="1"/>
  <c r="BA105" i="3"/>
  <c r="AZ105" i="3" s="1"/>
  <c r="G109" i="3"/>
  <c r="C26" i="71"/>
  <c r="D26" i="71" s="1"/>
  <c r="D27" i="71"/>
  <c r="C47" i="71"/>
  <c r="D47" i="71" s="1"/>
  <c r="Y35" i="71"/>
  <c r="Z35" i="71" s="1"/>
  <c r="Y30" i="71"/>
  <c r="Z30" i="71" s="1"/>
  <c r="Y27" i="71"/>
  <c r="Z27" i="71" s="1"/>
  <c r="AA37" i="71"/>
  <c r="AA38" i="71"/>
  <c r="B47" i="71"/>
  <c r="B48" i="71" s="1"/>
  <c r="S48" i="71" s="1"/>
  <c r="C60" i="71"/>
  <c r="D59" i="71"/>
  <c r="AA22" i="71"/>
  <c r="AA17" i="71"/>
  <c r="AA3" i="71"/>
  <c r="BA25" i="3"/>
  <c r="AZ25" i="3" s="1"/>
  <c r="BL99" i="3"/>
  <c r="AB18" i="35"/>
  <c r="U18" i="35"/>
  <c r="AA28" i="71"/>
  <c r="B30" i="71"/>
  <c r="B31" i="71" s="1"/>
  <c r="B32" i="71" s="1"/>
  <c r="S32" i="71" s="1"/>
  <c r="X25" i="71"/>
  <c r="X26" i="71"/>
  <c r="X27" i="71"/>
  <c r="C51" i="71"/>
  <c r="D50" i="71"/>
  <c r="F66" i="71"/>
  <c r="Q67" i="71"/>
  <c r="X24" i="71"/>
  <c r="X18" i="71"/>
  <c r="AB14" i="71"/>
  <c r="AB17" i="71"/>
  <c r="BA102" i="3"/>
  <c r="AZ102" i="3" s="1"/>
  <c r="BL112" i="3"/>
  <c r="J56" i="43"/>
  <c r="D56" i="43"/>
  <c r="T32" i="71"/>
  <c r="D32" i="71"/>
  <c r="AA31" i="71"/>
  <c r="X21" i="71"/>
  <c r="AA18" i="71"/>
  <c r="AA14" i="71"/>
  <c r="BL23" i="3"/>
  <c r="G24" i="3"/>
  <c r="BL24" i="3"/>
  <c r="BL96" i="3"/>
  <c r="AZ96" i="3" s="1"/>
  <c r="G101" i="3"/>
  <c r="G106" i="3"/>
  <c r="AB18" i="36"/>
  <c r="U18" i="36"/>
  <c r="X28" i="71"/>
  <c r="E22" i="71"/>
  <c r="E21" i="71" s="1"/>
  <c r="E20" i="71" s="1"/>
  <c r="X22" i="71"/>
  <c r="Y18" i="71"/>
  <c r="Z18" i="71" s="1"/>
  <c r="Y17" i="71"/>
  <c r="Z17" i="71" s="1"/>
  <c r="S21" i="21"/>
  <c r="B100" i="43"/>
  <c r="AA25" i="40"/>
  <c r="AA27" i="71"/>
  <c r="Y33" i="71"/>
  <c r="Z33" i="71" s="1"/>
  <c r="Y31" i="71"/>
  <c r="Z31" i="71" s="1"/>
  <c r="AB36" i="71"/>
  <c r="AA9" i="71"/>
  <c r="Y13" i="71"/>
  <c r="Z13" i="71" s="1"/>
  <c r="AB11" i="71"/>
  <c r="S18" i="36"/>
  <c r="K56" i="9"/>
  <c r="Y22" i="71"/>
  <c r="Z22" i="71" s="1"/>
  <c r="X15" i="71"/>
  <c r="Y12" i="71"/>
  <c r="Z12" i="71" s="1"/>
  <c r="AB25" i="71"/>
  <c r="AA29" i="71"/>
  <c r="F38" i="71"/>
  <c r="F39" i="71" s="1"/>
  <c r="F40" i="71" s="1"/>
  <c r="V40" i="71" s="1"/>
  <c r="AB39" i="71"/>
  <c r="N56" i="9"/>
  <c r="Y11" i="71"/>
  <c r="Z11" i="71" s="1"/>
  <c r="X11" i="71"/>
  <c r="V28" i="71"/>
  <c r="C78" i="71"/>
  <c r="D78" i="71" s="1"/>
  <c r="Y26" i="71"/>
  <c r="Z26" i="71" s="1"/>
  <c r="AA32" i="71"/>
  <c r="Y29" i="71"/>
  <c r="Z29" i="71" s="1"/>
  <c r="X9" i="71"/>
  <c r="V68" i="71"/>
  <c r="AA15" i="71"/>
  <c r="AA13" i="71"/>
  <c r="X12" i="71"/>
  <c r="C25" i="40"/>
  <c r="V24" i="71"/>
  <c r="AB15" i="71"/>
  <c r="AA12" i="71"/>
  <c r="AB9" i="71"/>
  <c r="X10" i="71"/>
  <c r="AA11" i="71"/>
  <c r="AB12" i="71"/>
  <c r="X13" i="71"/>
  <c r="Y9" i="71"/>
  <c r="Z9" i="71" s="1"/>
  <c r="Y10" i="71"/>
  <c r="Z10" i="71" s="1"/>
  <c r="AA10" i="71"/>
  <c r="X14" i="71"/>
  <c r="E21" i="6"/>
  <c r="K8" i="1" s="1"/>
  <c r="M8" i="1" s="1"/>
  <c r="F39" i="6"/>
  <c r="BA13" i="3"/>
  <c r="M20" i="15"/>
  <c r="G27" i="6"/>
  <c r="BL15" i="3"/>
  <c r="BL16" i="3"/>
  <c r="AZ16" i="3" s="1"/>
  <c r="BA22" i="3"/>
  <c r="AZ22" i="3" s="1"/>
  <c r="BA19" i="3"/>
  <c r="AZ19" i="3" s="1"/>
  <c r="BA20" i="3"/>
  <c r="AZ20" i="3" s="1"/>
  <c r="BA17" i="3"/>
  <c r="AZ17" i="3" s="1"/>
  <c r="BL21" i="3"/>
  <c r="BA15" i="3"/>
  <c r="H69" i="43"/>
  <c r="F6" i="1"/>
  <c r="G6" i="1" s="1"/>
  <c r="C7" i="34"/>
  <c r="C59" i="34" s="1"/>
  <c r="D59" i="34" s="1"/>
  <c r="E59" i="34" s="1"/>
  <c r="F59" i="34" s="1"/>
  <c r="G59" i="34" s="1"/>
  <c r="H59" i="34" s="1"/>
  <c r="I59" i="34" s="1"/>
  <c r="J59" i="34" s="1"/>
  <c r="K59" i="34" s="1"/>
  <c r="L59" i="34" s="1"/>
  <c r="M59" i="34" s="1"/>
  <c r="N59" i="34" s="1"/>
  <c r="O59" i="34" s="1"/>
  <c r="F9" i="1"/>
  <c r="G9" i="1" s="1"/>
  <c r="F11" i="1"/>
  <c r="G11" i="1" s="1"/>
  <c r="G44" i="43"/>
  <c r="F7" i="1"/>
  <c r="BA24" i="3"/>
  <c r="AZ24" i="3" s="1"/>
  <c r="F3" i="35"/>
  <c r="K13" i="1"/>
  <c r="M13" i="1" s="1"/>
  <c r="O13" i="1" s="1"/>
  <c r="P13" i="1" s="1"/>
  <c r="BA23" i="3"/>
  <c r="AZ23" i="3" s="1"/>
  <c r="BE5" i="3"/>
  <c r="BC5" i="3"/>
  <c r="C40" i="68"/>
  <c r="C40" i="69"/>
  <c r="C21" i="68"/>
  <c r="E10" i="1"/>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F29" i="6"/>
  <c r="F30" i="6" s="1"/>
  <c r="G28" i="6"/>
  <c r="E28" i="6" s="1"/>
  <c r="K14" i="1" s="1"/>
  <c r="D19" i="53"/>
  <c r="B38" i="72" s="1"/>
  <c r="M47" i="9"/>
  <c r="C7" i="35"/>
  <c r="C48" i="35" s="1"/>
  <c r="D48" i="35" s="1"/>
  <c r="C7" i="40"/>
  <c r="C63" i="40" s="1"/>
  <c r="D63" i="40" s="1"/>
  <c r="C7" i="39"/>
  <c r="C67" i="39" s="1"/>
  <c r="C69" i="39" s="1"/>
  <c r="C42" i="1"/>
  <c r="C30" i="69" s="1"/>
  <c r="C7" i="36"/>
  <c r="C46" i="36" s="1"/>
  <c r="D46" i="36" s="1"/>
  <c r="E46" i="36" s="1"/>
  <c r="F46" i="36" s="1"/>
  <c r="G46" i="36" s="1"/>
  <c r="H46" i="36" s="1"/>
  <c r="I46" i="36" s="1"/>
  <c r="J46" i="36" s="1"/>
  <c r="C7" i="2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C36" i="68"/>
  <c r="C76" i="86"/>
  <c r="F6" i="86"/>
  <c r="M22" i="86"/>
  <c r="F42" i="67"/>
  <c r="M9" i="86"/>
  <c r="F40" i="86"/>
  <c r="F9" i="67"/>
  <c r="L48" i="86"/>
  <c r="F37" i="67"/>
  <c r="M6" i="86"/>
  <c r="F26" i="67"/>
  <c r="M8" i="86"/>
  <c r="J15" i="67"/>
  <c r="F16" i="86"/>
  <c r="F40" i="67"/>
  <c r="F26" i="86"/>
  <c r="F9" i="86"/>
  <c r="M24" i="86"/>
  <c r="L48" i="67"/>
  <c r="F13" i="67"/>
  <c r="F42" i="86"/>
  <c r="F43" i="67"/>
  <c r="M9" i="67"/>
  <c r="F6" i="67"/>
  <c r="L47" i="86"/>
  <c r="F37" i="86"/>
  <c r="M8" i="67"/>
  <c r="L48" i="15"/>
  <c r="M26" i="86"/>
  <c r="F16" i="67"/>
  <c r="F13" i="86"/>
  <c r="J15" i="15"/>
  <c r="F8" i="86"/>
  <c r="M22" i="67"/>
  <c r="M26" i="67"/>
  <c r="F38" i="67"/>
  <c r="M23" i="86"/>
  <c r="M29" i="67"/>
  <c r="J15" i="86"/>
  <c r="F36" i="67"/>
  <c r="F7" i="67"/>
  <c r="F36" i="86"/>
  <c r="M28" i="67"/>
  <c r="C76" i="67"/>
  <c r="M24" i="67"/>
  <c r="M6" i="67"/>
  <c r="M23" i="67"/>
  <c r="F8" i="67"/>
  <c r="F38" i="86"/>
  <c r="L47" i="67"/>
  <c r="M28" i="86"/>
  <c r="G1" i="73"/>
  <c r="D9" i="69" l="1"/>
  <c r="C9" i="69" s="1"/>
  <c r="D19" i="12"/>
  <c r="C19" i="12" s="1"/>
  <c r="D9" i="11"/>
  <c r="C9" i="11" s="1"/>
  <c r="F64" i="86"/>
  <c r="L57" i="86"/>
  <c r="L56" i="86"/>
  <c r="L60" i="86"/>
  <c r="J57" i="86"/>
  <c r="J55" i="86" s="1"/>
  <c r="J58" i="86" s="1"/>
  <c r="Q50" i="86" s="1"/>
  <c r="I54" i="86"/>
  <c r="J53" i="86"/>
  <c r="F68" i="86"/>
  <c r="C27" i="86"/>
  <c r="F51" i="86"/>
  <c r="F66" i="86"/>
  <c r="F65" i="86"/>
  <c r="N59" i="86"/>
  <c r="L58" i="86"/>
  <c r="M59" i="86"/>
  <c r="L59" i="86"/>
  <c r="Q71" i="86"/>
  <c r="C40" i="71"/>
  <c r="D39" i="71"/>
  <c r="AZ216" i="3"/>
  <c r="AZ247" i="3"/>
  <c r="AA31" i="34"/>
  <c r="S31" i="34"/>
  <c r="AZ69" i="3"/>
  <c r="AZ244" i="3"/>
  <c r="S12" i="34"/>
  <c r="AA12" i="34"/>
  <c r="AC39" i="40"/>
  <c r="W39" i="40"/>
  <c r="AA28" i="37"/>
  <c r="S28" i="37"/>
  <c r="AB31" i="34"/>
  <c r="U31" i="34"/>
  <c r="AB12" i="21"/>
  <c r="U12" i="21"/>
  <c r="AB25" i="35"/>
  <c r="U25" i="35"/>
  <c r="AA44" i="39"/>
  <c r="S44" i="39"/>
  <c r="AZ298" i="3"/>
  <c r="E50" i="43"/>
  <c r="B48" i="43" s="1"/>
  <c r="Q66" i="71"/>
  <c r="Q65" i="71"/>
  <c r="T60" i="71"/>
  <c r="D60" i="71"/>
  <c r="C36" i="71"/>
  <c r="D35" i="71"/>
  <c r="C56" i="71"/>
  <c r="D55" i="71"/>
  <c r="C86" i="71"/>
  <c r="D86" i="71" s="1"/>
  <c r="D87" i="71"/>
  <c r="AZ283" i="3"/>
  <c r="AZ242" i="3"/>
  <c r="W12" i="34"/>
  <c r="AC12" i="34"/>
  <c r="U39" i="40"/>
  <c r="AB39" i="40"/>
  <c r="AC12" i="21"/>
  <c r="W12" i="21"/>
  <c r="S25" i="35"/>
  <c r="AA25" i="35"/>
  <c r="AB44" i="39"/>
  <c r="U44" i="39"/>
  <c r="AZ112" i="3"/>
  <c r="U12" i="36"/>
  <c r="AB12" i="36"/>
  <c r="S32" i="40"/>
  <c r="AA32" i="40"/>
  <c r="S12" i="21"/>
  <c r="AA12" i="21"/>
  <c r="AC32" i="40"/>
  <c r="W32" i="40"/>
  <c r="E29" i="6"/>
  <c r="K15" i="1" s="1"/>
  <c r="E19" i="71"/>
  <c r="E18" i="71" s="1"/>
  <c r="E17" i="71" s="1"/>
  <c r="E16" i="71" s="1"/>
  <c r="V20" i="71"/>
  <c r="C44" i="71"/>
  <c r="D43" i="71"/>
  <c r="C48" i="68"/>
  <c r="BL5" i="3"/>
  <c r="C52" i="71"/>
  <c r="D51" i="71"/>
  <c r="AZ137" i="3"/>
  <c r="AZ222" i="3"/>
  <c r="AA23" i="36"/>
  <c r="S23" i="36"/>
  <c r="AC12" i="36"/>
  <c r="W12" i="36"/>
  <c r="AC28" i="37"/>
  <c r="W28" i="37"/>
  <c r="AC36" i="35"/>
  <c r="W36" i="35"/>
  <c r="AC38" i="37"/>
  <c r="W38" i="37"/>
  <c r="AC30" i="21"/>
  <c r="W30" i="21"/>
  <c r="AA9" i="36"/>
  <c r="S9" i="36"/>
  <c r="W44" i="39"/>
  <c r="AC44" i="39"/>
  <c r="I24" i="43"/>
  <c r="C24" i="43" s="1"/>
  <c r="AB34" i="35"/>
  <c r="U34" i="35"/>
  <c r="AB36" i="35"/>
  <c r="U36" i="35"/>
  <c r="U30" i="21"/>
  <c r="AB30" i="21"/>
  <c r="S38" i="37"/>
  <c r="AA38" i="37"/>
  <c r="S30" i="21"/>
  <c r="AA30" i="21"/>
  <c r="C18" i="71"/>
  <c r="D19" i="71"/>
  <c r="N67" i="71"/>
  <c r="B66" i="71"/>
  <c r="AZ126" i="3"/>
  <c r="AZ219" i="3"/>
  <c r="W44" i="33"/>
  <c r="AC44" i="33"/>
  <c r="AB9" i="36"/>
  <c r="U9" i="36"/>
  <c r="C28" i="86"/>
  <c r="B15" i="71"/>
  <c r="B14" i="71" s="1"/>
  <c r="B13" i="71" s="1"/>
  <c r="B12" i="71" s="1"/>
  <c r="S16" i="71"/>
  <c r="AZ251" i="3"/>
  <c r="U44" i="33"/>
  <c r="AB44" i="33"/>
  <c r="AB32" i="40"/>
  <c r="U32" i="40"/>
  <c r="AC9" i="36"/>
  <c r="W9" i="3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31" i="12"/>
  <c r="C44" i="43"/>
  <c r="C13" i="12"/>
  <c r="C77" i="9"/>
  <c r="C74" i="9" s="1"/>
  <c r="C48" i="69"/>
  <c r="G7" i="1"/>
  <c r="J7" i="37"/>
  <c r="C30" i="68"/>
  <c r="G30" i="6"/>
  <c r="G31" i="6" s="1"/>
  <c r="E11" i="6"/>
  <c r="E60" i="39" s="1"/>
  <c r="E12" i="6"/>
  <c r="E57" i="40" s="1"/>
  <c r="E10" i="6"/>
  <c r="E15" i="6"/>
  <c r="E64" i="39" s="1"/>
  <c r="M9" i="1"/>
  <c r="E14" i="6"/>
  <c r="E63" i="39" s="1"/>
  <c r="F51" i="67"/>
  <c r="F68" i="67"/>
  <c r="Q71" i="67"/>
  <c r="C27" i="67"/>
  <c r="F65" i="67"/>
  <c r="F66" i="67"/>
  <c r="J57" i="67"/>
  <c r="J55" i="67" s="1"/>
  <c r="J58" i="67" s="1"/>
  <c r="Q50" i="67" s="1"/>
  <c r="L56" i="67"/>
  <c r="J53" i="67"/>
  <c r="Q52" i="67" s="1"/>
  <c r="I54" i="67"/>
  <c r="F71" i="67"/>
  <c r="M7" i="67"/>
  <c r="J6" i="67" s="1"/>
  <c r="J18" i="67" s="1"/>
  <c r="F50" i="67"/>
  <c r="C6" i="67"/>
  <c r="C32" i="67" s="1"/>
  <c r="F31" i="67"/>
  <c r="F64" i="67"/>
  <c r="N59" i="67"/>
  <c r="L59" i="67"/>
  <c r="Q74" i="67" s="1"/>
  <c r="L58" i="67"/>
  <c r="Q73" i="67" s="1"/>
  <c r="M59" i="67"/>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8"/>
  <c r="E72" i="43"/>
  <c r="B70" i="43" s="1"/>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Q74" i="15"/>
  <c r="Q61" i="15"/>
  <c r="AE12" i="1"/>
  <c r="AE10" i="1"/>
  <c r="AE9" i="1"/>
  <c r="AE11" i="1"/>
  <c r="M29" i="15"/>
  <c r="F7" i="15"/>
  <c r="F43" i="15"/>
  <c r="C16" i="67"/>
  <c r="F27" i="6" l="1"/>
  <c r="F31" i="6" s="1"/>
  <c r="E51" i="40"/>
  <c r="B11" i="71"/>
  <c r="B10" i="71" s="1"/>
  <c r="B9" i="71" s="1"/>
  <c r="B8" i="71" s="1"/>
  <c r="B7" i="71" s="1"/>
  <c r="B6" i="71" s="1"/>
  <c r="B5" i="71" s="1"/>
  <c r="S12" i="71"/>
  <c r="N65" i="71"/>
  <c r="N66" i="71"/>
  <c r="E15" i="71"/>
  <c r="E14" i="71" s="1"/>
  <c r="E13" i="71" s="1"/>
  <c r="E12" i="71" s="1"/>
  <c r="V16" i="71"/>
  <c r="T40" i="71"/>
  <c r="D40" i="71"/>
  <c r="F1" i="86"/>
  <c r="Q52" i="86"/>
  <c r="T52" i="71"/>
  <c r="D52" i="71"/>
  <c r="T56" i="71"/>
  <c r="D56" i="71"/>
  <c r="C17" i="71"/>
  <c r="D18" i="71"/>
  <c r="Q61" i="86"/>
  <c r="Q74" i="86"/>
  <c r="F59" i="67"/>
  <c r="T36" i="71"/>
  <c r="D36" i="71"/>
  <c r="Q66" i="86"/>
  <c r="Q57" i="86"/>
  <c r="Q73" i="86"/>
  <c r="Q60" i="86"/>
  <c r="D44" i="71"/>
  <c r="T44" i="71"/>
  <c r="E20" i="6"/>
  <c r="K7" i="1" s="1"/>
  <c r="F37" i="6"/>
  <c r="E62" i="39"/>
  <c r="E60" i="40"/>
  <c r="Q73" i="15"/>
  <c r="C24" i="86"/>
  <c r="C53" i="86"/>
  <c r="C10" i="86"/>
  <c r="E16" i="6"/>
  <c r="F1" i="15"/>
  <c r="E61" i="39"/>
  <c r="E56" i="40"/>
  <c r="Q52" i="15"/>
  <c r="E59" i="40"/>
  <c r="C49" i="67"/>
  <c r="Q60" i="67"/>
  <c r="F1" i="67"/>
  <c r="M17" i="67"/>
  <c r="Q61" i="67"/>
  <c r="J5" i="67"/>
  <c r="J24" i="67" s="1"/>
  <c r="E27" i="6"/>
  <c r="K26" i="6" s="1"/>
  <c r="M26" i="6" s="1"/>
  <c r="I26" i="6" s="1"/>
  <c r="S26" i="6" s="1"/>
  <c r="M7" i="15"/>
  <c r="C6" i="15"/>
  <c r="C32" i="15" s="1"/>
  <c r="F50" i="15"/>
  <c r="F31" i="15"/>
  <c r="F71" i="15"/>
  <c r="AP6" i="1"/>
  <c r="C36" i="69" s="1"/>
  <c r="M6" i="1"/>
  <c r="G21" i="3"/>
  <c r="H5" i="3"/>
  <c r="I4" i="6"/>
  <c r="L36" i="43"/>
  <c r="L37" i="43" s="1"/>
  <c r="E65" i="39"/>
  <c r="AC7" i="34"/>
  <c r="V49" i="34" s="1"/>
  <c r="I49"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AE8" i="1"/>
  <c r="AE7" i="1"/>
  <c r="M27" i="67"/>
  <c r="C16" i="15"/>
  <c r="F7" i="86"/>
  <c r="AE6" i="1"/>
  <c r="M29" i="86"/>
  <c r="M27" i="15"/>
  <c r="F41" i="67"/>
  <c r="F43" i="86"/>
  <c r="M27" i="86"/>
  <c r="F41" i="86"/>
  <c r="F71" i="86" l="1"/>
  <c r="C6" i="86"/>
  <c r="C5" i="86" s="1"/>
  <c r="C38" i="86" s="1"/>
  <c r="F31" i="86"/>
  <c r="F50" i="86"/>
  <c r="M7" i="86"/>
  <c r="H16" i="1"/>
  <c r="G16" i="1"/>
  <c r="J10" i="39" s="1"/>
  <c r="K16" i="1"/>
  <c r="C16" i="71"/>
  <c r="D17" i="71"/>
  <c r="E11" i="71"/>
  <c r="E10" i="71" s="1"/>
  <c r="E9" i="71" s="1"/>
  <c r="E8" i="71" s="1"/>
  <c r="E7" i="71" s="1"/>
  <c r="E6" i="71" s="1"/>
  <c r="E5" i="71" s="1"/>
  <c r="V12" i="71"/>
  <c r="M7" i="1"/>
  <c r="F69" i="86"/>
  <c r="F69" i="67"/>
  <c r="B1" i="74"/>
  <c r="C48" i="67"/>
  <c r="C66" i="67" s="1"/>
  <c r="K19" i="6"/>
  <c r="S6" i="1" s="1"/>
  <c r="AQ6" i="1" s="1"/>
  <c r="K22" i="6"/>
  <c r="M22" i="6" s="1"/>
  <c r="I22" i="6" s="1"/>
  <c r="S22" i="6" s="1"/>
  <c r="K23" i="6"/>
  <c r="M23" i="6" s="1"/>
  <c r="I23" i="6" s="1"/>
  <c r="K21" i="6"/>
  <c r="S8" i="1" s="1"/>
  <c r="K24" i="6"/>
  <c r="M24" i="6" s="1"/>
  <c r="I24" i="6" s="1"/>
  <c r="S24" i="6" s="1"/>
  <c r="K20" i="6"/>
  <c r="S7" i="1" s="1"/>
  <c r="E31" i="6"/>
  <c r="K25" i="6"/>
  <c r="C10" i="15"/>
  <c r="C5" i="15" s="1"/>
  <c r="C38" i="15" s="1"/>
  <c r="F59" i="15"/>
  <c r="C49" i="15"/>
  <c r="C48" i="15" s="1"/>
  <c r="G5" i="3"/>
  <c r="B3" i="3" s="1"/>
  <c r="O6" i="1"/>
  <c r="O16" i="1" s="1"/>
  <c r="J6" i="15"/>
  <c r="M17" i="15"/>
  <c r="M36" i="43"/>
  <c r="P36" i="43"/>
  <c r="Q36" i="43"/>
  <c r="N36" i="43"/>
  <c r="O36" i="43"/>
  <c r="P37" i="43"/>
  <c r="M37" i="43"/>
  <c r="Q37" i="43"/>
  <c r="O37" i="43"/>
  <c r="N37" i="43"/>
  <c r="S11" i="1"/>
  <c r="E11" i="70" s="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F41" i="15"/>
  <c r="C16" i="86"/>
  <c r="C17" i="86"/>
  <c r="C17" i="15"/>
  <c r="F69" i="15" l="1"/>
  <c r="F10" i="39"/>
  <c r="H10" i="39"/>
  <c r="M16" i="1"/>
  <c r="M17" i="86"/>
  <c r="J6" i="86"/>
  <c r="F10" i="40"/>
  <c r="C49" i="86"/>
  <c r="F59" i="86"/>
  <c r="H10" i="40"/>
  <c r="AB10" i="40" s="1"/>
  <c r="C33" i="86"/>
  <c r="C32" i="86"/>
  <c r="J10" i="40"/>
  <c r="T6" i="1"/>
  <c r="N16" i="1"/>
  <c r="L16" i="1"/>
  <c r="C15" i="71"/>
  <c r="M23" i="43"/>
  <c r="T16" i="71"/>
  <c r="D16" i="71"/>
  <c r="E8" i="70"/>
  <c r="M19" i="6"/>
  <c r="I19" i="6" s="1"/>
  <c r="AR6" i="1"/>
  <c r="E6" i="70"/>
  <c r="M20" i="6"/>
  <c r="I20" i="6" s="1"/>
  <c r="S20" i="6" s="1"/>
  <c r="S9" i="1"/>
  <c r="C60" i="67"/>
  <c r="S23" i="6"/>
  <c r="L18" i="9"/>
  <c r="S10" i="1"/>
  <c r="AQ10" i="1" s="1"/>
  <c r="T8" i="1"/>
  <c r="AQ8" i="1"/>
  <c r="M21" i="6"/>
  <c r="I21" i="6" s="1"/>
  <c r="S21" i="6" s="1"/>
  <c r="K27" i="6"/>
  <c r="AR8" i="1"/>
  <c r="M25" i="6"/>
  <c r="I25" i="6" s="1"/>
  <c r="S25" i="6" s="1"/>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C38" i="69"/>
  <c r="C35" i="69"/>
  <c r="E12" i="70"/>
  <c r="F34" i="11"/>
  <c r="F11" i="12"/>
  <c r="E9" i="70"/>
  <c r="AQ11" i="1"/>
  <c r="AR11" i="1"/>
  <c r="T11" i="1"/>
  <c r="AR12" i="1"/>
  <c r="T12" i="1"/>
  <c r="AQ12" i="1"/>
  <c r="AR7" i="1"/>
  <c r="AQ7" i="1"/>
  <c r="T7" i="1"/>
  <c r="C15" i="12"/>
  <c r="C12" i="12"/>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D10" i="68"/>
  <c r="C14" i="67"/>
  <c r="C17" i="67"/>
  <c r="C14" i="15"/>
  <c r="C14" i="86"/>
  <c r="U10" i="40" l="1"/>
  <c r="C61" i="86"/>
  <c r="C48" i="86"/>
  <c r="J5" i="86"/>
  <c r="J19" i="86"/>
  <c r="J18" i="86"/>
  <c r="U16" i="71"/>
  <c r="D15" i="71"/>
  <c r="C14" i="71"/>
  <c r="C18" i="86"/>
  <c r="C15" i="86"/>
  <c r="C18" i="67"/>
  <c r="C15" i="67"/>
  <c r="T9" i="1"/>
  <c r="AQ9" i="1"/>
  <c r="AR9" i="1"/>
  <c r="AR10" i="1"/>
  <c r="T10" i="1"/>
  <c r="S16" i="1"/>
  <c r="Q16" i="1"/>
  <c r="F27" i="68" s="1"/>
  <c r="C29" i="68" s="1"/>
  <c r="D27" i="68" s="1"/>
  <c r="D19" i="68"/>
  <c r="D37" i="68" s="1"/>
  <c r="C37" i="68" s="1"/>
  <c r="C10" i="68"/>
  <c r="C8" i="68" s="1"/>
  <c r="E10" i="70"/>
  <c r="E2" i="70" s="1"/>
  <c r="M27" i="6"/>
  <c r="AC6" i="3"/>
  <c r="G26" i="43"/>
  <c r="N370" i="46"/>
  <c r="Z7" i="43"/>
  <c r="H26" i="43"/>
  <c r="J26" i="43"/>
  <c r="E26" i="43"/>
  <c r="N94" i="46"/>
  <c r="F26" i="43"/>
  <c r="B116" i="4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C18" i="15"/>
  <c r="C15" i="15"/>
  <c r="C36" i="11"/>
  <c r="C37" i="11"/>
  <c r="C34" i="11"/>
  <c r="C23" i="12"/>
  <c r="C14" i="12"/>
  <c r="C16" i="12" s="1"/>
  <c r="C21" i="12" s="1"/>
  <c r="C22" i="12" s="1"/>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C34" i="68"/>
  <c r="C19" i="86" l="1"/>
  <c r="C20" i="86" s="1"/>
  <c r="C26" i="86" s="1"/>
  <c r="J24" i="86"/>
  <c r="J26" i="86"/>
  <c r="J29" i="86" s="1"/>
  <c r="C66" i="86"/>
  <c r="C60" i="86"/>
  <c r="D14" i="71"/>
  <c r="C13" i="71"/>
  <c r="T16" i="1"/>
  <c r="C19" i="67"/>
  <c r="C20" i="67" s="1"/>
  <c r="C26" i="67" s="1"/>
  <c r="C47" i="68"/>
  <c r="D45" i="68" s="1"/>
  <c r="F45" i="68"/>
  <c r="C38" i="68"/>
  <c r="C35" i="68"/>
  <c r="F28" i="12"/>
  <c r="C29" i="12" s="1"/>
  <c r="D28" i="12" s="1"/>
  <c r="F27" i="69"/>
  <c r="F27" i="11"/>
  <c r="D26" i="43"/>
  <c r="C25" i="4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C36" i="86" s="1"/>
  <c r="C23" i="67"/>
  <c r="C29" i="67" s="1"/>
  <c r="J59" i="67" s="1"/>
  <c r="J60" i="67" s="1"/>
  <c r="Q48" i="67" s="1"/>
  <c r="D13" i="71"/>
  <c r="C12" i="7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R21" i="6"/>
  <c r="R8" i="1" s="1"/>
  <c r="H27" i="6"/>
  <c r="R22" i="6"/>
  <c r="R9" i="1" s="1"/>
  <c r="C118" i="43"/>
  <c r="D116" i="43" s="1"/>
  <c r="C33" i="43"/>
  <c r="C34" i="43" s="1"/>
  <c r="E34" i="43" s="1"/>
  <c r="C31" i="43" s="1"/>
  <c r="D16" i="6"/>
  <c r="R23" i="6"/>
  <c r="R10" i="1" s="1"/>
  <c r="A7" i="51"/>
  <c r="B7" i="72" s="1"/>
  <c r="C4" i="52"/>
  <c r="B45" i="72" s="1"/>
  <c r="A10" i="51"/>
  <c r="B9" i="72" s="1"/>
  <c r="R24" i="6"/>
  <c r="R11" i="1" s="1"/>
  <c r="R19" i="6"/>
  <c r="D30" i="6"/>
  <c r="D31" i="6" s="1"/>
  <c r="R26" i="6"/>
  <c r="R25" i="6"/>
  <c r="R12" i="1" s="1"/>
  <c r="W7" i="21"/>
  <c r="AA7" i="21"/>
  <c r="R48" i="21" s="1"/>
  <c r="J7" i="35"/>
  <c r="W7" i="35" s="1"/>
  <c r="C36" i="67"/>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F35" i="67"/>
  <c r="M21" i="67"/>
  <c r="M21" i="15"/>
  <c r="F35" i="15"/>
  <c r="E8" i="76"/>
  <c r="E7" i="76"/>
  <c r="C13" i="67" l="1"/>
  <c r="Q70" i="67" s="1"/>
  <c r="C57" i="67"/>
  <c r="C64" i="67" s="1"/>
  <c r="Q49" i="67"/>
  <c r="J14" i="67"/>
  <c r="J13" i="67" s="1"/>
  <c r="J23" i="67" s="1"/>
  <c r="C13" i="86"/>
  <c r="C56" i="86" s="1"/>
  <c r="C65" i="86" s="1"/>
  <c r="J59" i="86"/>
  <c r="J60" i="86" s="1"/>
  <c r="Q48" i="86" s="1"/>
  <c r="C46" i="68"/>
  <c r="C45" i="68" s="1"/>
  <c r="C57" i="86"/>
  <c r="C64" i="86" s="1"/>
  <c r="J14" i="86"/>
  <c r="J22" i="86" s="1"/>
  <c r="C11" i="71"/>
  <c r="T12" i="71"/>
  <c r="D12" i="71"/>
  <c r="U12" i="71" s="1"/>
  <c r="C42" i="68"/>
  <c r="C41" i="68" s="1"/>
  <c r="Q49" i="86"/>
  <c r="C31" i="69"/>
  <c r="C31" i="11"/>
  <c r="R7" i="1"/>
  <c r="E33" i="43"/>
  <c r="C30" i="43" s="1"/>
  <c r="I5" i="6"/>
  <c r="I6" i="6"/>
  <c r="R27" i="6"/>
  <c r="AC7" i="35"/>
  <c r="V38" i="35" s="1"/>
  <c r="I38" i="35" s="1"/>
  <c r="J22" i="67"/>
  <c r="C37"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8" i="76"/>
  <c r="M21" i="86"/>
  <c r="E6" i="76"/>
  <c r="B7" i="76"/>
  <c r="F35" i="86"/>
  <c r="C56" i="67" l="1"/>
  <c r="C65" i="67" s="1"/>
  <c r="C58" i="67" s="1"/>
  <c r="C67" i="67" s="1"/>
  <c r="C68" i="67" s="1"/>
  <c r="C71" i="67" s="1"/>
  <c r="C75" i="67"/>
  <c r="C49" i="68"/>
  <c r="C51" i="68" s="1"/>
  <c r="C37" i="86"/>
  <c r="Q70" i="86"/>
  <c r="C75" i="86"/>
  <c r="C52" i="69"/>
  <c r="B2" i="69" s="1"/>
  <c r="B3" i="69" s="1"/>
  <c r="J13" i="86"/>
  <c r="J23" i="86" s="1"/>
  <c r="L46" i="86"/>
  <c r="C10" i="71"/>
  <c r="D11" i="71"/>
  <c r="J20" i="86"/>
  <c r="J17" i="86" s="1"/>
  <c r="F63" i="86"/>
  <c r="C62" i="86" s="1"/>
  <c r="C59" i="86" s="1"/>
  <c r="C58" i="86" s="1"/>
  <c r="C67" i="86" s="1"/>
  <c r="C68" i="86" s="1"/>
  <c r="C34" i="86"/>
  <c r="C31" i="86" s="1"/>
  <c r="R16" i="1"/>
  <c r="E2" i="76"/>
  <c r="B2" i="43"/>
  <c r="C6" i="68"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B6" i="76"/>
  <c r="C30" i="86" l="1"/>
  <c r="C39" i="86" s="1"/>
  <c r="Q69" i="86" s="1"/>
  <c r="Q68" i="86" s="1"/>
  <c r="C57" i="69"/>
  <c r="C56" i="69" s="1"/>
  <c r="J16" i="86"/>
  <c r="J25" i="86" s="1"/>
  <c r="D10" i="71"/>
  <c r="C9" i="71"/>
  <c r="C71" i="86"/>
  <c r="B2" i="76"/>
  <c r="B3" i="76" s="1"/>
  <c r="B3"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6"/>
  <c r="L51" i="67"/>
  <c r="D2" i="33"/>
  <c r="C80" i="86" l="1"/>
  <c r="C79" i="86" s="1"/>
  <c r="H39" i="86"/>
  <c r="C40" i="86"/>
  <c r="C46" i="86" s="1"/>
  <c r="C8" i="71"/>
  <c r="D9" i="71"/>
  <c r="Q67" i="86"/>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65" i="86" l="1"/>
  <c r="Q75" i="86" s="1"/>
  <c r="C43" i="86"/>
  <c r="Q47" i="86"/>
  <c r="Q53" i="86" s="1"/>
  <c r="C83" i="86"/>
  <c r="C82" i="86" s="1"/>
  <c r="Q56" i="86"/>
  <c r="Q62" i="86" s="1"/>
  <c r="B2" i="86"/>
  <c r="B3" i="86" s="1"/>
  <c r="D8" i="71"/>
  <c r="C7" i="71"/>
  <c r="C20" i="68"/>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0" i="1"/>
  <c r="AO11" i="1"/>
  <c r="AO12" i="1"/>
  <c r="C6" i="71" l="1"/>
  <c r="D7" i="71"/>
  <c r="C25" i="68"/>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7" i="1"/>
  <c r="AO6" i="1"/>
  <c r="D6" i="71" l="1"/>
  <c r="C5" i="71"/>
  <c r="C57" i="68"/>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D5" i="71" l="1"/>
  <c r="M24" i="43" s="1"/>
  <c r="C103" i="9"/>
  <c r="B2" i="70"/>
  <c r="B3" i="70" s="1"/>
  <c r="C42" i="40"/>
  <c r="C43" i="40"/>
  <c r="E47" i="40"/>
  <c r="F47" i="40" s="1"/>
  <c r="E46" i="40"/>
  <c r="F46" i="40" s="1"/>
  <c r="I47" i="40"/>
  <c r="J47" i="40" s="1"/>
  <c r="D19" i="9"/>
  <c r="D20" i="9"/>
  <c r="G19" i="9" l="1"/>
  <c r="G37" i="6"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E118" i="9"/>
  <c r="E4" i="52" s="1"/>
  <c r="B48" i="72" s="1"/>
  <c r="F14" i="74"/>
  <c r="B5" i="74"/>
  <c r="D5" i="74" s="1"/>
  <c r="E14" i="74"/>
  <c r="H102" i="9"/>
  <c r="D7" i="53" s="1"/>
  <c r="B21" i="72" s="1"/>
  <c r="I4" i="52"/>
  <c r="M48" i="9"/>
  <c r="D5" i="53"/>
  <c r="D45" i="9"/>
  <c r="H109" i="9"/>
  <c r="H108" i="9"/>
  <c r="D7" i="74" l="1"/>
  <c r="C27" i="74"/>
  <c r="C5" i="74"/>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l="1"/>
  <c r="M69" i="9"/>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<sst xmlns="http://schemas.openxmlformats.org/spreadsheetml/2006/main" count="8375" uniqueCount="3494">
  <si>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</si>
  <si>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</si>
  <si>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</si>
  <si>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</si>
  <si>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</si>
  <si>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</si>
  <si>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</si>
  <si>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</si>
  <si>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</si>
  <si>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</si>
  <si>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</si>
  <si>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</si>
  <si>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</si>
  <si>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</si>
  <si>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</si>
  <si>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</si>
  <si>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</si>
  <si>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</si>
  <si>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</si>
  <si>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</si>
  <si>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</si>
  <si>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</si>
  <si>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</si>
  <si>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</si>
  <si>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</si>
  <si>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</si>
  <si>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</si>
  <si>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</si>
  <si>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</si>
  <si>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</si>
  <si>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</si>
  <si>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</si>
  <si>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</si>
  <si>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</si>
  <si>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</si>
  <si>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</si>
  <si>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</si>
  <si>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</si>
  <si>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</si>
  <si>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</si>
  <si>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</si>
  <si>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</si>
  <si>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</si>
  <si>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</si>
  <si>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</si>
  <si>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</si>
  <si>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</si>
  <si>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</si>
  <si>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</si>
  <si>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</si>
  <si>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</si>
  <si>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</si>
  <si>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</si>
  <si>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</si>
  <si>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</si>
  <si>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</si>
  <si>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</si>
  <si>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</si>
  <si>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</si>
  <si>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</si>
  <si>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</si>
  <si>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</si>
  <si>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</si>
  <si>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</si>
  <si>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</si>
  <si>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</si>
  <si>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</si>
  <si>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</si>
  <si>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</si>
  <si>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</si>
  <si>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</si>
  <si>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</si>
  <si>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</si>
  <si>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</si>
  <si>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</si>
  <si>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</si>
  <si>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</si>
  <si>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</si>
  <si>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</si>
  <si>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</si>
  <si>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</si>
  <si>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</si>
  <si>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</si>
  <si>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</si>
  <si>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</si>
  <si>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</si>
  <si>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</si>
  <si>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</si>
  <si>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</si>
  <si>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</si>
  <si>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</si>
  <si>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</si>
  <si>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</si>
  <si>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</si>
  <si>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</si>
  <si>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</si>
  <si>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</si>
  <si>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</si>
  <si>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</si>
  <si>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</si>
  <si>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</si>
  <si>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</si>
  <si>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</si>
  <si>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</si>
  <si>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</si>
  <si>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</si>
  <si>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</si>
  <si>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</si>
  <si>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</si>
  <si>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</si>
  <si>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</si>
  <si>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</si>
  <si>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</si>
  <si>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</si>
  <si>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</si>
  <si>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</si>
  <si>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</si>
  <si>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</si>
  <si>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</si>
  <si>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</si>
  <si>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</si>
  <si>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</si>
  <si>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</si>
  <si>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</si>
  <si>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</si>
  <si>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</si>
  <si>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</si>
  <si>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</si>
  <si>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</si>
  <si>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</si>
  <si>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</si>
  <si>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</si>
  <si>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</si>
  <si>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</si>
  <si>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</si>
  <si>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</si>
  <si>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</si>
  <si>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</si>
  <si>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</si>
  <si>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</si>
  <si>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</si>
  <si>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</si>
  <si>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</si>
  <si>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</si>
  <si>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</si>
  <si>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</si>
  <si>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</si>
  <si>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</si>
  <si>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</si>
  <si>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</si>
  <si>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</si>
  <si>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</si>
  <si>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</si>
  <si>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</si>
  <si>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</si>
  <si>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</si>
  <si>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</si>
  <si>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</si>
  <si>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</si>
  <si>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</si>
  <si>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</si>
  <si>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</si>
  <si>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</si>
  <si>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</si>
  <si>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</si>
  <si>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</si>
  <si>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</si>
  <si>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</si>
  <si>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</si>
  <si>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</si>
  <si>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</si>
  <si>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</si>
  <si>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</si>
  <si>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</si>
  <si>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</si>
  <si>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</si>
  <si>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</si>
  <si>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</si>
  <si>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</si>
  <si>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</si>
  <si>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</si>
  <si>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</si>
  <si>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</si>
  <si>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</si>
  <si>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</si>
  <si>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</si>
  <si>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</si>
  <si>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</si>
  <si>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</si>
  <si>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</si>
  <si>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</si>
  <si>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</si>
  <si>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</si>
  <si>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</si>
  <si>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</si>
  <si>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</si>
  <si>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</si>
  <si>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</si>
  <si>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</si>
  <si>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</si>
  <si>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</si>
  <si>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</si>
  <si>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</si>
  <si>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</si>
  <si>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</si>
  <si>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</si>
  <si>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</si>
  <si>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</si>
  <si>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</si>
  <si>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</si>
  <si>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</si>
  <si>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</si>
  <si>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</si>
  <si>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</si>
  <si>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</si>
  <si>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</si>
  <si>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</si>
  <si>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</si>
  <si>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</si>
  <si>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</si>
  <si>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</si>
  <si>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</si>
  <si>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</si>
  <si>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</si>
  <si>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</si>
  <si>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</si>
  <si>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</si>
  <si>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</si>
  <si>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</si>
  <si>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</si>
  <si>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</si>
  <si>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</si>
  <si>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</si>
  <si>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</si>
  <si>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</si>
  <si>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</si>
  <si>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</si>
  <si>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</si>
  <si>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</si>
  <si>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</si>
  <si>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</si>
  <si>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</si>
  <si>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</si>
  <si>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</si>
  <si>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</si>
  <si>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</si>
  <si>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</si>
  <si>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</si>
  <si>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</si>
  <si>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</si>
  <si>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</si>
  <si>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</si>
  <si>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</si>
  <si>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</si>
  <si>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</si>
  <si>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</si>
  <si>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</si>
  <si>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</si>
  <si>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</si>
  <si>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</si>
  <si>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</si>
  <si>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</si>
  <si>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</si>
  <si>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</si>
  <si>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</si>
  <si>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</si>
  <si>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</si>
  <si>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</si>
  <si>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</si>
  <si>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</si>
  <si>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</si>
  <si>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</si>
  <si>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</si>
  <si>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</si>
  <si>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</si>
  <si>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</si>
  <si>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</si>
  <si>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</si>
  <si>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</si>
  <si>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</si>
  <si>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</si>
  <si>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</si>
  <si>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</si>
  <si>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</si>
  <si>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</si>
  <si>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</si>
  <si>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</si>
  <si>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</si>
  <si>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</si>
  <si>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</si>
  <si>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</si>
  <si>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</si>
  <si>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</si>
  <si>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</si>
  <si>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</si>
  <si>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</si>
  <si>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</si>
  <si>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</si>
  <si>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</si>
  <si>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</si>
  <si>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</si>
  <si>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</si>
  <si>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</si>
  <si>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</si>
  <si>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</si>
  <si>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</si>
  <si>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</si>
  <si>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</si>
  <si>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</si>
  <si>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</si>
  <si>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</si>
  <si>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</si>
  <si>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</si>
  <si>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</si>
  <si>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</si>
  <si>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</si>
  <si>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</si>
  <si>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</si>
  <si>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</si>
  <si>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</si>
  <si>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</si>
  <si>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</si>
  <si>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</si>
  <si>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</si>
  <si>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</si>
  <si>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</si>
  <si>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</si>
  <si>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</si>
  <si>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</si>
  <si>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</si>
  <si>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</si>
  <si>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</si>
  <si>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</si>
  <si>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</si>
  <si>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</si>
  <si>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</si>
  <si>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</si>
  <si>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</si>
  <si>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</si>
  <si>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</si>
  <si>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</si>
  <si>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</si>
  <si>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</si>
  <si>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</si>
  <si>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</si>
  <si>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</si>
  <si>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</si>
  <si>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</si>
  <si>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</si>
  <si>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</si>
  <si>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</si>
  <si>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</si>
  <si>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</si>
  <si>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</si>
  <si>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</si>
  <si>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</si>
  <si>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</si>
  <si>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</si>
  <si>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</si>
  <si>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</si>
  <si>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</si>
  <si>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</si>
  <si>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</si>
  <si>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</si>
  <si>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</si>
  <si>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</si>
  <si>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</si>
  <si>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</si>
  <si>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</si>
  <si>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</si>
  <si>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</si>
  <si>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</si>
  <si>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</si>
  <si>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</si>
  <si>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</si>
  <si>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</si>
  <si>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</si>
  <si>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</si>
  <si>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</si>
  <si>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</si>
  <si>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</si>
  <si>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</si>
  <si>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</si>
  <si>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</si>
  <si>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</si>
  <si>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</si>
  <si>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</si>
  <si>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</si>
  <si>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</si>
  <si>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</si>
  <si>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</si>
  <si>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</si>
  <si>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</si>
  <si>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</si>
  <si>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</si>
  <si>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</si>
  <si>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</si>
  <si>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</si>
  <si>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</si>
  <si>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</si>
  <si>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</si>
  <si>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</si>
  <si>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</si>
  <si>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</si>
  <si>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</si>
  <si>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</si>
  <si>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</si>
  <si>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</si>
  <si>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</si>
  <si>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</si>
  <si>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</si>
  <si>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</si>
  <si>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</si>
  <si>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</si>
  <si>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</si>
  <si>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</si>
  <si>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</si>
  <si>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</si>
  <si>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</si>
  <si>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</si>
  <si>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</si>
  <si>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</si>
  <si>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</si>
  <si>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</si>
  <si>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</si>
  <si>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</si>
  <si>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</si>
  <si>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</si>
  <si>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</si>
  <si>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</si>
  <si>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</si>
  <si>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</si>
  <si>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</si>
  <si>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</si>
  <si>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</si>
  <si>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</si>
  <si>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</si>
  <si>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</si>
  <si>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</si>
  <si>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</si>
  <si>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</si>
  <si>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</si>
  <si>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</si>
  <si>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</si>
  <si>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</si>
  <si>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</si>
  <si>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</si>
  <si>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</si>
  <si>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</si>
  <si>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</si>
  <si>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</si>
  <si>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</si>
  <si>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</si>
  <si>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</si>
  <si>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</si>
  <si>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</si>
  <si>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</si>
  <si>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</si>
  <si>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</si>
  <si>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</si>
  <si>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</si>
  <si>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</si>
  <si>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</si>
  <si>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</si>
  <si>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</si>
  <si>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</si>
  <si>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</si>
  <si>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</si>
  <si>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</si>
  <si>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</si>
  <si>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</si>
  <si>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</si>
  <si>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</si>
  <si>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</si>
  <si>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</si>
  <si>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</si>
  <si>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</si>
  <si>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</si>
  <si>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</si>
  <si>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</si>
  <si>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</si>
  <si>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</si>
  <si>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</si>
  <si>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</si>
  <si>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</si>
  <si>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</si>
  <si>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</si>
  <si>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</si>
  <si>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</si>
  <si>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</si>
  <si>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</si>
  <si>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</si>
  <si>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</si>
  <si>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</si>
  <si>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</si>
  <si>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</si>
  <si>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</si>
  <si>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</si>
  <si>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</si>
  <si>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</si>
  <si>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</si>
  <si>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</si>
  <si>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</si>
  <si>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</si>
  <si>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</si>
  <si>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</si>
  <si>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</si>
  <si>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</si>
  <si>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</si>
  <si>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</si>
  <si>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</si>
  <si>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</si>
  <si>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</si>
  <si>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</si>
  <si>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</si>
  <si>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</si>
  <si>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</si>
  <si>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</si>
  <si>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</si>
  <si>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</si>
  <si>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</si>
  <si>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</si>
  <si>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</si>
  <si>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</si>
  <si>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</si>
  <si>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</si>
  <si>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</si>
  <si>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</si>
  <si>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</si>
  <si>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</si>
  <si>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</si>
  <si>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</si>
  <si>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</si>
  <si>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</si>
  <si>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</si>
  <si>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</si>
  <si>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</si>
  <si>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</si>
  <si>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</si>
  <si>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</si>
  <si>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</si>
  <si>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</si>
  <si>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</si>
  <si>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</si>
  <si>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</si>
  <si>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</si>
  <si>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</si>
  <si>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</si>
  <si>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</si>
  <si>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</si>
  <si>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</si>
  <si>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</si>
  <si>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</si>
  <si>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</si>
  <si>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</si>
  <si>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</si>
  <si>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</si>
  <si>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</si>
  <si>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</si>
  <si>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</si>
  <si>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</si>
  <si>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</si>
  <si>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</si>
  <si>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</si>
  <si>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</si>
  <si>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</si>
  <si>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</si>
  <si>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</si>
  <si>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</si>
  <si>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</si>
  <si>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</si>
  <si>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</si>
  <si>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</si>
  <si>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</si>
  <si>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</si>
  <si>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</si>
  <si>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</si>
  <si>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</si>
  <si>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</si>
  <si>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</si>
  <si>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</si>
  <si>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</si>
  <si>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</si>
  <si>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</si>
  <si>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</si>
  <si>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</si>
  <si>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</si>
  <si>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</si>
  <si>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</si>
  <si>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</si>
  <si>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</si>
  <si>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</si>
  <si>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</si>
  <si>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</si>
  <si>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</si>
  <si>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</si>
  <si>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</si>
  <si>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</si>
  <si>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</si>
  <si>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</si>
  <si>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</si>
  <si>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</si>
  <si>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</si>
  <si>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</si>
  <si>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</si>
  <si>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</si>
  <si>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</si>
  <si>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</si>
  <si>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</si>
  <si>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</si>
  <si>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</si>
  <si>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</si>
  <si>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</si>
  <si>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</si>
  <si>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</si>
  <si>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</si>
  <si>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</si>
  <si>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</si>
  <si>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</si>
  <si>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</si>
  <si>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</si>
  <si>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</si>
  <si>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</si>
  <si>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</si>
  <si>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</si>
  <si>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</si>
  <si>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</si>
  <si>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</si>
  <si>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</si>
  <si>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</si>
  <si>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</si>
  <si>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</si>
  <si>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</si>
  <si>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</si>
  <si>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</si>
  <si>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</si>
  <si>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</si>
  <si>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</si>
  <si>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</si>
  <si>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</si>
  <si>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</si>
  <si>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</si>
  <si>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</si>
  <si>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</si>
  <si>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</si>
  <si>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</si>
  <si>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</si>
  <si>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</si>
  <si>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</si>
  <si>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</si>
  <si>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</si>
  <si>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</si>
  <si>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</si>
  <si>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</si>
  <si>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</si>
  <si>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</si>
  <si>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</si>
  <si>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</si>
  <si>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</si>
  <si>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</si>
  <si>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</si>
  <si>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</si>
  <si>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</si>
  <si>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</si>
  <si>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</si>
  <si>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</si>
  <si>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</si>
  <si>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</si>
  <si>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</si>
  <si>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</si>
  <si>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</si>
  <si>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</si>
  <si>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</si>
  <si>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</si>
  <si>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</si>
  <si>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</si>
  <si>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</si>
  <si>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</si>
  <si>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</si>
  <si>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</si>
  <si>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</si>
  <si>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</si>
  <si>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</si>
  <si>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</si>
  <si>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</si>
  <si>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</si>
  <si>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</si>
  <si>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</si>
  <si>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</si>
  <si>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</si>
  <si>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</si>
  <si>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</si>
  <si>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</si>
  <si>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</si>
  <si>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</si>
  <si>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</si>
  <si>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</si>
  <si>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</si>
  <si>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</si>
  <si>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</si>
  <si>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</si>
  <si>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</si>
  <si>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</si>
  <si>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</si>
  <si>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</si>
  <si>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</si>
  <si>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</si>
  <si>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</si>
  <si>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</si>
  <si>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</si>
  <si>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</si>
  <si>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</si>
  <si>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</si>
  <si>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</si>
  <si>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</si>
  <si>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</si>
  <si>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</si>
  <si>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</si>
  <si>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</si>
  <si>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</si>
  <si>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</si>
  <si>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</si>
  <si>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</si>
  <si>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</si>
  <si>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</si>
  <si>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</si>
  <si>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</si>
  <si>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</si>
  <si>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</si>
  <si>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</si>
  <si>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</si>
  <si>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</si>
  <si>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</si>
  <si>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</si>
  <si>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</si>
  <si>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</si>
  <si>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</si>
  <si>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</si>
  <si>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</si>
  <si>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</si>
  <si>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</si>
  <si>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</si>
  <si>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</si>
  <si>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</si>
  <si>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</si>
  <si>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</si>
  <si>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</si>
  <si>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</si>
  <si>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</si>
  <si>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</si>
  <si>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</si>
  <si>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</si>
  <si>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</si>
  <si>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</si>
  <si>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</si>
  <si>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</si>
  <si>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</si>
  <si>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</si>
  <si>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</si>
  <si>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</si>
  <si>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</si>
  <si>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</si>
  <si>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</si>
  <si>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</si>
  <si>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</si>
  <si>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</si>
  <si>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</si>
  <si>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</si>
  <si>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</si>
  <si>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</si>
  <si>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</si>
  <si>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</si>
  <si>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</si>
  <si>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</si>
  <si>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</si>
  <si>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</si>
  <si>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</si>
  <si>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</si>
  <si>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</si>
  <si>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</si>
  <si>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</si>
  <si>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</si>
  <si>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</si>
  <si>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</si>
  <si>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</si>
  <si>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</si>
  <si>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</si>
  <si>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</si>
  <si>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</si>
  <si>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</si>
  <si>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</si>
  <si>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</si>
  <si>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</si>
  <si>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</si>
  <si>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</si>
  <si>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</si>
  <si>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</si>
  <si>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</si>
  <si>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</si>
  <si>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</si>
  <si>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</si>
  <si>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</si>
  <si>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</si>
  <si>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</si>
  <si>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</si>
  <si>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</si>
  <si>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</si>
  <si>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</si>
  <si>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</si>
  <si>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</si>
  <si>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</si>
  <si>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</si>
  <si>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</si>
  <si>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</si>
  <si>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</si>
  <si>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</si>
  <si>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</si>
  <si>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</si>
  <si>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</si>
  <si>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</si>
  <si>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</si>
  <si>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</si>
  <si>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</si>
  <si>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</si>
  <si>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</si>
  <si>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</si>
  <si>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</si>
  <si>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</si>
  <si>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</si>
  <si>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</si>
  <si>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</si>
  <si>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</si>
  <si>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</si>
  <si>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</si>
  <si>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</si>
  <si>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</si>
  <si>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</si>
  <si>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</si>
  <si>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</si>
  <si>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</si>
  <si>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</si>
  <si>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</si>
  <si>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</si>
  <si>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</si>
  <si>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</si>
  <si>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</si>
  <si>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</si>
  <si>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</si>
  <si>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</si>
  <si>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</si>
  <si>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</si>
  <si>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</si>
  <si>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</si>
  <si>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</si>
  <si>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</si>
  <si>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</si>
  <si>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</si>
  <si>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</si>
  <si>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</si>
  <si>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</si>
  <si>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</si>
  <si>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</si>
  <si>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</si>
  <si>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</si>
  <si>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</si>
  <si>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</si>
  <si>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</si>
  <si>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</si>
  <si>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</si>
  <si>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</si>
  <si>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</si>
  <si>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</si>
  <si>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</si>
  <si>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</si>
  <si>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</si>
  <si>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</si>
  <si>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</si>
  <si>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</si>
  <si>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</si>
  <si>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</si>
  <si>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</si>
  <si>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</si>
  <si>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</si>
  <si>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</si>
  <si>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</si>
  <si>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</si>
  <si>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</si>
  <si>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</si>
  <si>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</si>
  <si>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</si>
  <si>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</si>
  <si>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</si>
  <si>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</si>
  <si>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</si>
  <si>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</si>
  <si>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</si>
  <si>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</si>
  <si>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</si>
  <si>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</si>
  <si>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</si>
  <si>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</si>
  <si>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</si>
  <si>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</si>
  <si>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</si>
  <si>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</si>
  <si>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</si>
  <si>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</si>
  <si>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</si>
  <si>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</si>
  <si>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</si>
  <si>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</si>
  <si>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</si>
  <si>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</si>
  <si>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</si>
  <si>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</si>
  <si>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</si>
  <si>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</si>
  <si>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</si>
  <si>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</si>
  <si>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</si>
  <si>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</si>
  <si>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</si>
  <si>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</si>
  <si>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</si>
  <si>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</si>
  <si>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</si>
  <si>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</si>
  <si>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</si>
  <si>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</si>
  <si>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</si>
  <si>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</si>
  <si>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</si>
  <si>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</si>
  <si>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</si>
  <si>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</si>
  <si>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</si>
  <si>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</si>
  <si>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</si>
  <si>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</si>
  <si>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</si>
  <si>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</si>
  <si>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</si>
  <si>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</si>
  <si>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</si>
  <si>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</si>
  <si>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</si>
  <si>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</si>
  <si>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</si>
  <si>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</si>
  <si>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</si>
  <si>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</si>
  <si>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</si>
  <si>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</si>
  <si>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</si>
  <si>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</si>
  <si>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</si>
  <si>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</si>
  <si>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</si>
  <si>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</si>
  <si>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</si>
  <si>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</si>
  <si>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</si>
  <si>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</si>
  <si>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</si>
  <si>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</si>
  <si>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</si>
  <si>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</si>
  <si>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</si>
  <si>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</si>
  <si>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</si>
  <si>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</si>
  <si>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</si>
  <si>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</si>
  <si>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</si>
  <si>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</si>
  <si>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</si>
  <si>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</si>
  <si>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</si>
  <si>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</si>
  <si>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</si>
  <si>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</si>
  <si>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</si>
  <si>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</si>
  <si>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</si>
  <si>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</si>
  <si>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</si>
  <si>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</si>
  <si>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</si>
  <si>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</si>
  <si>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</si>
  <si>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</si>
  <si>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</si>
  <si>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</si>
  <si>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</si>
  <si>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</si>
  <si>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</si>
  <si>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</si>
  <si>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</si>
  <si>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</si>
  <si>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</si>
  <si>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</si>
  <si>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</si>
  <si>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</si>
  <si>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</si>
  <si>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</si>
  <si>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</si>
  <si>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</si>
  <si>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</si>
  <si>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</si>
  <si>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</si>
  <si>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</si>
  <si>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</si>
  <si>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</si>
  <si>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</si>
  <si>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</si>
  <si>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</si>
  <si>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</si>
  <si>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</si>
  <si>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</si>
  <si>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</si>
  <si>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</si>
  <si>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</si>
  <si>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</si>
  <si>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</si>
  <si>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</si>
  <si>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</si>
  <si>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</si>
  <si>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</si>
  <si>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</si>
  <si>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</si>
  <si>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</si>
  <si>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</si>
  <si>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</si>
  <si>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</si>
  <si>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</si>
  <si>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</si>
  <si>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</si>
  <si>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</si>
  <si>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</si>
  <si>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</si>
  <si>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</si>
  <si>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</si>
  <si>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</si>
  <si>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</si>
  <si>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</si>
  <si>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</si>
  <si>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</si>
  <si>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</si>
  <si>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</si>
  <si>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</si>
  <si>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</si>
  <si>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</si>
  <si>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</si>
  <si>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</si>
  <si>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</si>
  <si>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</si>
  <si>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</si>
  <si>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</si>
  <si>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</si>
  <si>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</si>
  <si>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</si>
  <si>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</si>
  <si>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</si>
  <si>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</si>
  <si>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</si>
  <si>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</si>
  <si>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</si>
  <si>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</si>
  <si>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</si>
  <si>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</si>
  <si>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</si>
  <si>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</si>
  <si>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</si>
  <si>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</si>
  <si>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</si>
  <si>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</si>
  <si>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</si>
  <si>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</si>
  <si>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</si>
  <si>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</si>
  <si>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</si>
  <si>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</si>
  <si>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</si>
  <si>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</si>
  <si>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</si>
  <si>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</si>
  <si>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</si>
  <si>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</si>
  <si>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</si>
  <si>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</si>
  <si>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</si>
  <si>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</si>
  <si>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</si>
  <si>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</si>
  <si>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</si>
  <si>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</si>
  <si>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</si>
  <si>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</si>
  <si>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</si>
  <si>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</si>
  <si>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</si>
  <si>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</si>
  <si>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</si>
  <si>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</si>
  <si>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</si>
  <si>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</si>
  <si>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</si>
  <si>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</si>
  <si>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</si>
  <si>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</si>
  <si>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</si>
  <si>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</si>
  <si>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</si>
  <si>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</si>
  <si>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</si>
  <si>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</si>
  <si>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</si>
  <si>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</si>
  <si>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</si>
  <si>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</si>
  <si>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</si>
  <si>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</si>
  <si>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</si>
  <si>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</si>
  <si>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</si>
  <si>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</si>
  <si>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</si>
  <si>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</si>
  <si>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</si>
  <si>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</si>
  <si>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</si>
  <si>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</si>
  <si>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</si>
  <si>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</si>
  <si>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</si>
  <si>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</si>
  <si>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</si>
  <si>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</si>
  <si>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</si>
  <si>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</si>
  <si>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</si>
  <si>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</si>
  <si>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</si>
  <si>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</si>
  <si>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</si>
  <si>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</si>
  <si>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</si>
  <si>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</si>
  <si>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</si>
  <si>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</si>
  <si>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</si>
  <si>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</si>
  <si>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</si>
  <si>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</si>
  <si>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</si>
  <si>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</si>
  <si>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</si>
  <si>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</si>
  <si>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</si>
  <si>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</si>
  <si>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</si>
  <si>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</si>
  <si>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</si>
  <si>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</si>
  <si>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</si>
  <si>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</si>
  <si>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</si>
  <si>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</si>
  <si>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</si>
  <si>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</si>
  <si>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</si>
  <si>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</si>
  <si>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</si>
  <si>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</si>
  <si>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</si>
  <si>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</si>
  <si>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</si>
  <si>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</si>
  <si>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</si>
  <si>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</si>
  <si>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</si>
  <si>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</si>
  <si>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</si>
  <si>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</si>
  <si>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</si>
  <si>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</si>
  <si>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</si>
  <si>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</si>
  <si>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</si>
  <si>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</si>
  <si>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</si>
  <si>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</si>
  <si>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</si>
  <si>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</si>
  <si>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</si>
  <si>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</si>
  <si>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</si>
  <si>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</si>
  <si>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</si>
  <si>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</si>
  <si>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</si>
  <si>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</si>
  <si>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</si>
  <si>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</si>
  <si>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</si>
  <si>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</si>
  <si>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</si>
  <si>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</si>
  <si>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</si>
  <si>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</si>
  <si>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</si>
  <si>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</si>
  <si>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</si>
  <si>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</si>
  <si>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</si>
  <si>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</si>
  <si>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</si>
  <si>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</si>
  <si>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</si>
  <si>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</si>
  <si>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</si>
  <si>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</si>
  <si>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</si>
  <si>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</si>
  <si>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</si>
  <si>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</si>
  <si>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</si>
  <si>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</si>
  <si>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</si>
  <si>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</si>
  <si>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</si>
  <si>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</si>
  <si>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</si>
  <si>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</si>
  <si>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</si>
  <si>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</si>
  <si>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</si>
  <si>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</si>
  <si>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</si>
  <si>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</si>
  <si>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</si>
  <si>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</si>
  <si>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</si>
  <si>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</si>
  <si>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</si>
  <si>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</si>
  <si>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</si>
  <si>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</si>
  <si>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</si>
  <si>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</si>
  <si>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</si>
  <si>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</si>
  <si>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</si>
  <si>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</si>
  <si>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</si>
  <si>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</si>
  <si>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</si>
  <si>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</si>
  <si>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</si>
  <si>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</si>
  <si>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</si>
  <si>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</si>
  <si>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</si>
  <si>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</si>
  <si>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</si>
  <si>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</si>
  <si>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</si>
  <si>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</si>
  <si>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</si>
  <si>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</si>
  <si>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</si>
  <si>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</si>
  <si>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</si>
  <si>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</si>
  <si>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</si>
  <si>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</si>
  <si>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</si>
  <si>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</si>
  <si>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</si>
  <si>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</si>
  <si>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</si>
  <si>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</si>
  <si>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</si>
  <si>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</si>
  <si>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</si>
  <si>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</si>
  <si>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</si>
  <si>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</si>
  <si>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</si>
  <si>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</si>
  <si>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</si>
  <si>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</si>
  <si>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</si>
  <si>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</si>
  <si>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</si>
  <si>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</si>
  <si>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</si>
  <si>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</si>
  <si>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</si>
  <si>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</si>
  <si>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</si>
  <si>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</si>
  <si>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</si>
  <si>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</si>
  <si>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</si>
  <si>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</si>
  <si>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</si>
  <si>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</si>
  <si>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</si>
  <si>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</si>
  <si>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</si>
  <si>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</si>
  <si>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</si>
  <si>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</si>
  <si>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</si>
  <si>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</si>
  <si>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</si>
  <si>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</si>
  <si>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</si>
  <si>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</si>
  <si>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</si>
  <si>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</si>
  <si>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</si>
  <si>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</si>
  <si>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</si>
  <si>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</si>
  <si>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</si>
  <si>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</si>
  <si>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</si>
  <si>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</si>
  <si>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</si>
  <si>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</si>
  <si>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</si>
  <si>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</si>
  <si>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</si>
  <si>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</si>
  <si>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</si>
  <si>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</si>
  <si>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</si>
  <si>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</si>
  <si>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</si>
  <si>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</si>
  <si>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</si>
  <si>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</si>
  <si>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</si>
  <si>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</si>
  <si>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</si>
  <si>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</si>
  <si>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</si>
  <si>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</si>
  <si>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</si>
  <si>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</si>
  <si>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</si>
  <si>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</si>
  <si>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</si>
  <si>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</si>
  <si>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</si>
  <si>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</si>
  <si>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</si>
  <si>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</si>
  <si>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</si>
  <si>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</si>
  <si>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</si>
  <si>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</si>
  <si>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</si>
  <si>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</si>
  <si>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</si>
  <si>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</si>
  <si>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</si>
  <si>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</si>
  <si>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</si>
  <si>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</si>
  <si>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</si>
  <si>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</si>
  <si>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</si>
  <si>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</si>
  <si>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</si>
  <si>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</si>
  <si>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</si>
  <si>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</si>
  <si>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</si>
  <si>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</si>
  <si>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</si>
  <si>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</si>
  <si>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</si>
  <si>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</si>
  <si>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</si>
  <si>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</si>
  <si>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</si>
  <si>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</si>
  <si>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</si>
  <si>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</si>
  <si>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</si>
  <si>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</si>
  <si>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</si>
  <si>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</si>
  <si>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</si>
  <si>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</si>
  <si>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</si>
  <si>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</si>
  <si>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</si>
  <si>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</si>
  <si>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</si>
  <si>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</si>
  <si>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</si>
  <si>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</si>
  <si>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</si>
  <si>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</si>
  <si>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</si>
  <si>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</si>
  <si>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</si>
  <si>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</si>
  <si>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</si>
  <si>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</si>
  <si>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</si>
  <si>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</si>
  <si>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</si>
  <si>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</si>
  <si>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</si>
  <si>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</si>
  <si>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</si>
  <si>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</si>
  <si>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</si>
  <si>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</si>
  <si>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</si>
  <si>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</si>
  <si>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</si>
  <si>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</si>
  <si>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</si>
  <si>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</si>
  <si>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</si>
  <si>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</si>
  <si>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</si>
  <si>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</si>
  <si>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</si>
  <si>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</si>
  <si>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</si>
  <si>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</si>
  <si>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</si>
  <si>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</si>
  <si>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</si>
  <si>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</si>
  <si>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</si>
  <si>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</si>
  <si>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</si>
  <si>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</si>
  <si>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</si>
  <si>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</si>
  <si>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</si>
  <si>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</si>
  <si>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</si>
  <si>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</si>
  <si>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</si>
  <si>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</si>
  <si>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</si>
  <si>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</si>
  <si>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</si>
  <si>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</si>
  <si>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</si>
  <si>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</si>
  <si>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</si>
  <si>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</si>
  <si>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</si>
  <si>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</si>
  <si>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</si>
  <si>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</si>
  <si>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</si>
  <si>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</si>
  <si>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</si>
  <si>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</si>
  <si>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</si>
  <si>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</si>
  <si>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</si>
  <si>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</si>
  <si>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</si>
  <si>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</si>
  <si>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</si>
  <si>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</si>
  <si>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</si>
  <si>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</si>
  <si>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</si>
  <si>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</si>
  <si>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</si>
  <si>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</si>
  <si>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</si>
  <si>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</si>
  <si>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</si>
  <si>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</si>
  <si>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</si>
  <si>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</si>
  <si>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</si>
  <si>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</si>
  <si>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</si>
  <si>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</si>
  <si>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</si>
  <si>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</si>
  <si>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</si>
  <si>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</si>
  <si>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</si>
  <si>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</si>
  <si>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</si>
  <si>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</si>
  <si>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</si>
  <si>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</si>
  <si>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</si>
  <si>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</si>
  <si>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</si>
  <si>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</si>
  <si>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</si>
  <si>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</si>
  <si>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</si>
  <si>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</si>
  <si>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</si>
  <si>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</si>
  <si>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</si>
  <si>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</si>
  <si>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</si>
  <si>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</si>
  <si>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</si>
  <si>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</si>
  <si>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</si>
  <si>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</si>
  <si>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</si>
  <si>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</si>
  <si>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</si>
  <si>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</si>
  <si>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</si>
  <si>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</si>
  <si>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</si>
  <si>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</si>
  <si>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</si>
  <si>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</si>
  <si>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</si>
  <si>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</si>
  <si>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</si>
  <si>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</si>
  <si>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</si>
  <si>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</si>
  <si>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</si>
  <si>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</si>
  <si>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</si>
  <si>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</si>
  <si>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</si>
  <si>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</si>
  <si>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</si>
  <si>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</si>
  <si>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</si>
  <si>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</si>
  <si>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</si>
  <si>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</si>
  <si>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</si>
  <si>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</si>
  <si>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</si>
  <si>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</si>
  <si>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</si>
  <si>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</si>
  <si>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</si>
  <si>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</si>
  <si>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</si>
  <si>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</si>
  <si>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</si>
  <si>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</si>
  <si>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</si>
  <si>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</si>
  <si>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</si>
  <si>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</si>
  <si>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</si>
  <si>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</si>
  <si>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</si>
  <si>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</si>
  <si>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</si>
  <si>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</si>
  <si>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</si>
  <si>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</si>
  <si>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</si>
  <si>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</si>
  <si>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</si>
  <si>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</si>
  <si>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</si>
  <si>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</si>
  <si>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</si>
  <si>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</si>
  <si>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</si>
  <si>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</si>
  <si>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</si>
  <si>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</si>
  <si>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</si>
  <si>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</si>
  <si>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</si>
  <si>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</si>
  <si>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</si>
  <si>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</si>
  <si>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</si>
  <si>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</si>
  <si>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</si>
  <si>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</si>
  <si>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</si>
  <si>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</si>
  <si>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</si>
  <si>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</si>
  <si>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</si>
  <si>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</si>
  <si>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</si>
  <si>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</si>
  <si>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</si>
  <si>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</si>
  <si>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</si>
  <si>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</si>
  <si>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</si>
  <si>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</si>
  <si>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</si>
  <si>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</si>
  <si>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</si>
  <si>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</si>
  <si>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</si>
  <si>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</si>
  <si>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</si>
  <si>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</si>
  <si>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</si>
  <si>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</si>
  <si>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</si>
  <si>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</si>
  <si>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</si>
  <si>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</si>
  <si>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</si>
  <si>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</si>
  <si>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</si>
  <si>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</si>
  <si>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</si>
  <si>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</si>
  <si>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</si>
  <si>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</si>
  <si>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</si>
  <si>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</si>
  <si>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</si>
  <si>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</si>
  <si>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</si>
  <si>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</si>
  <si>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</si>
  <si>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</si>
  <si>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</si>
  <si>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</si>
  <si>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</si>
  <si>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</si>
  <si>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</si>
  <si>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</si>
  <si>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</si>
  <si>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</si>
  <si>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</si>
  <si>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</si>
  <si>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</si>
  <si>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</si>
  <si>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</si>
  <si>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</si>
  <si>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</si>
  <si>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</si>
  <si>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</si>
  <si>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</si>
  <si>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</si>
  <si>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</si>
  <si>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</si>
  <si>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</si>
  <si>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</si>
  <si>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</si>
  <si>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</si>
  <si>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</si>
  <si>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</si>
  <si>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</si>
  <si>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</si>
  <si>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</si>
  <si>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</si>
  <si>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</si>
  <si>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</si>
  <si>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</si>
  <si>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</si>
  <si>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</si>
  <si>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</si>
  <si>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</si>
  <si>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</si>
  <si>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</si>
  <si>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</si>
  <si>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</si>
  <si>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</si>
  <si>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</si>
  <si>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</si>
  <si>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</si>
  <si>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</si>
  <si>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</si>
  <si>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</si>
  <si>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</si>
  <si>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</si>
  <si>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</si>
  <si>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</si>
  <si>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</si>
  <si>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</si>
  <si>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</si>
  <si>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</si>
  <si>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</si>
  <si>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</si>
  <si>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</si>
  <si>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</si>
  <si>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</si>
  <si>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</si>
  <si>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</si>
  <si>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</si>
  <si>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</si>
  <si>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</si>
  <si>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</si>
  <si>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</si>
  <si>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</si>
  <si>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</si>
  <si>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</si>
  <si>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</si>
  <si>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</si>
  <si>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</si>
  <si>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</si>
  <si>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</si>
  <si>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</si>
  <si>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</si>
  <si>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</si>
  <si>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</si>
  <si>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</si>
  <si>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</si>
  <si>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</si>
  <si>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</si>
  <si>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</si>
  <si>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</si>
  <si>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</si>
  <si>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</si>
  <si>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</si>
  <si>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</si>
  <si>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</si>
  <si>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</si>
  <si>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</si>
  <si>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</si>
  <si>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</si>
  <si>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</si>
  <si>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</si>
  <si>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</si>
  <si>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</si>
  <si>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</si>
  <si>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</si>
  <si>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</si>
  <si>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</si>
  <si>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</si>
  <si>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</si>
  <si>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</si>
  <si>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</si>
  <si>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</si>
  <si>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</si>
  <si>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</si>
  <si>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</si>
  <si>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</si>
  <si>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</si>
  <si>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</si>
  <si>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</si>
  <si>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</si>
  <si>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</si>
  <si>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</si>
  <si>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</si>
  <si>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</si>
  <si>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</si>
  <si>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</si>
  <si>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</si>
  <si>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</si>
  <si>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</si>
  <si>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</si>
  <si>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</si>
  <si>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</si>
  <si>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</si>
  <si>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</si>
  <si>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</si>
  <si>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</si>
  <si>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</si>
  <si>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</si>
  <si>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</si>
  <si>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</si>
  <si>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</si>
  <si>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</si>
  <si>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</si>
  <si>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</si>
  <si>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</si>
  <si>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</si>
  <si>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</si>
  <si>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</si>
  <si>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</si>
  <si>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</si>
  <si>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</si>
  <si>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</si>
  <si>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</si>
  <si>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</si>
  <si>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</si>
  <si>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</si>
  <si>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</si>
  <si>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</si>
  <si>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</si>
  <si>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</si>
  <si>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</si>
  <si>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</si>
  <si>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</si>
  <si>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</si>
  <si>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</si>
  <si>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</si>
  <si>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</si>
  <si>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</si>
  <si>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</si>
  <si>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</si>
  <si>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</si>
  <si>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</si>
  <si>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</si>
  <si>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</si>
  <si>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</si>
  <si>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</si>
  <si>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</si>
  <si>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</si>
  <si>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</si>
  <si>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</si>
  <si>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</si>
  <si>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</si>
  <si>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</si>
  <si>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</si>
  <si>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</si>
  <si>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</si>
  <si>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</si>
  <si>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</si>
  <si>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</si>
  <si>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</si>
  <si>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</si>
  <si>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</si>
  <si>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</si>
  <si>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</si>
  <si>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</si>
  <si>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</si>
  <si>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</si>
  <si>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</si>
  <si>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</si>
  <si>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</si>
  <si>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</si>
  <si>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</si>
  <si>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</si>
  <si>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</si>
  <si>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</si>
  <si>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</si>
  <si>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</si>
  <si>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</si>
  <si>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</si>
  <si>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</si>
  <si>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</si>
  <si>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</si>
  <si>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</si>
  <si>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</si>
  <si>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</si>
  <si>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</si>
  <si>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</si>
  <si>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</si>
  <si>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</si>
  <si>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</si>
  <si>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</si>
  <si>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</si>
  <si>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</si>
  <si>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</si>
  <si>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</si>
  <si>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</si>
  <si>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</si>
  <si>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</si>
  <si>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</si>
  <si>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</si>
  <si>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</si>
  <si>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</si>
  <si>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</si>
  <si>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</si>
  <si>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</si>
  <si>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</si>
  <si>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</si>
  <si>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</si>
  <si>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</si>
  <si>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</si>
  <si>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</si>
  <si>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</si>
  <si>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</si>
  <si>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</si>
  <si>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</si>
  <si>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</si>
  <si>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</si>
  <si>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</si>
  <si>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</si>
  <si>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</si>
  <si>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</si>
  <si>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</si>
  <si>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</si>
  <si>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</si>
  <si>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</si>
  <si>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</si>
  <si>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</si>
  <si>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</si>
  <si>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</si>
  <si>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</si>
  <si>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</si>
  <si>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</si>
  <si>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</si>
  <si>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</si>
  <si>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</si>
  <si>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</si>
  <si>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</si>
  <si>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</si>
  <si>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</si>
  <si>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</si>
  <si>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</si>
  <si>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</si>
  <si>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</si>
  <si>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</si>
  <si>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</si>
  <si>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</si>
  <si>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</si>
  <si>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</si>
  <si>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</si>
  <si>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</si>
  <si>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</si>
  <si>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</si>
  <si>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</si>
  <si>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</si>
  <si>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</si>
  <si>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</si>
  <si>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</si>
  <si>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</si>
  <si>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</si>
  <si>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</si>
  <si>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</si>
  <si>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</si>
  <si>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</si>
  <si>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</si>
  <si>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</si>
  <si>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</si>
  <si>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</si>
  <si>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</si>
  <si>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</si>
  <si>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</si>
  <si>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</si>
  <si>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</si>
  <si>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</si>
  <si>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</si>
  <si>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</si>
  <si>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</si>
  <si>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</si>
  <si>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</si>
  <si>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</si>
  <si>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</si>
  <si>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</si>
  <si>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</si>
  <si>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</si>
  <si>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</si>
  <si>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</si>
  <si>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</si>
  <si>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</si>
  <si>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</si>
  <si>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</si>
  <si>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</si>
  <si>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</si>
  <si>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</si>
  <si>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</si>
  <si>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</si>
  <si>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</si>
  <si>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</si>
  <si>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</si>
  <si>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</si>
  <si>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</si>
  <si>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</si>
  <si>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</si>
  <si>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</si>
  <si>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</si>
  <si>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</si>
  <si>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</si>
  <si>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</si>
  <si>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</si>
  <si>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</si>
  <si>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</si>
  <si>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</si>
  <si>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</si>
  <si>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</si>
  <si>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</si>
  <si>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</si>
  <si>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</si>
  <si>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</si>
  <si>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</si>
  <si>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</si>
  <si>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</si>
  <si>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</si>
  <si>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</si>
  <si>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</si>
  <si>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</si>
  <si>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</si>
  <si>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</si>
  <si>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</si>
  <si>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</si>
  <si>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</si>
  <si>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</si>
  <si>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</si>
  <si>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</si>
  <si>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</si>
  <si>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</si>
  <si>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</si>
  <si>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</si>
  <si>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</si>
  <si>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</si>
  <si>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</si>
  <si>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</si>
  <si>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</si>
  <si>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</si>
  <si>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</si>
  <si>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</si>
  <si>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</si>
  <si>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</si>
  <si>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</si>
  <si>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</si>
  <si>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</si>
  <si>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</si>
  <si>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</si>
  <si>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</si>
  <si>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</si>
  <si>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</si>
  <si>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</si>
  <si>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</si>
  <si>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</si>
  <si>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</si>
  <si>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</si>
  <si>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</si>
  <si>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</si>
  <si>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</si>
  <si>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</si>
  <si>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</si>
  <si>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</si>
  <si>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</si>
  <si>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</si>
  <si>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</si>
  <si>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</si>
  <si>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</si>
  <si>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</si>
  <si>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</si>
  <si>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</si>
  <si>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</si>
  <si>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</si>
  <si>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</si>
  <si>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</si>
  <si>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</si>
  <si>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</si>
  <si>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</si>
  <si>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</si>
  <si>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</si>
  <si>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</si>
  <si>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</si>
  <si>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</si>
  <si>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</si>
  <si>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</si>
  <si>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</si>
  <si>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</si>
  <si>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</si>
  <si>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</si>
  <si>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</si>
  <si>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</si>
  <si>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</si>
  <si>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</si>
  <si>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</si>
  <si>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</si>
  <si>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</si>
  <si>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</si>
  <si>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</si>
  <si>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</si>
  <si>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</si>
  <si>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</si>
  <si>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</si>
  <si>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</si>
  <si>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</si>
  <si>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</si>
  <si>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</si>
  <si>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</si>
  <si>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</si>
  <si>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</si>
  <si>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</si>
  <si>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</si>
  <si>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</si>
  <si>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</si>
  <si>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</si>
  <si>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</si>
  <si>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</si>
  <si>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</si>
  <si>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</si>
  <si>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</si>
  <si>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</si>
  <si>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</si>
  <si>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</si>
  <si>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</si>
  <si>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</si>
  <si>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</si>
  <si>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</si>
  <si>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</si>
  <si>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</si>
  <si>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</si>
  <si>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</si>
  <si>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</si>
  <si>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</si>
  <si>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</si>
  <si>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</si>
  <si>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</si>
  <si>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</si>
  <si>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</si>
  <si>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</si>
  <si>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</si>
  <si>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</si>
  <si>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</si>
  <si>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</si>
  <si>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</si>
  <si>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</si>
  <si>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</si>
  <si>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</si>
  <si>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</si>
  <si>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</si>
  <si>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</si>
  <si>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</si>
  <si>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</si>
  <si>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</si>
  <si>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</si>
  <si>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</si>
  <si>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</si>
  <si>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</si>
  <si>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</si>
  <si>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</si>
  <si>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</si>
  <si>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</si>
  <si>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</si>
  <si>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</si>
  <si>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</si>
  <si>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</si>
  <si>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</si>
  <si>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</si>
  <si>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</si>
  <si>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</si>
  <si>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</si>
  <si>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</si>
  <si>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</si>
  <si>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</si>
  <si>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</si>
  <si>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</si>
  <si>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</si>
  <si>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</si>
  <si>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</si>
  <si>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</si>
  <si>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</si>
  <si>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</si>
  <si>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</si>
  <si>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</si>
  <si>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</si>
  <si>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</si>
  <si>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</si>
  <si>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</si>
  <si>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</si>
  <si>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</si>
  <si>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</si>
  <si>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</si>
  <si>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</si>
  <si>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</si>
  <si>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</si>
  <si>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</si>
  <si>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</si>
  <si>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</si>
  <si>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</si>
  <si>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</si>
  <si>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</si>
  <si>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</si>
  <si>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</si>
  <si>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</si>
  <si>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</si>
  <si>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</si>
  <si>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</si>
  <si>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</si>
  <si>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</si>
  <si>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</si>
  <si>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</si>
  <si>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</si>
  <si>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</si>
  <si>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</si>
  <si>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</si>
  <si>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</si>
  <si>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</si>
  <si>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</si>
  <si>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</si>
  <si>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</si>
  <si>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</si>
  <si>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</si>
  <si>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</si>
  <si>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</si>
  <si>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</si>
  <si>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</si>
  <si>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</si>
  <si>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</si>
  <si>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</si>
  <si>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</si>
  <si>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</si>
  <si>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</si>
  <si>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</si>
  <si>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</si>
  <si>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</si>
  <si>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</si>
  <si>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</si>
  <si>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</si>
  <si>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</si>
  <si>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</si>
  <si>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</si>
  <si>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</si>
  <si>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</si>
  <si>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</si>
  <si>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</si>
  <si>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</si>
  <si>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</si>
  <si>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</si>
  <si>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</si>
  <si>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</si>
  <si>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</si>
  <si>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</si>
  <si>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</si>
  <si>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</si>
  <si>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</si>
  <si>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</si>
  <si>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</si>
  <si>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</si>
  <si>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</si>
  <si>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</si>
  <si>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</si>
  <si>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</si>
  <si>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</si>
  <si>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</si>
  <si>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</si>
  <si>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</si>
  <si>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</si>
  <si>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</si>
  <si>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</si>
  <si>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</si>
  <si>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</si>
  <si>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</si>
  <si>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</si>
  <si>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</si>
  <si>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</si>
  <si>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</si>
  <si>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</si>
  <si>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</si>
  <si>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</si>
  <si>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</si>
  <si>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</si>
  <si>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</si>
  <si>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</si>
  <si>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</si>
  <si>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</si>
  <si>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</si>
  <si>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</si>
  <si>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</si>
  <si>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</si>
  <si>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</si>
  <si>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</si>
  <si>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</si>
  <si>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</si>
  <si>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</si>
  <si>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</si>
  <si>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</si>
  <si>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</si>
  <si>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</si>
  <si>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</si>
  <si>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</si>
  <si>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</si>
  <si>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</si>
  <si>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</si>
  <si>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</si>
  <si>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</si>
  <si>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</si>
  <si>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</si>
  <si>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</si>
  <si>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</si>
  <si>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</si>
  <si>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</si>
  <si>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</si>
  <si>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</si>
  <si>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</si>
  <si>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</si>
  <si>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</si>
  <si>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</si>
  <si>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</si>
  <si>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</si>
  <si>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</si>
  <si>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</si>
  <si>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</si>
  <si>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</si>
  <si>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</si>
  <si>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</si>
  <si>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</si>
  <si>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</si>
  <si>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</si>
  <si>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</si>
  <si>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</si>
  <si>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</si>
  <si>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</si>
  <si>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</si>
  <si>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</si>
  <si>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</si>
  <si>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</si>
  <si>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</si>
  <si>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</si>
  <si>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</si>
  <si>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</si>
  <si>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</si>
  <si>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</si>
  <si>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</si>
  <si>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</si>
  <si>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</si>
  <si>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</si>
  <si>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</si>
  <si>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</si>
  <si>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</si>
  <si>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</si>
  <si>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</si>
  <si>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</si>
  <si>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</si>
  <si>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</si>
  <si>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</si>
  <si>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</si>
  <si>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</si>
  <si>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</si>
  <si>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</si>
  <si>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</si>
  <si>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</si>
  <si>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</si>
  <si>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</si>
  <si>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</si>
  <si>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</si>
  <si>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</si>
  <si>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</si>
  <si>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</si>
  <si>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</si>
  <si>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</si>
  <si>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</si>
  <si>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</si>
  <si>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</si>
  <si>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</si>
  <si>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</si>
  <si>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</si>
  <si>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</si>
  <si>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</si>
  <si>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</si>
  <si>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</si>
  <si>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</si>
  <si>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</si>
  <si>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</si>
  <si>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</si>
  <si>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</si>
  <si>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</si>
  <si>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</si>
  <si>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</si>
  <si>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</si>
  <si>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</si>
  <si>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</si>
  <si>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</si>
  <si>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</si>
  <si>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</si>
  <si>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</si>
  <si>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</si>
  <si>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</si>
  <si>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</si>
  <si>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</si>
  <si>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</si>
  <si>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</si>
  <si>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</si>
  <si>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</si>
  <si>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</si>
  <si>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</si>
  <si>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</si>
  <si>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</si>
  <si>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</si>
  <si>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</si>
  <si>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</si>
  <si>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</si>
  <si>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</si>
  <si>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</si>
  <si>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</si>
  <si>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</si>
  <si>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</si>
  <si>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</si>
  <si>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</si>
  <si>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</si>
  <si>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</si>
  <si>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</si>
  <si>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</si>
  <si>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</si>
  <si>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</si>
  <si>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</si>
  <si>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</si>
  <si>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</si>
  <si>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</si>
  <si>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</si>
  <si>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</si>
  <si>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</si>
  <si>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</si>
  <si>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</si>
  <si>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</si>
  <si>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</si>
  <si>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</si>
  <si>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</si>
  <si>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</si>
  <si>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</si>
  <si>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</si>
  <si>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</si>
  <si>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</si>
  <si>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</si>
  <si>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</si>
  <si>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</si>
  <si>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</si>
  <si>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</si>
  <si>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</si>
  <si>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</si>
  <si>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</si>
  <si>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</si>
  <si>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</si>
  <si>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</si>
  <si>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</si>
  <si>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</si>
  <si>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</si>
  <si>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</si>
  <si>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</si>
  <si>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</si>
  <si>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</si>
  <si>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</si>
  <si>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</si>
  <si>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</si>
  <si>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</si>
  <si>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</si>
  <si>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</si>
  <si>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</si>
  <si>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</si>
  <si>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</si>
  <si>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</si>
  <si>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</si>
  <si>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</si>
  <si>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</si>
  <si>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</si>
  <si>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</si>
  <si>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</si>
  <si>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</si>
  <si>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</si>
  <si>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</si>
  <si>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</si>
  <si>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</si>
  <si>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</si>
  <si>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</si>
  <si>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</si>
  <si>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</si>
  <si>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</si>
  <si>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</si>
  <si>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</si>
  <si>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</si>
  <si>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</si>
  <si>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</si>
  <si>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</si>
  <si>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</si>
  <si>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</si>
  <si>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</si>
  <si>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</si>
  <si>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</si>
  <si>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</si>
  <si>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</si>
  <si>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</si>
  <si>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</si>
  <si>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</si>
  <si>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</si>
  <si>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</si>
  <si>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</si>
  <si>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</si>
  <si>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</si>
  <si>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</si>
  <si>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</si>
  <si>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</si>
  <si>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</si>
  <si>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</si>
  <si>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</si>
  <si>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</si>
  <si>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</si>
  <si>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</si>
  <si>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</si>
  <si>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</si>
  <si>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</si>
  <si>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</si>
  <si>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</si>
  <si>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</si>
  <si>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</si>
  <si>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</si>
  <si>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</si>
  <si>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</si>
  <si>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</si>
  <si>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</si>
  <si>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</si>
  <si>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</si>
  <si>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</si>
  <si>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</si>
  <si>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</si>
  <si>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</si>
  <si>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</si>
  <si>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</si>
  <si>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</si>
  <si>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</si>
  <si>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</si>
  <si>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</si>
  <si>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</si>
  <si>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</si>
  <si>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</si>
  <si>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</si>
  <si>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</si>
  <si>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</si>
  <si>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</si>
  <si>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</si>
  <si>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</si>
  <si>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</si>
  <si>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</si>
  <si>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</si>
  <si>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</si>
  <si>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</si>
  <si>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</si>
  <si>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</si>
  <si>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</si>
  <si>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</si>
  <si>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</si>
  <si>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</si>
  <si>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</si>
  <si>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</si>
  <si>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</si>
  <si>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</si>
  <si>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</si>
  <si>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</si>
  <si>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</si>
  <si>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</si>
  <si>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</si>
  <si>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</si>
  <si>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</si>
  <si>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</si>
  <si>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</si>
  <si>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</si>
  <si>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</si>
  <si>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</si>
  <si>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</si>
  <si>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</si>
  <si>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</si>
  <si>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</si>
  <si>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</si>
  <si>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</si>
  <si>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</si>
  <si>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</si>
  <si>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</si>
  <si>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</si>
  <si>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</si>
  <si>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</si>
  <si>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</si>
  <si>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</si>
  <si>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</si>
  <si>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</si>
  <si>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</si>
  <si>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</si>
  <si>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</si>
  <si>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</si>
  <si>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</si>
  <si>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</si>
  <si>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</si>
  <si>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</si>
  <si>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</si>
  <si>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</si>
  <si>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</si>
  <si>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</si>
  <si>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</si>
  <si>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</si>
  <si>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</si>
  <si>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</si>
  <si>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</si>
  <si>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</si>
  <si>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</si>
  <si>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</si>
  <si>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</si>
  <si>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</si>
  <si>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</si>
  <si>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</si>
  <si>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</si>
  <si>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</si>
  <si>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</si>
  <si>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</si>
  <si>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</si>
  <si>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</si>
  <si>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</si>
  <si>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</si>
  <si>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</si>
  <si>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</si>
  <si>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</si>
  <si>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</si>
  <si>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</si>
  <si>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</si>
  <si>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</si>
  <si>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</si>
  <si>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</si>
  <si>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</si>
  <si>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</si>
  <si>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</si>
  <si>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</si>
  <si>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</si>
  <si>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</si>
  <si>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</si>
  <si>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</si>
  <si>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</si>
  <si>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</si>
  <si>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</si>
  <si>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</si>
  <si>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</si>
  <si>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</si>
  <si>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</si>
  <si>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</si>
  <si>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</si>
  <si>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</si>
  <si>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</si>
  <si>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</si>
  <si>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</si>
  <si>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</si>
  <si>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</si>
  <si>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</si>
  <si>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</si>
  <si>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</si>
  <si>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</si>
  <si>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</si>
  <si>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</si>
  <si>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</si>
  <si>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</si>
  <si>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</si>
  <si>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</si>
  <si>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</si>
  <si>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</si>
  <si>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</si>
  <si>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</si>
  <si>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</si>
  <si>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</si>
  <si>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</si>
  <si>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</si>
  <si>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</si>
  <si>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</si>
  <si>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</si>
  <si>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</si>
  <si>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</si>
  <si>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</si>
  <si>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</si>
  <si>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</si>
  <si>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</si>
  <si>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</si>
  <si>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</si>
  <si>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</si>
  <si>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</si>
  <si>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</si>
  <si>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</si>
  <si>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</si>
  <si>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</si>
  <si>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</si>
  <si>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</si>
  <si>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</si>
  <si>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</si>
  <si>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</si>
  <si>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</si>
  <si>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</si>
  <si>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</si>
  <si>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</si>
  <si>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</si>
  <si>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</si>
  <si>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</si>
  <si>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</si>
  <si>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</si>
  <si>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</si>
  <si>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</si>
  <si>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</si>
  <si>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</si>
  <si>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</si>
  <si>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</si>
  <si>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</si>
  <si>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</si>
  <si>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</si>
  <si>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</si>
  <si>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</si>
  <si>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</si>
  <si>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</si>
  <si>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</si>
  <si>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</si>
  <si>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</si>
  <si>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</si>
  <si>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</si>
  <si>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</si>
  <si>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</si>
  <si>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</si>
  <si>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</si>
  <si>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</si>
  <si>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</si>
  <si>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</si>
  <si>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</si>
  <si>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</si>
  <si>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</si>
  <si>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</si>
  <si>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</si>
  <si>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</si>
  <si>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</si>
  <si>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</si>
  <si>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</si>
  <si>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</si>
  <si>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</si>
  <si>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</si>
  <si>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</si>
  <si>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</si>
  <si>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</si>
  <si>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</si>
  <si>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</si>
  <si>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</si>
  <si>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</si>
  <si>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</si>
  <si>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</si>
  <si>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</si>
  <si>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</si>
  <si>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</si>
  <si>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</si>
  <si>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</si>
  <si>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</si>
  <si>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</si>
  <si>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</si>
  <si>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</si>
  <si>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</si>
  <si>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</si>
  <si>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</si>
  <si>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</si>
  <si>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</si>
  <si>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</si>
  <si>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</si>
  <si>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</si>
  <si>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</si>
  <si>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</si>
  <si>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</si>
  <si>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</si>
  <si>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</si>
  <si>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</si>
  <si>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</si>
  <si>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</si>
  <si>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</si>
  <si>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</si>
  <si>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</si>
  <si>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</si>
  <si>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</si>
  <si>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</si>
  <si>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</si>
  <si>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</si>
  <si>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</si>
  <si>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</si>
  <si>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</si>
  <si>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</si>
  <si>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</si>
  <si>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</si>
  <si>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</si>
  <si>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</si>
  <si>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</si>
  <si>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</si>
  <si>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</si>
  <si>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</si>
  <si>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</si>
  <si>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</si>
  <si>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</si>
  <si>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</si>
  <si>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</si>
  <si>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</si>
  <si>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</si>
  <si>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</si>
  <si>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</si>
  <si>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</si>
  <si>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</si>
  <si>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</si>
  <si>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</si>
  <si>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</si>
  <si>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</si>
  <si>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</si>
  <si>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</si>
  <si>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</si>
  <si>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</si>
  <si>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</si>
  <si>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</si>
  <si>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</si>
  <si>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</si>
  <si>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</si>
  <si>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</si>
  <si>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</si>
  <si>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</si>
  <si>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</si>
  <si>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</si>
  <si>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</si>
  <si>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</si>
  <si>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</si>
  <si>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</si>
  <si>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</si>
  <si>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</si>
  <si>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</si>
  <si>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</si>
  <si>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</si>
  <si>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</si>
  <si>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</si>
  <si>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</si>
  <si>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</si>
  <si>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</si>
  <si>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</si>
  <si>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</si>
  <si>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</si>
  <si>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</si>
  <si>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</si>
  <si>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</si>
  <si>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</si>
  <si>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</si>
  <si>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</si>
  <si>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</si>
  <si>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</si>
  <si>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</si>
  <si>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</si>
  <si>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</si>
  <si>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</si>
  <si>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</si>
  <si>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</si>
  <si>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</si>
  <si>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</si>
  <si>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</si>
  <si>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</si>
  <si>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</si>
  <si>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</si>
  <si>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</si>
  <si>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</si>
  <si>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</si>
  <si>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</si>
  <si>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</si>
  <si>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</si>
  <si>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</si>
  <si>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</si>
  <si>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</si>
  <si>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</si>
  <si>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</si>
  <si>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</si>
  <si>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</si>
  <si>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</si>
  <si>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</si>
  <si>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</si>
  <si>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</si>
  <si>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</si>
  <si>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</si>
  <si>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</si>
  <si>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</si>
  <si>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</si>
  <si>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</si>
  <si>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</si>
  <si>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</si>
  <si>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</si>
  <si>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</si>
  <si>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</si>
  <si>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</si>
  <si>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</si>
  <si>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</si>
  <si>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</si>
  <si>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</si>
  <si>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</si>
  <si>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</si>
  <si>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</si>
  <si>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</si>
  <si>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</si>
  <si>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</si>
  <si>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</si>
  <si>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</si>
  <si>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</si>
  <si>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</si>
  <si>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</si>
  <si>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</si>
  <si>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</si>
  <si>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</si>
  <si>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</si>
  <si>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</si>
  <si>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</si>
  <si>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</si>
  <si>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</si>
  <si>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</si>
  <si>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</si>
  <si>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</si>
  <si>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</si>
  <si>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</si>
  <si>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</si>
  <si>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</si>
  <si>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</si>
  <si>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</si>
  <si>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</si>
  <si>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</si>
  <si>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</si>
  <si>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</si>
  <si>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</si>
  <si>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</si>
  <si>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</si>
  <si>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</si>
  <si>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</si>
  <si>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</si>
  <si>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</si>
  <si>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</si>
  <si>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</si>
  <si>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</si>
  <si>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</si>
  <si>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</si>
  <si>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</si>
  <si>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</si>
  <si>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</si>
  <si>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</si>
  <si>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</si>
  <si>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</si>
  <si>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</si>
  <si>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</si>
  <si>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</si>
  <si>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</si>
  <si>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</si>
  <si>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</si>
  <si>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</si>
  <si>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</si>
  <si>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</si>
  <si>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</si>
  <si>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</si>
  <si>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</si>
  <si>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</si>
  <si>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</si>
  <si>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</si>
  <si>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</si>
  <si>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</si>
  <si>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</si>
  <si>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</si>
  <si>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</si>
  <si>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</si>
  <si>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</si>
  <si>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</si>
  <si>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</si>
  <si>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</si>
  <si>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</si>
  <si>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</si>
  <si>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</si>
  <si>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</si>
  <si>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</si>
  <si>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</si>
  <si>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</si>
  <si>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</si>
  <si>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</si>
  <si>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</si>
  <si>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</si>
  <si>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</si>
  <si>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</si>
  <si>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</si>
  <si>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</si>
  <si>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</si>
  <si>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</si>
  <si>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</si>
  <si>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</si>
  <si>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</si>
  <si>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</si>
  <si>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</si>
  <si>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</si>
  <si>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</si>
  <si>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</si>
  <si>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</si>
  <si>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</si>
  <si>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</si>
  <si>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</si>
  <si>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</si>
  <si>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</si>
  <si>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</si>
  <si>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</si>
  <si>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</si>
  <si>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</si>
  <si>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</si>
  <si>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</si>
  <si>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</si>
  <si>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</si>
  <si>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</si>
  <si>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</si>
  <si>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</si>
  <si>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</si>
  <si>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</si>
  <si>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</si>
  <si>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</si>
  <si>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</si>
  <si>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</si>
  <si>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</si>
  <si>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</si>
  <si>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</si>
  <si>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</si>
  <si>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</si>
  <si>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</si>
  <si>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</si>
  <si>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</si>
  <si>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</si>
  <si>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</si>
  <si>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</si>
  <si>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</si>
  <si>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</si>
  <si>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</si>
  <si>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</si>
  <si>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</si>
  <si>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</si>
  <si>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</si>
  <si>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</si>
  <si>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</si>
  <si>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</si>
  <si>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</si>
  <si>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</si>
  <si>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</si>
  <si>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</si>
  <si>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</si>
  <si>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</si>
  <si>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</si>
  <si>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</si>
  <si>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</si>
  <si>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</si>
  <si>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</si>
  <si>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</si>
  <si>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</si>
  <si>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</si>
  <si>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</si>
  <si>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</si>
  <si>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</si>
  <si>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</si>
  <si>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</si>
  <si>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</si>
  <si>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</si>
  <si>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</si>
  <si>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</si>
  <si>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</si>
  <si>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</si>
  <si>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</si>
  <si>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</si>
  <si>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</si>
  <si>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</si>
  <si>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</si>
  <si>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</si>
  <si>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</si>
  <si>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</si>
  <si>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</si>
  <si>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</si>
  <si>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</si>
  <si>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</si>
  <si>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</si>
  <si>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</si>
  <si>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</si>
  <si>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</si>
  <si>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</si>
  <si>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</si>
  <si>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</si>
  <si>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</si>
  <si>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</si>
  <si>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</si>
  <si>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</si>
  <si>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</si>
  <si>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</si>
  <si>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</si>
  <si>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</si>
  <si>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</si>
  <si>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</si>
  <si>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</si>
  <si>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</si>
  <si>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</si>
  <si>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</si>
  <si>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</si>
  <si>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</si>
  <si>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</si>
  <si>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</si>
  <si>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</si>
  <si>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</si>
  <si>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</si>
  <si>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</si>
  <si>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</si>
  <si>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</si>
  <si>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</si>
  <si>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</si>
  <si>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</si>
  <si>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</si>
  <si>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</si>
  <si>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</si>
  <si>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</si>
  <si>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</si>
  <si>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</si>
  <si>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</si>
  <si>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</si>
  <si>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</si>
  <si>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</si>
  <si>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</si>
  <si>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</si>
  <si>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</si>
  <si>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</si>
  <si>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</si>
  <si>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</si>
  <si>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</si>
  <si>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</si>
  <si>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</si>
  <si>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</si>
  <si>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</si>
  <si>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</si>
  <si>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</si>
  <si>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</si>
  <si>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</si>
  <si>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</si>
  <si>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</si>
  <si>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</si>
  <si>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</si>
  <si>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</si>
  <si>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</si>
  <si>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</si>
  <si>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</si>
  <si>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</si>
  <si>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</si>
  <si>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</si>
  <si>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</si>
  <si>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</si>
  <si>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</si>
  <si>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</si>
  <si>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</si>
  <si>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</si>
  <si>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</si>
  <si>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</si>
  <si>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</si>
  <si>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</si>
  <si>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</si>
  <si>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</si>
  <si>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</si>
  <si>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</si>
  <si>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</si>
  <si>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</si>
  <si>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</si>
  <si>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</si>
  <si>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</si>
  <si>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</si>
  <si>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</si>
  <si>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</si>
  <si>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</si>
  <si>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</si>
  <si>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</si>
  <si>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</si>
  <si>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</si>
  <si>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</si>
  <si>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</si>
  <si>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</si>
  <si>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</si>
  <si>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</si>
  <si>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</si>
  <si>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</si>
  <si>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</si>
  <si>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</si>
  <si>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</si>
  <si>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</si>
  <si>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</si>
  <si>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</si>
  <si>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</si>
  <si>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</si>
  <si>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</si>
  <si>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</si>
  <si>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</si>
  <si>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</si>
  <si>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</si>
  <si>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</si>
  <si>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</si>
  <si>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</si>
  <si>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</si>
  <si>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</si>
  <si>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</si>
  <si>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</si>
  <si>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</si>
  <si>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</si>
  <si>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</si>
  <si>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</si>
  <si>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</si>
  <si>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</si>
  <si>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</si>
  <si>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</si>
  <si>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</si>
  <si>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</si>
  <si>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</si>
  <si>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</si>
  <si>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</si>
  <si>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</si>
  <si>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</si>
  <si>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</si>
  <si>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</si>
  <si>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</si>
  <si>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</si>
  <si>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</si>
  <si>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</si>
  <si>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</si>
  <si>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</si>
  <si>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</si>
  <si>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</si>
  <si>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</si>
  <si>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</si>
  <si>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</si>
  <si>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</si>
  <si>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</si>
  <si>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</si>
  <si>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</si>
  <si>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</si>
  <si>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</si>
  <si>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</si>
  <si>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</si>
  <si>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</si>
  <si>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</si>
  <si>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</si>
  <si>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</si>
  <si>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</si>
  <si>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</si>
  <si>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</si>
  <si>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</si>
  <si>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</si>
  <si>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</si>
  <si>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</si>
  <si>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</si>
  <si>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</si>
  <si>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</si>
  <si>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</si>
  <si>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</si>
  <si>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</si>
  <si>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</si>
  <si>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</si>
  <si>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</si>
  <si>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</si>
  <si>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</si>
  <si>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</si>
  <si>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</si>
  <si>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</si>
  <si>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</si>
  <si>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</si>
  <si>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</si>
  <si>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</si>
  <si>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</si>
  <si>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</si>
  <si>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</si>
  <si>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</si>
  <si>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</si>
  <si>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</si>
  <si>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</si>
  <si>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</si>
  <si>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</si>
  <si>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</si>
  <si>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</si>
  <si>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</si>
  <si>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</si>
  <si>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</si>
  <si>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</si>
  <si>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</si>
  <si>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</si>
  <si>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</si>
  <si>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</si>
  <si>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</si>
  <si>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</si>
  <si>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</si>
  <si>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</si>
  <si>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</si>
  <si>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</si>
  <si>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</si>
  <si>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</si>
  <si>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</si>
  <si>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</si>
  <si>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</si>
  <si>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</si>
  <si>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</si>
  <si>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</si>
  <si>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</si>
  <si>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</si>
  <si>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</si>
  <si>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</si>
  <si>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</si>
  <si>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</si>
  <si>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</si>
  <si>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</si>
  <si>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</si>
  <si>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</si>
  <si>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</si>
  <si>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</si>
  <si>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</si>
  <si>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</si>
  <si>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</si>
  <si>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</si>
  <si>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</si>
  <si>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</si>
  <si>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</si>
  <si>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</si>
  <si>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</si>
  <si>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</si>
  <si>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</si>
  <si>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</si>
  <si>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</si>
  <si>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</si>
  <si>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</si>
  <si>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</si>
  <si>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</si>
  <si>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</si>
  <si>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</si>
  <si>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</si>
  <si>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</si>
  <si>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</si>
  <si>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</si>
  <si>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</si>
  <si>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</si>
  <si>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</si>
  <si>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</si>
  <si>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</si>
  <si>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</si>
  <si>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</si>
  <si>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</si>
  <si>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</si>
  <si>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</si>
  <si>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</si>
  <si>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</si>
  <si>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</si>
  <si>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</si>
  <si>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</si>
  <si>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</si>
  <si>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</si>
  <si>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</si>
  <si>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</si>
  <si>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</si>
  <si>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</si>
  <si>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</si>
  <si>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</si>
  <si>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</si>
  <si>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</si>
  <si>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</si>
  <si>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</si>
  <si>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</si>
  <si>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</si>
  <si>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</si>
  <si>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</si>
  <si>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</si>
  <si>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</si>
  <si>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</si>
  <si>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</si>
  <si>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</si>
  <si>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</si>
  <si>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</si>
  <si>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</si>
  <si>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</si>
  <si>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</si>
  <si>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</si>
  <si>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</si>
  <si>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</si>
  <si>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</si>
  <si>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</si>
  <si>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</si>
  <si>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</si>
  <si>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</si>
  <si>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</si>
  <si>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</si>
  <si>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</si>
  <si>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</si>
  <si>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</si>
  <si>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</si>
  <si>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</si>
  <si>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</si>
  <si>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</si>
  <si>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</si>
  <si>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</si>
  <si>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</si>
  <si>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</si>
  <si>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</si>
  <si>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</si>
  <si>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</si>
  <si>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</si>
  <si>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</si>
  <si>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</si>
  <si>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</si>
  <si>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</si>
  <si>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</si>
  <si>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</si>
  <si>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</si>
  <si>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</si>
  <si>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</si>
  <si>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</si>
  <si>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</si>
  <si>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</si>
  <si>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</si>
  <si>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</si>
  <si>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</si>
  <si>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</si>
  <si>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</si>
  <si>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</si>
  <si>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</si>
  <si>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</si>
  <si>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</si>
  <si>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</si>
  <si>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</si>
  <si>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</si>
  <si>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</si>
  <si>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</si>
  <si>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</si>
  <si>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</si>
  <si>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</si>
  <si>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</si>
  <si>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</si>
  <si>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</si>
  <si>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</si>
  <si>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</si>
  <si>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</si>
  <si>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</si>
  <si>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</si>
  <si>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</si>
  <si>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</si>
  <si>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</si>
  <si>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</si>
  <si>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</si>
  <si>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</si>
  <si>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</si>
  <si>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</si>
  <si>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</si>
  <si>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</si>
  <si>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</si>
  <si>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</si>
  <si>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</si>
  <si>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</si>
  <si>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</si>
  <si>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</si>
  <si>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</si>
  <si>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</si>
  <si>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</si>
  <si>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</si>
  <si>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</si>
  <si>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</si>
  <si>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</si>
  <si>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</si>
  <si>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</si>
  <si>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</si>
  <si>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</si>
  <si>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</si>
  <si>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</si>
  <si>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</si>
  <si>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</si>
  <si>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</si>
  <si>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</si>
  <si>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</si>
  <si>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</si>
  <si>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</si>
  <si>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</si>
  <si>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</si>
  <si>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</si>
  <si>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</si>
  <si>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</si>
  <si>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</si>
  <si>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</si>
  <si>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</si>
  <si>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各用途分类</t>
  </si>
  <si>
    <t>1号楼</t>
  </si>
  <si>
    <t>2号楼</t>
  </si>
  <si>
    <t>神路街</t>
  </si>
  <si>
    <t>合计</t>
  </si>
  <si>
    <t xml:space="preserve">配套 </t>
  </si>
  <si>
    <t>车位</t>
  </si>
  <si>
    <t>未标注</t>
  </si>
  <si>
    <t>酒店配套</t>
  </si>
  <si>
    <t>1层</t>
  </si>
  <si>
    <t>2层</t>
  </si>
  <si>
    <t>3层</t>
  </si>
  <si>
    <t>4层</t>
  </si>
  <si>
    <t>-1层</t>
  </si>
  <si>
    <t>崔锴</t>
  </si>
  <si>
    <t>车库</t>
    <phoneticPr fontId="8" type="noConversion"/>
  </si>
  <si>
    <t>收益法车</t>
  </si>
  <si>
    <t>自定义</t>
  </si>
  <si>
    <t>可租赁</t>
    <phoneticPr fontId="135" type="noConversion"/>
  </si>
  <si>
    <t>地上</t>
    <phoneticPr fontId="135" type="noConversion"/>
  </si>
  <si>
    <t>地下</t>
    <phoneticPr fontId="135" type="noConversion"/>
  </si>
  <si>
    <r>
      <rPr>
        <sz val="10"/>
        <rFont val="宋体"/>
        <family val="3"/>
        <charset val="134"/>
      </rPr>
      <t>序号</t>
    </r>
  </si>
  <si>
    <r>
      <rPr>
        <sz val="10"/>
        <rFont val="宋体"/>
        <family val="3"/>
        <charset val="134"/>
      </rPr>
      <t>房屋所有权人</t>
    </r>
  </si>
  <si>
    <r>
      <rPr>
        <sz val="10"/>
        <rFont val="宋体"/>
        <family val="3"/>
        <charset val="134"/>
      </rPr>
      <t>产权证号</t>
    </r>
  </si>
  <si>
    <r>
      <rPr>
        <sz val="10"/>
        <rFont val="宋体"/>
        <family val="3"/>
        <charset val="134"/>
      </rPr>
      <t>房屋坐落</t>
    </r>
  </si>
  <si>
    <r>
      <rPr>
        <sz val="10"/>
        <rFont val="宋体"/>
        <family val="3"/>
        <charset val="134"/>
      </rPr>
      <t>房号</t>
    </r>
  </si>
  <si>
    <r>
      <rPr>
        <sz val="11"/>
        <color indexed="8"/>
        <rFont val="宋体"/>
        <family val="3"/>
        <charset val="134"/>
      </rPr>
      <t>房屋性质</t>
    </r>
  </si>
  <si>
    <r>
      <rPr>
        <sz val="11"/>
        <color indexed="8"/>
        <rFont val="宋体"/>
        <family val="3"/>
        <charset val="134"/>
      </rPr>
      <t>层数</t>
    </r>
  </si>
  <si>
    <r>
      <rPr>
        <sz val="11"/>
        <color indexed="8"/>
        <rFont val="宋体"/>
        <family val="3"/>
        <charset val="134"/>
      </rPr>
      <t>面积</t>
    </r>
  </si>
  <si>
    <r>
      <rPr>
        <sz val="11"/>
        <color indexed="8"/>
        <rFont val="宋体"/>
        <family val="3"/>
        <charset val="134"/>
      </rPr>
      <t>抵押银行</t>
    </r>
  </si>
  <si>
    <r>
      <rPr>
        <sz val="10"/>
        <rFont val="宋体"/>
        <family val="3"/>
        <charset val="134"/>
      </rPr>
      <t>北京兆通置地集团股份有限公司</t>
    </r>
  </si>
  <si>
    <r>
      <t>X</t>
    </r>
    <r>
      <rPr>
        <sz val="10"/>
        <rFont val="宋体"/>
        <family val="3"/>
        <charset val="134"/>
      </rPr>
      <t>京房权证朝字第</t>
    </r>
    <r>
      <rPr>
        <sz val="10"/>
        <rFont val="Times New Roman"/>
        <family val="1"/>
      </rPr>
      <t>1372862</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</si>
  <si>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</si>
  <si>
    <r>
      <rPr>
        <sz val="9"/>
        <color indexed="8"/>
        <rFont val="华文细黑"/>
        <family val="3"/>
        <charset val="134"/>
      </rPr>
      <t>酒店配套</t>
    </r>
  </si>
  <si>
    <r>
      <rPr>
        <sz val="10"/>
        <rFont val="宋体"/>
        <family val="3"/>
        <charset val="134"/>
      </rPr>
      <t>盛京银行</t>
    </r>
  </si>
  <si>
    <r>
      <rPr>
        <sz val="10"/>
        <rFont val="宋体"/>
        <family val="3"/>
        <charset val="134"/>
      </rPr>
      <t>登记时间</t>
    </r>
  </si>
  <si>
    <r>
      <rPr>
        <sz val="10"/>
        <rFont val="宋体"/>
        <family val="3"/>
        <charset val="134"/>
      </rPr>
      <t>房屋性质</t>
    </r>
  </si>
  <si>
    <r>
      <rPr>
        <sz val="10"/>
        <rFont val="宋体"/>
        <family val="3"/>
        <charset val="134"/>
      </rPr>
      <t>规划用途</t>
    </r>
  </si>
  <si>
    <r>
      <rPr>
        <sz val="10"/>
        <rFont val="宋体"/>
        <family val="3"/>
        <charset val="134"/>
      </rPr>
      <t>建筑面积</t>
    </r>
  </si>
  <si>
    <r>
      <rPr>
        <sz val="10"/>
        <rFont val="宋体"/>
        <family val="3"/>
        <charset val="134"/>
      </rPr>
      <t>套内建筑面积</t>
    </r>
  </si>
  <si>
    <r>
      <rPr>
        <sz val="10"/>
        <rFont val="宋体"/>
        <family val="3"/>
        <charset val="134"/>
      </rPr>
      <t>抵押银行</t>
    </r>
  </si>
  <si>
    <r>
      <t>X</t>
    </r>
    <r>
      <rPr>
        <sz val="10"/>
        <rFont val="宋体"/>
        <family val="3"/>
        <charset val="134"/>
      </rPr>
      <t>京房权证朝字第</t>
    </r>
    <r>
      <rPr>
        <sz val="10"/>
        <rFont val="Times New Roman"/>
        <family val="1"/>
      </rPr>
      <t>1440741</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</si>
  <si>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1</t>
    </r>
    <r>
      <rPr>
        <sz val="10"/>
        <rFont val="宋体"/>
        <family val="3"/>
        <charset val="134"/>
      </rPr>
      <t>号楼</t>
    </r>
    <r>
      <rPr>
        <sz val="10"/>
        <rFont val="Times New Roman"/>
        <family val="1"/>
      </rPr>
      <t>15</t>
    </r>
    <r>
      <rPr>
        <sz val="10"/>
        <rFont val="宋体"/>
        <family val="3"/>
        <charset val="134"/>
      </rPr>
      <t>层</t>
    </r>
    <r>
      <rPr>
        <sz val="10"/>
        <rFont val="Times New Roman"/>
        <family val="1"/>
      </rPr>
      <t>1501</t>
    </r>
  </si>
  <si>
    <r>
      <rPr>
        <sz val="10"/>
        <rFont val="宋体"/>
        <family val="3"/>
        <charset val="134"/>
      </rPr>
      <t>商品房</t>
    </r>
  </si>
  <si>
    <r>
      <rPr>
        <sz val="10"/>
        <rFont val="宋体"/>
        <family val="3"/>
        <charset val="134"/>
      </rPr>
      <t>酒店配套</t>
    </r>
  </si>
  <si>
    <t>车库个数</t>
    <phoneticPr fontId="135" type="noConversion"/>
  </si>
  <si>
    <t>日坛1-2号楼</t>
    <phoneticPr fontId="135" type="noConversion"/>
  </si>
  <si>
    <t>神路街</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</si>
</sst>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华文细黑"/>
      <family val="3"/>
      <charset val="134"/>
    </font>
    <font>
      <sz val="10"/>
      <name val="Times New Roman"/>
      <family val="1"/>
    </font>
    <font>
      <sz val="11"/>
      <color theme="1"/>
      <name val="Times New Roman"/>
      <family val="1"/>
    </font>
    <font>
      <sz val="9"/>
      <color indexed="8"/>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3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3" xfId="10" applyBorder="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Border="1" applyAlignment="1" applyProtection="1">
      <alignment horizontal="center" vertical="center" wrapText="1"/>
      <protection locked="0"/>
    </xf>
    <xf numFmtId="43" fontId="45" fillId="0" borderId="49" xfId="0" applyNumberFormat="1" applyFont="1" applyBorder="1" applyAlignment="1" applyProtection="1">
      <alignment horizontal="center" vertical="center"/>
      <protection locked="0"/>
    </xf>
    <xf numFmtId="43" fontId="48" fillId="0" borderId="3" xfId="0" applyNumberFormat="1" applyFont="1" applyBorder="1" applyProtection="1">
      <alignment vertical="center"/>
      <protection locked="0"/>
    </xf>
    <xf numFmtId="0" fontId="45" fillId="7" borderId="61" xfId="0" applyFont="1" applyFill="1" applyBorder="1" applyProtection="1">
      <alignment vertical="center"/>
      <protection locked="0"/>
    </xf>
    <xf numFmtId="177" fontId="55" fillId="7" borderId="1" xfId="1" applyNumberFormat="1" applyFont="1" applyFill="1" applyBorder="1" applyAlignment="1">
      <alignment horizontal="center"/>
    </xf>
    <xf numFmtId="43" fontId="48" fillId="12" borderId="0" xfId="0" applyNumberFormat="1" applyFont="1" applyFill="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Border="1" applyAlignment="1" applyProtection="1">
      <alignment horizontal="center" vertical="center"/>
      <protection locked="0"/>
    </xf>
    <xf numFmtId="179" fontId="45" fillId="0" borderId="5" xfId="0" applyNumberFormat="1" applyFont="1" applyBorder="1" applyAlignment="1" applyProtection="1">
      <alignment horizontal="center" vertical="center"/>
      <protection locked="0"/>
    </xf>
    <xf numFmtId="0" fontId="99" fillId="0" borderId="1" xfId="0" applyFont="1" applyBorder="1" applyAlignment="1"/>
    <xf numFmtId="0" fontId="115" fillId="0" borderId="1" xfId="0" applyFont="1" applyBorder="1" applyAlignment="1"/>
    <xf numFmtId="0" fontId="272" fillId="0" borderId="0" xfId="0" applyFont="1">
      <alignment vertical="center"/>
    </xf>
    <xf numFmtId="49" fontId="272" fillId="0" borderId="0" xfId="0" applyNumberFormat="1" applyFont="1">
      <alignment vertical="center"/>
    </xf>
    <xf numFmtId="0" fontId="272" fillId="0" borderId="1" xfId="0" applyFont="1" applyBorder="1" applyAlignment="1"/>
    <xf numFmtId="0" fontId="272" fillId="0" borderId="0" xfId="0" applyFont="1" applyAlignment="1"/>
    <xf numFmtId="183" fontId="48" fillId="0" borderId="1" xfId="38" applyNumberFormat="1" applyFont="1" applyBorder="1" applyAlignment="1" applyProtection="1">
      <alignment horizontal="center" vertical="center" shrinkToFit="1"/>
      <protection locked="0"/>
    </xf>
    <xf numFmtId="43" fontId="96" fillId="0" borderId="1" xfId="10" applyNumberFormat="1" applyBorder="1">
      <alignment vertical="center"/>
    </xf>
    <xf numFmtId="43" fontId="96" fillId="0" borderId="1" xfId="10" applyNumberFormat="1" applyBorder="1" applyAlignment="1">
      <alignment horizontal="right" vertical="center"/>
    </xf>
    <xf numFmtId="0" fontId="273" fillId="0" borderId="1" xfId="0" applyFont="1" applyBorder="1" applyAlignment="1">
      <alignment horizontal="center" vertical="center"/>
    </xf>
    <xf numFmtId="0" fontId="273" fillId="19" borderId="1" xfId="0" applyFont="1" applyFill="1" applyBorder="1" applyAlignment="1">
      <alignment horizontal="center" vertical="center"/>
    </xf>
    <xf numFmtId="0" fontId="274" fillId="19" borderId="1" xfId="0" applyFont="1" applyFill="1" applyBorder="1" applyAlignment="1">
      <alignment horizontal="center" vertical="center"/>
    </xf>
    <xf numFmtId="0" fontId="273" fillId="19" borderId="0" xfId="0" applyFont="1" applyFill="1" applyAlignment="1">
      <alignment horizontal="center" vertical="center"/>
    </xf>
    <xf numFmtId="0" fontId="273" fillId="0" borderId="0" xfId="0" applyFont="1" applyAlignment="1">
      <alignment horizontal="center" vertical="center"/>
    </xf>
    <xf numFmtId="0" fontId="274" fillId="0" borderId="1" xfId="0" applyFont="1" applyBorder="1" applyAlignment="1">
      <alignment horizontal="center" vertical="center"/>
    </xf>
    <xf numFmtId="0" fontId="273" fillId="0" borderId="1" xfId="0" applyFont="1" applyBorder="1" applyAlignment="1">
      <alignment horizontal="left" vertical="center"/>
    </xf>
    <xf numFmtId="0" fontId="261" fillId="0" borderId="1" xfId="0" applyFont="1" applyBorder="1" applyAlignment="1">
      <alignment horizontal="right" vertical="center"/>
    </xf>
    <xf numFmtId="0" fontId="261" fillId="0" borderId="1" xfId="0" applyFont="1" applyBorder="1" applyAlignment="1">
      <alignment horizontal="left" vertical="center"/>
    </xf>
    <xf numFmtId="196" fontId="261" fillId="5" borderId="1" xfId="0" applyNumberFormat="1" applyFont="1" applyFill="1" applyBorder="1" applyAlignment="1">
      <alignment horizontal="right" vertical="center"/>
    </xf>
    <xf numFmtId="196" fontId="261" fillId="0" borderId="1" xfId="0" applyNumberFormat="1" applyFont="1" applyBorder="1" applyAlignment="1">
      <alignment horizontal="right" vertical="center"/>
    </xf>
    <xf numFmtId="196" fontId="273" fillId="0" borderId="0" xfId="0" applyNumberFormat="1" applyFont="1" applyAlignment="1">
      <alignment horizontal="right" vertical="center"/>
    </xf>
    <xf numFmtId="14" fontId="273" fillId="0" borderId="1" xfId="0" applyNumberFormat="1" applyFont="1" applyBorder="1" applyAlignment="1">
      <alignment horizontal="center" vertical="center"/>
    </xf>
    <xf numFmtId="196" fontId="273" fillId="0" borderId="1" xfId="0" applyNumberFormat="1" applyFont="1" applyBorder="1" applyAlignment="1">
      <alignment horizontal="right" vertical="center"/>
    </xf>
    <xf numFmtId="43" fontId="54" fillId="0" borderId="32" xfId="0" applyNumberFormat="1" applyFont="1" applyBorder="1" applyAlignment="1" applyProtection="1">
      <alignment vertical="center" wrapText="1"/>
      <protection locked="0"/>
    </xf>
    <xf numFmtId="0" fontId="99" fillId="0" borderId="0" xfId="0" applyFont="1" applyAlignme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cellXfs>
  <cellStyles count="50">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常规" xfId="0" builtinId="0"/>
    <cellStyle name="常规 10" xfId="36" xr:uid="{00000000-0005-0000-0000-000013000000}"/>
    <cellStyle name="常规 11" xfId="18" xr:uid="{00000000-0005-0000-0000-000014000000}"/>
    <cellStyle name="常规 12" xfId="37" xr:uid="{00000000-0005-0000-0000-000015000000}"/>
    <cellStyle name="常规 13" xfId="38" xr:uid="{00000000-0005-0000-0000-000016000000}"/>
    <cellStyle name="常规 14" xfId="39" xr:uid="{00000000-0005-0000-0000-000017000000}"/>
    <cellStyle name="常规 16" xfId="10" xr:uid="{00000000-0005-0000-0000-000018000000}"/>
    <cellStyle name="常规 2" xfId="1" xr:uid="{00000000-0005-0000-0000-000019000000}"/>
    <cellStyle name="常规 2 2" xfId="8" xr:uid="{00000000-0005-0000-0000-00001A000000}"/>
    <cellStyle name="常规 2 2 2 2 3" xfId="15" xr:uid="{00000000-0005-0000-0000-00001B000000}"/>
    <cellStyle name="常规 2 3" xfId="40" xr:uid="{00000000-0005-0000-0000-00001C000000}"/>
    <cellStyle name="常规 3" xfId="2" xr:uid="{00000000-0005-0000-0000-00001D000000}"/>
    <cellStyle name="常规 3 2" xfId="3" xr:uid="{00000000-0005-0000-0000-00001E000000}"/>
    <cellStyle name="常规 3 2 2" xfId="41" xr:uid="{00000000-0005-0000-0000-00001F000000}"/>
    <cellStyle name="常规 3 3" xfId="42" xr:uid="{00000000-0005-0000-0000-000020000000}"/>
    <cellStyle name="常规 4" xfId="4" xr:uid="{00000000-0005-0000-0000-000021000000}"/>
    <cellStyle name="常规 5" xfId="5" xr:uid="{00000000-0005-0000-0000-000022000000}"/>
    <cellStyle name="常规 6" xfId="6" xr:uid="{00000000-0005-0000-0000-000023000000}"/>
    <cellStyle name="常规 6 2" xfId="9" xr:uid="{00000000-0005-0000-0000-000024000000}"/>
    <cellStyle name="常规 6 2 2" xfId="16" xr:uid="{00000000-0005-0000-0000-000025000000}"/>
    <cellStyle name="常规 6 2 3" xfId="13" xr:uid="{00000000-0005-0000-0000-000026000000}"/>
    <cellStyle name="常规 7" xfId="7" xr:uid="{00000000-0005-0000-0000-000027000000}"/>
    <cellStyle name="常规 8" xfId="11" xr:uid="{00000000-0005-0000-0000-000028000000}"/>
    <cellStyle name="常规 9" xfId="12" xr:uid="{00000000-0005-0000-0000-000029000000}"/>
    <cellStyle name="常规 9 2" xfId="43" xr:uid="{00000000-0005-0000-0000-00002A000000}"/>
    <cellStyle name="千位分隔 2" xfId="20" xr:uid="{00000000-0005-0000-0000-00002B000000}"/>
    <cellStyle name="千位分隔 2 2" xfId="44" xr:uid="{00000000-0005-0000-0000-00002C000000}"/>
    <cellStyle name="千位分隔 2 2 2" xfId="45" xr:uid="{00000000-0005-0000-0000-00002D000000}"/>
    <cellStyle name="千位分隔 2 3" xfId="46" xr:uid="{00000000-0005-0000-0000-00002E000000}"/>
    <cellStyle name="千位分隔 3" xfId="47" xr:uid="{00000000-0005-0000-0000-00002F000000}"/>
    <cellStyle name="千位分隔 3 2" xfId="48" xr:uid="{00000000-0005-0000-0000-000030000000}"/>
    <cellStyle name="千位分隔 4" xfId="49" xr:uid="{00000000-0005-0000-0000-000031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35780;&#20272;\2024-1-0585-&#26085;&#22363;&#36152;&#26131;&#20013;&#24515;\2024-1-0575-&#31070;&#36335;&#34903;10&#21495;.xlsx" TargetMode="External"/><Relationship Id="rId1" Type="http://schemas.openxmlformats.org/officeDocument/2006/relationships/externalLinkPath" Target="2024-1-0575-&#31070;&#36335;&#34903;1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26071.749999999887</v>
          </cell>
          <cell r="D14">
            <v>55175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08" customWidth="1"/>
    <col min="2" max="2" width="81" style="1124" customWidth="1"/>
    <col min="3" max="16384" width="9" style="1117"/>
  </cols>
  <sheetData>
    <row r="1" spans="1:2" s="1111" customFormat="1" ht="16" thickBot="1">
      <c r="A1" s="1110" t="s">
        <v>521</v>
      </c>
      <c r="B1" s="1109" t="s">
        <v>600</v>
      </c>
    </row>
    <row r="2" spans="1:2" s="1114" customFormat="1" ht="15.5" thickTop="1">
      <c r="A2" s="1112" t="s">
        <v>522</v>
      </c>
      <c r="B2" s="1113" t="str">
        <f>'预评函-封皮'!B37:I37</f>
        <v>房地产抵押价值预评估</v>
      </c>
    </row>
    <row r="3" spans="1:2">
      <c r="A3" s="1115" t="s">
        <v>523</v>
      </c>
      <c r="B3" s="1116">
        <f>'预评函-封皮'!B40</f>
        <v>0</v>
      </c>
    </row>
    <row r="4" spans="1:2">
      <c r="A4" s="1115" t="s">
        <v>524</v>
      </c>
      <c r="B4" s="1116" t="str">
        <f ca="1">'预评函-封皮'!B46</f>
        <v>郑燚（注册号：1120070131)、崔锴（注册号：1120100036)</v>
      </c>
    </row>
    <row r="5" spans="1:2" s="1111" customFormat="1" ht="15.5" thickBot="1">
      <c r="A5" s="1118" t="s">
        <v>525</v>
      </c>
      <c r="B5" s="1119" t="str">
        <f>'预评函-封皮'!B49</f>
        <v>康正预评字号</v>
      </c>
    </row>
    <row r="6" spans="1:2" s="1114" customFormat="1" ht="15.5" thickTop="1">
      <c r="A6" s="1112" t="s">
        <v>526</v>
      </c>
      <c r="B6" s="1113" t="str">
        <f>'预评函-1'!A4</f>
        <v>受贵公司委托，我公司对房地产抵押价值进行了预评估。</v>
      </c>
    </row>
    <row r="7" spans="1:2">
      <c r="A7" s="1115" t="s">
        <v>566</v>
      </c>
      <c r="B7" s="1116" t="str">
        <f>'预评函-1'!A7</f>
        <v>估价对象为房地产，为所有。根据《国有土地使用证》[]，估价对象（分摊）出让国有建设用地使用权面积为0平方米，建筑面积为26917.5200000001平方米。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估价对象为房地产,属开发建设的综合项目（居住、综合），该项目尚在开发建设中。根据《国有土地使用证》[]，估价对象（分摊）出让国有建设用地使用权面积为0平方米，规划建筑面积为26917.5200000001平方米。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2024年7月5日（评估专业人员实地查勘之日）</v>
      </c>
    </row>
    <row r="13" spans="1:2">
      <c r="A13" s="1115" t="s">
        <v>529</v>
      </c>
      <c r="B13" s="1116"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5" thickBot="1">
      <c r="A18" s="1118" t="s">
        <v>534</v>
      </c>
      <c r="B18" s="1119" t="str">
        <f>'预评函-1'!A24</f>
        <v>本次评估采用的主估价方法为成本法和收益法。</v>
      </c>
    </row>
    <row r="19" spans="1:2" s="1114" customFormat="1" ht="15.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51311</v>
      </c>
    </row>
    <row r="21" spans="1:2">
      <c r="A21" s="1115" t="s">
        <v>537</v>
      </c>
      <c r="B21" s="1116">
        <f ca="1">'预评函-2'!D7</f>
        <v>19062</v>
      </c>
    </row>
    <row r="22" spans="1:2">
      <c r="A22" s="1115" t="s">
        <v>538</v>
      </c>
      <c r="B22" s="1116" t="str">
        <f ca="1">'预评函-2'!D6</f>
        <v>伍亿壹仟叁佰壹拾壹万元整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v>
      </c>
    </row>
    <row r="30" spans="1:2">
      <c r="A30" s="1115" t="s">
        <v>594</v>
      </c>
      <c r="B30" s="1116" t="str">
        <f>'预评函-2'!D13</f>
        <v>——</v>
      </c>
    </row>
    <row r="31" spans="1:2">
      <c r="A31" s="1115" t="s">
        <v>576</v>
      </c>
      <c r="B31" s="1116" t="e">
        <f ca="1">'预评函-2'!D15</f>
        <v>#VALUE!</v>
      </c>
    </row>
    <row r="32" spans="1:2">
      <c r="A32" s="1115" t="s">
        <v>543</v>
      </c>
      <c r="B32" s="1116" t="e">
        <f>'预评函-2'!D14</f>
        <v>#VALUE!</v>
      </c>
    </row>
    <row r="33" spans="1:2">
      <c r="A33" s="1115" t="s">
        <v>578</v>
      </c>
      <c r="B33" s="1116" t="str">
        <f>'预评函-2'!B16</f>
        <v>3.抵押担保权已注销时的房地产抵押价值</v>
      </c>
    </row>
    <row r="34" spans="1:2">
      <c r="A34" s="1115" t="s">
        <v>596</v>
      </c>
      <c r="B34" s="1116">
        <f ca="1">'预评函-2'!D16</f>
        <v>51311</v>
      </c>
    </row>
    <row r="35" spans="1:2">
      <c r="A35" s="1115" t="s">
        <v>577</v>
      </c>
      <c r="B35" s="1116">
        <f ca="1">'预评函-2'!D18</f>
        <v>19062</v>
      </c>
    </row>
    <row r="36" spans="1:2">
      <c r="A36" s="1115" t="s">
        <v>544</v>
      </c>
      <c r="B36" s="1116" t="str">
        <f ca="1">'预评函-2'!D17</f>
        <v>伍亿壹仟叁佰壹拾壹万元整</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房地产</v>
      </c>
    </row>
    <row r="42" spans="1:2" ht="30">
      <c r="A42" s="1115" t="s">
        <v>590</v>
      </c>
      <c r="B42" s="1116" t="str">
        <f>'预评函-3'!B2</f>
        <v>建筑面积</v>
      </c>
    </row>
    <row r="43" spans="1:2">
      <c r="A43" s="1115" t="s">
        <v>591</v>
      </c>
      <c r="B43" s="1116">
        <f>'预评函-3'!B4</f>
        <v>26917.520000000128</v>
      </c>
    </row>
    <row r="44" spans="1:2" ht="30">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35302</v>
      </c>
    </row>
    <row r="48" spans="1:2">
      <c r="A48" s="1115" t="s">
        <v>549</v>
      </c>
      <c r="B48" s="1116">
        <f ca="1">'预评函-3'!E4</f>
        <v>13115</v>
      </c>
    </row>
    <row r="49" spans="1:2">
      <c r="A49" s="1115" t="s">
        <v>550</v>
      </c>
      <c r="B49" s="1116" t="str">
        <f ca="1">'预评函-3'!D5</f>
        <v>叁亿伍仟叁佰零贰万元整</v>
      </c>
    </row>
    <row r="50" spans="1:2">
      <c r="A50" s="1115" t="s">
        <v>574</v>
      </c>
      <c r="B50" s="1116" t="str">
        <f>'预评函-3'!F2</f>
        <v>在建建筑物价值</v>
      </c>
    </row>
    <row r="51" spans="1:2">
      <c r="A51" s="1115" t="s">
        <v>551</v>
      </c>
      <c r="B51" s="1116">
        <f ca="1">'预评函-3'!F4</f>
        <v>16009</v>
      </c>
    </row>
    <row r="52" spans="1:2">
      <c r="A52" s="1115" t="s">
        <v>552</v>
      </c>
      <c r="B52" s="1116">
        <f ca="1">'预评函-3'!G4</f>
        <v>5947</v>
      </c>
    </row>
    <row r="53" spans="1:2">
      <c r="A53" s="1115" t="s">
        <v>580</v>
      </c>
      <c r="B53" s="1116" t="str">
        <f ca="1">'预评函-3'!F5</f>
        <v>壹亿陆仟零玖万元整</v>
      </c>
    </row>
    <row r="54" spans="1:2">
      <c r="A54" s="1115" t="s">
        <v>598</v>
      </c>
      <c r="B54" s="1116" t="str">
        <f>'预评函-3'!A8</f>
        <v/>
      </c>
    </row>
    <row r="55" spans="1:2">
      <c r="A55" s="1115" t="s">
        <v>581</v>
      </c>
      <c r="B55" s="1116" t="str">
        <f>'预评函-3'!A10</f>
        <v>抵押担保权已注销时的房地产抵押价值</v>
      </c>
    </row>
    <row r="56" spans="1:2">
      <c r="A56" s="1115" t="s">
        <v>582</v>
      </c>
      <c r="B56" s="1116" t="str">
        <f>'预评函-3'!A12</f>
        <v/>
      </c>
    </row>
    <row r="57" spans="1:2" s="1111" customFormat="1" ht="15.5" thickBot="1">
      <c r="A57" s="1118" t="s">
        <v>599</v>
      </c>
      <c r="B57" s="1119" t="str">
        <f>'预评函-3'!A6</f>
        <v>估价师知悉的法定优先受偿款</v>
      </c>
    </row>
    <row r="58" spans="1:2" s="1114" customFormat="1" ht="15.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5" thickBot="1">
      <c r="A69" s="1118" t="s">
        <v>561</v>
      </c>
      <c r="B69" s="1120">
        <f>'预评函-4'!C31</f>
        <v>42551</v>
      </c>
    </row>
    <row r="70" spans="1:2" ht="15.5" thickTop="1">
      <c r="A70" s="1121" t="s">
        <v>562</v>
      </c>
      <c r="B70" s="1122" t="str">
        <f>'预评函-4'!A4</f>
        <v>郑燚</v>
      </c>
    </row>
    <row r="71" spans="1:2">
      <c r="A71" s="1115" t="s">
        <v>563</v>
      </c>
      <c r="B71" s="1116">
        <f ca="1">'预评函-4'!B4</f>
        <v>1120070131</v>
      </c>
    </row>
    <row r="72" spans="1:2">
      <c r="A72" s="1115" t="s">
        <v>564</v>
      </c>
      <c r="B72" s="1123" t="str">
        <f>'预评函-4'!A5</f>
        <v>崔锴</v>
      </c>
    </row>
    <row r="73" spans="1:2" s="1111" customFormat="1" ht="15.5" thickBot="1">
      <c r="A73" s="1118" t="s">
        <v>565</v>
      </c>
      <c r="B73" s="1119">
        <f ca="1">'预评函-4'!B5</f>
        <v>1120100036</v>
      </c>
    </row>
    <row r="74" spans="1:2" ht="15.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444" customWidth="1"/>
    <col min="2" max="2" width="23.26953125" style="1401" customWidth="1"/>
    <col min="3" max="3" width="13" style="1441" customWidth="1"/>
    <col min="4" max="4" width="5.7265625" style="1439" customWidth="1"/>
    <col min="5" max="5" width="7.08984375" style="1439" customWidth="1"/>
    <col min="6" max="6" width="10.6328125" style="1439" customWidth="1"/>
    <col min="7" max="7" width="7.453125" style="1439" customWidth="1"/>
    <col min="8" max="8" width="11.90625" style="1441" customWidth="1"/>
    <col min="9" max="9" width="11.6328125" style="1441" customWidth="1"/>
    <col min="10" max="10" width="9" style="1441" customWidth="1"/>
    <col min="11" max="19" width="9" style="1439" customWidth="1"/>
    <col min="20" max="23" width="9" style="1441" customWidth="1"/>
    <col min="24" max="24" width="21.08984375" style="1401" customWidth="1"/>
    <col min="25" max="16384" width="9" style="1401"/>
  </cols>
  <sheetData>
    <row r="1" spans="1:23" s="1436" customFormat="1" ht="42">
      <c r="A1" s="1432" t="s">
        <v>44</v>
      </c>
      <c r="B1" s="1433" t="s">
        <v>975</v>
      </c>
      <c r="C1" s="1434" t="s">
        <v>314</v>
      </c>
      <c r="D1" s="1435" t="s">
        <v>3348</v>
      </c>
      <c r="E1" s="1434" t="s">
        <v>976</v>
      </c>
      <c r="F1" s="1434" t="s">
        <v>977</v>
      </c>
      <c r="G1" s="1434" t="s">
        <v>978</v>
      </c>
      <c r="H1" s="1434" t="s">
        <v>979</v>
      </c>
      <c r="I1" s="1434" t="s">
        <v>980</v>
      </c>
      <c r="J1" s="1434" t="s">
        <v>981</v>
      </c>
      <c r="K1" s="1434" t="s">
        <v>982</v>
      </c>
      <c r="L1" s="1434" t="s">
        <v>983</v>
      </c>
      <c r="M1" s="1434" t="s">
        <v>984</v>
      </c>
      <c r="N1" s="1434" t="s">
        <v>985</v>
      </c>
      <c r="O1" s="1434" t="s">
        <v>986</v>
      </c>
      <c r="P1" s="1435" t="s">
        <v>309</v>
      </c>
      <c r="Q1" s="1435" t="s">
        <v>447</v>
      </c>
      <c r="R1" s="1434" t="s">
        <v>441</v>
      </c>
      <c r="S1" s="1434" t="s">
        <v>987</v>
      </c>
      <c r="T1" s="1435" t="s">
        <v>988</v>
      </c>
      <c r="U1" s="1434" t="s">
        <v>989</v>
      </c>
      <c r="V1" s="1434" t="s">
        <v>990</v>
      </c>
      <c r="W1" s="1434" t="s">
        <v>311</v>
      </c>
    </row>
    <row r="2" spans="1:23">
      <c r="A2" s="1437" t="s">
        <v>19</v>
      </c>
      <c r="B2" s="1437" t="s">
        <v>991</v>
      </c>
      <c r="C2" s="1438" t="s">
        <v>315</v>
      </c>
      <c r="D2" s="1439" t="s">
        <v>992</v>
      </c>
      <c r="E2" s="1439" t="s">
        <v>993</v>
      </c>
      <c r="F2" s="1439" t="s">
        <v>994</v>
      </c>
      <c r="G2" s="1439">
        <v>20</v>
      </c>
      <c r="H2" s="1439" t="s">
        <v>994</v>
      </c>
      <c r="I2" s="1439" t="s">
        <v>3334</v>
      </c>
      <c r="J2" s="1439" t="s">
        <v>995</v>
      </c>
      <c r="K2" s="1439" t="s">
        <v>996</v>
      </c>
      <c r="L2" s="1439" t="s">
        <v>996</v>
      </c>
      <c r="M2" s="1439" t="s">
        <v>996</v>
      </c>
      <c r="N2" s="1439" t="s">
        <v>996</v>
      </c>
      <c r="O2" s="1439" t="s">
        <v>996</v>
      </c>
      <c r="P2" s="1439" t="s">
        <v>996</v>
      </c>
      <c r="Q2" s="1439" t="s">
        <v>996</v>
      </c>
      <c r="R2" s="1439" t="s">
        <v>443</v>
      </c>
      <c r="S2" s="1439" t="s">
        <v>996</v>
      </c>
      <c r="T2" s="1439" t="s">
        <v>997</v>
      </c>
      <c r="U2" s="1439" t="s">
        <v>996</v>
      </c>
      <c r="V2" s="1439" t="s">
        <v>998</v>
      </c>
      <c r="W2" s="1439" t="s">
        <v>996</v>
      </c>
    </row>
    <row r="3" spans="1:23">
      <c r="A3" s="1437" t="s">
        <v>999</v>
      </c>
      <c r="B3" s="1440" t="s">
        <v>448</v>
      </c>
      <c r="C3" s="1438" t="s">
        <v>316</v>
      </c>
      <c r="D3" s="1439" t="s">
        <v>1000</v>
      </c>
      <c r="E3" s="1439" t="s">
        <v>13</v>
      </c>
      <c r="F3" s="1439" t="s">
        <v>1001</v>
      </c>
      <c r="G3" s="1439">
        <v>40</v>
      </c>
      <c r="H3" s="1439" t="s">
        <v>1001</v>
      </c>
      <c r="I3" s="1439" t="s">
        <v>3335</v>
      </c>
      <c r="J3" s="1439" t="s">
        <v>1002</v>
      </c>
      <c r="K3" s="1439" t="s">
        <v>1003</v>
      </c>
      <c r="L3" s="1439" t="s">
        <v>1003</v>
      </c>
      <c r="M3" s="1439" t="s">
        <v>1003</v>
      </c>
      <c r="N3" s="1439" t="s">
        <v>1003</v>
      </c>
      <c r="O3" s="1439" t="s">
        <v>1003</v>
      </c>
      <c r="P3" s="1439" t="s">
        <v>1003</v>
      </c>
      <c r="Q3" s="1439" t="s">
        <v>1003</v>
      </c>
      <c r="R3" s="1439" t="s">
        <v>442</v>
      </c>
      <c r="S3" s="1439" t="s">
        <v>1003</v>
      </c>
      <c r="T3" s="1439" t="s">
        <v>1004</v>
      </c>
      <c r="U3" s="1439" t="s">
        <v>1003</v>
      </c>
      <c r="V3" s="1439" t="s">
        <v>1005</v>
      </c>
      <c r="W3" s="1439" t="s">
        <v>1003</v>
      </c>
    </row>
    <row r="4" spans="1:23">
      <c r="A4" s="1437" t="s">
        <v>1006</v>
      </c>
      <c r="B4" s="1437" t="s">
        <v>1007</v>
      </c>
      <c r="C4" s="1438" t="s">
        <v>317</v>
      </c>
      <c r="D4" s="1439" t="s">
        <v>389</v>
      </c>
      <c r="E4" s="1439" t="s">
        <v>1008</v>
      </c>
      <c r="F4" s="1439" t="s">
        <v>1009</v>
      </c>
      <c r="G4" s="1439">
        <v>50</v>
      </c>
      <c r="H4" s="1439" t="s">
        <v>1009</v>
      </c>
      <c r="I4" s="1439" t="s">
        <v>3336</v>
      </c>
      <c r="K4" s="1439" t="s">
        <v>1010</v>
      </c>
      <c r="L4" s="1439" t="s">
        <v>1010</v>
      </c>
      <c r="M4" s="1439" t="s">
        <v>1010</v>
      </c>
      <c r="N4" s="1439" t="s">
        <v>1010</v>
      </c>
      <c r="O4" s="1439" t="s">
        <v>1010</v>
      </c>
      <c r="P4" s="1439" t="s">
        <v>1010</v>
      </c>
      <c r="Q4" s="1439" t="s">
        <v>1010</v>
      </c>
      <c r="R4" s="1439" t="s">
        <v>444</v>
      </c>
      <c r="S4" s="1439" t="s">
        <v>1010</v>
      </c>
      <c r="T4" s="1439" t="s">
        <v>1011</v>
      </c>
      <c r="U4" s="1439" t="s">
        <v>1010</v>
      </c>
      <c r="W4" s="1439" t="s">
        <v>1010</v>
      </c>
    </row>
    <row r="5" spans="1:23">
      <c r="A5" s="1437" t="s">
        <v>1012</v>
      </c>
      <c r="B5" s="1437" t="s">
        <v>1013</v>
      </c>
      <c r="C5" s="1438" t="s">
        <v>318</v>
      </c>
      <c r="F5" s="1439" t="s">
        <v>1014</v>
      </c>
      <c r="G5" s="1439">
        <v>70</v>
      </c>
      <c r="H5" s="1439" t="s">
        <v>1015</v>
      </c>
      <c r="I5" s="1439" t="s">
        <v>3337</v>
      </c>
      <c r="K5" s="1439" t="s">
        <v>1016</v>
      </c>
      <c r="L5" s="1439" t="s">
        <v>1016</v>
      </c>
      <c r="M5" s="1439" t="s">
        <v>1016</v>
      </c>
      <c r="N5" s="1439" t="s">
        <v>1016</v>
      </c>
      <c r="O5" s="1439" t="s">
        <v>1016</v>
      </c>
      <c r="P5" s="1439" t="s">
        <v>1016</v>
      </c>
      <c r="Q5" s="1439" t="s">
        <v>1016</v>
      </c>
      <c r="R5" s="1439" t="s">
        <v>445</v>
      </c>
      <c r="S5" s="1439" t="s">
        <v>1016</v>
      </c>
      <c r="T5" s="1439" t="s">
        <v>1017</v>
      </c>
      <c r="U5" s="1439" t="s">
        <v>1016</v>
      </c>
      <c r="W5" s="1439" t="s">
        <v>1016</v>
      </c>
    </row>
    <row r="6" spans="1:23">
      <c r="A6" s="1437" t="s">
        <v>1018</v>
      </c>
      <c r="B6" s="1440" t="s">
        <v>449</v>
      </c>
      <c r="C6" s="1442" t="s">
        <v>24</v>
      </c>
      <c r="F6" s="1439" t="s">
        <v>1015</v>
      </c>
      <c r="H6" s="1439" t="s">
        <v>1019</v>
      </c>
      <c r="I6" s="1439" t="s">
        <v>3338</v>
      </c>
      <c r="K6" s="1439" t="s">
        <v>1020</v>
      </c>
      <c r="L6" s="1439" t="s">
        <v>1020</v>
      </c>
      <c r="M6" s="1439" t="s">
        <v>1020</v>
      </c>
      <c r="N6" s="1439" t="s">
        <v>1020</v>
      </c>
      <c r="O6" s="1439" t="s">
        <v>1020</v>
      </c>
      <c r="P6" s="1439" t="s">
        <v>1020</v>
      </c>
      <c r="Q6" s="1439" t="s">
        <v>1020</v>
      </c>
      <c r="R6" s="1439" t="s">
        <v>446</v>
      </c>
      <c r="S6" s="1439" t="s">
        <v>1020</v>
      </c>
      <c r="T6" s="1439"/>
      <c r="U6" s="1439" t="s">
        <v>1020</v>
      </c>
      <c r="W6" s="1439" t="s">
        <v>1020</v>
      </c>
    </row>
    <row r="7" spans="1:23">
      <c r="A7" s="1437" t="s">
        <v>1021</v>
      </c>
      <c r="B7" s="1440" t="s">
        <v>450</v>
      </c>
      <c r="C7" s="1438" t="s">
        <v>25</v>
      </c>
      <c r="F7" s="1439" t="s">
        <v>1022</v>
      </c>
      <c r="H7" s="1439" t="s">
        <v>1023</v>
      </c>
      <c r="I7" s="1439" t="s">
        <v>3339</v>
      </c>
    </row>
    <row r="8" spans="1:23">
      <c r="A8" s="1437" t="s">
        <v>1024</v>
      </c>
      <c r="B8" s="1437" t="s">
        <v>1025</v>
      </c>
      <c r="C8" s="1438" t="s">
        <v>319</v>
      </c>
      <c r="F8" s="1439" t="s">
        <v>1026</v>
      </c>
      <c r="H8" s="1439" t="s">
        <v>2575</v>
      </c>
      <c r="I8" s="1439" t="s">
        <v>3340</v>
      </c>
    </row>
    <row r="9" spans="1:23">
      <c r="A9" s="1437" t="s">
        <v>1027</v>
      </c>
      <c r="B9" s="1437" t="s">
        <v>1028</v>
      </c>
      <c r="C9" s="1438" t="s">
        <v>320</v>
      </c>
      <c r="F9" s="1439" t="s">
        <v>1029</v>
      </c>
      <c r="H9" s="1439"/>
      <c r="I9" s="1441" t="s">
        <v>3341</v>
      </c>
    </row>
    <row r="10" spans="1:23">
      <c r="A10" s="1437" t="s">
        <v>1030</v>
      </c>
      <c r="B10" s="1437" t="s">
        <v>1031</v>
      </c>
      <c r="C10" s="1438" t="s">
        <v>321</v>
      </c>
      <c r="F10" s="1439" t="s">
        <v>2576</v>
      </c>
      <c r="I10" s="1441" t="s">
        <v>3342</v>
      </c>
    </row>
    <row r="11" spans="1:23">
      <c r="A11" s="1437" t="s">
        <v>1032</v>
      </c>
      <c r="B11" s="1437" t="s">
        <v>1033</v>
      </c>
      <c r="C11" s="1438" t="s">
        <v>322</v>
      </c>
      <c r="F11" s="1439" t="s">
        <v>13</v>
      </c>
      <c r="I11" s="1441" t="s">
        <v>3343</v>
      </c>
    </row>
    <row r="12" spans="1:23">
      <c r="A12" s="1437" t="s">
        <v>1034</v>
      </c>
      <c r="B12" s="1437" t="s">
        <v>1035</v>
      </c>
      <c r="C12" s="1438" t="s">
        <v>323</v>
      </c>
      <c r="I12" s="1441" t="s">
        <v>3344</v>
      </c>
    </row>
    <row r="13" spans="1:23">
      <c r="A13" s="1437" t="s">
        <v>1036</v>
      </c>
      <c r="B13" s="1437" t="s">
        <v>1037</v>
      </c>
      <c r="C13" s="1438" t="s">
        <v>324</v>
      </c>
      <c r="I13" s="1441" t="s">
        <v>3345</v>
      </c>
    </row>
    <row r="14" spans="1:23">
      <c r="A14" s="1437" t="s">
        <v>1038</v>
      </c>
      <c r="B14" s="1437" t="s">
        <v>1039</v>
      </c>
      <c r="C14" s="1439" t="s">
        <v>13</v>
      </c>
      <c r="I14" s="1441" t="s">
        <v>3346</v>
      </c>
    </row>
    <row r="15" spans="1:23">
      <c r="A15" s="1437" t="s">
        <v>1040</v>
      </c>
      <c r="B15" s="1437" t="s">
        <v>1041</v>
      </c>
      <c r="C15" s="1438"/>
      <c r="I15" s="1441" t="s">
        <v>3347</v>
      </c>
    </row>
    <row r="16" spans="1:23">
      <c r="A16" s="1437" t="s">
        <v>1042</v>
      </c>
      <c r="B16" s="1437" t="s">
        <v>312</v>
      </c>
      <c r="C16" s="1438"/>
    </row>
    <row r="17" spans="1:3">
      <c r="A17" s="1437" t="s">
        <v>1043</v>
      </c>
      <c r="B17" s="1437" t="s">
        <v>2287</v>
      </c>
      <c r="C17" s="1438"/>
    </row>
    <row r="18" spans="1:3">
      <c r="A18" s="1437" t="s">
        <v>1044</v>
      </c>
      <c r="B18" s="1437" t="s">
        <v>2431</v>
      </c>
      <c r="C18" s="1438"/>
    </row>
    <row r="19" spans="1:3">
      <c r="A19" s="1437" t="s">
        <v>1045</v>
      </c>
      <c r="B19" s="1437" t="s">
        <v>3429</v>
      </c>
      <c r="C19" s="1438"/>
    </row>
    <row r="20" spans="1:3">
      <c r="A20" s="1437" t="s">
        <v>1046</v>
      </c>
      <c r="B20" s="1437" t="s">
        <v>3436</v>
      </c>
      <c r="C20" s="1438"/>
    </row>
    <row r="21" spans="1:3">
      <c r="A21" s="1437" t="s">
        <v>1047</v>
      </c>
      <c r="B21" s="1437" t="s">
        <v>3438</v>
      </c>
      <c r="C21" s="1438"/>
    </row>
    <row r="22" spans="1:3">
      <c r="A22" s="1437" t="s">
        <v>1048</v>
      </c>
      <c r="B22" s="1437" t="s">
        <v>3439</v>
      </c>
      <c r="C22" s="1438"/>
    </row>
    <row r="23" spans="1:3">
      <c r="A23" s="1437" t="s">
        <v>1049</v>
      </c>
      <c r="B23" s="1437"/>
      <c r="C23" s="1438"/>
    </row>
    <row r="24" spans="1:3">
      <c r="A24" s="1437" t="s">
        <v>1050</v>
      </c>
      <c r="B24" s="1437" t="s">
        <v>313</v>
      </c>
      <c r="C24" s="1438"/>
    </row>
    <row r="25" spans="1:3">
      <c r="A25" s="1437" t="s">
        <v>1051</v>
      </c>
      <c r="B25" s="1437" t="s">
        <v>313</v>
      </c>
      <c r="C25" s="1438"/>
    </row>
    <row r="26" spans="1:3">
      <c r="A26" s="1437" t="s">
        <v>1052</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3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3" t="s">
        <v>385</v>
      </c>
      <c r="C54" s="1441" t="s">
        <v>583</v>
      </c>
    </row>
    <row r="55" spans="1:4">
      <c r="A55" s="3239"/>
      <c r="B55" s="1443" t="s">
        <v>386</v>
      </c>
      <c r="C55" s="1441" t="s">
        <v>584</v>
      </c>
    </row>
    <row r="56" spans="1:4">
      <c r="A56" s="3239"/>
      <c r="B56" s="1443" t="s">
        <v>387</v>
      </c>
      <c r="C56" s="1441" t="s">
        <v>588</v>
      </c>
    </row>
    <row r="57" spans="1:4">
      <c r="A57" s="323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35" sqref="B35"/>
    </sheetView>
  </sheetViews>
  <sheetFormatPr defaultColWidth="15.26953125" defaultRowHeight="14"/>
  <cols>
    <col min="1" max="7" width="15.26953125" style="2754"/>
    <col min="8" max="8" width="5.453125" style="2754" customWidth="1"/>
    <col min="9" max="13" width="9.453125" style="2795" customWidth="1"/>
    <col min="14" max="18" width="9.453125" style="2754" customWidth="1"/>
    <col min="19" max="16384" width="15.26953125" style="2754"/>
  </cols>
  <sheetData>
    <row r="1" spans="1:18">
      <c r="A1" s="2751" t="s">
        <v>2498</v>
      </c>
      <c r="B1" s="2752"/>
      <c r="C1" s="2752"/>
      <c r="D1" s="2752"/>
      <c r="E1" s="2752"/>
      <c r="F1" s="2753"/>
      <c r="I1" s="3129" t="s">
        <v>2591</v>
      </c>
      <c r="J1" s="2778"/>
      <c r="K1" s="2778"/>
      <c r="L1" s="2778"/>
      <c r="M1" s="2778"/>
      <c r="N1" s="2963"/>
      <c r="O1" s="2963"/>
      <c r="P1" s="2963"/>
      <c r="Q1" s="2963"/>
      <c r="R1" s="2963"/>
    </row>
    <row r="2" spans="1:18">
      <c r="A2" s="2755"/>
      <c r="B2" s="2756"/>
      <c r="C2" s="2756"/>
      <c r="D2" s="2756"/>
      <c r="E2" s="2756"/>
      <c r="F2" s="2757"/>
      <c r="I2" s="3240" t="s">
        <v>2578</v>
      </c>
      <c r="J2" s="3240"/>
      <c r="K2" s="3240"/>
      <c r="L2" s="3240"/>
      <c r="M2" s="3240"/>
      <c r="N2" s="3240"/>
      <c r="O2" s="3240"/>
      <c r="P2" s="3240"/>
      <c r="Q2" s="3240"/>
      <c r="R2" s="3240"/>
    </row>
    <row r="3" spans="1:18">
      <c r="A3" s="2758" t="s">
        <v>2499</v>
      </c>
      <c r="B3" s="2759">
        <f>项目基本情况!D3</f>
        <v>45478</v>
      </c>
      <c r="C3" s="2761"/>
      <c r="D3" s="2761"/>
      <c r="E3" s="2761"/>
      <c r="F3" s="2757"/>
      <c r="I3" s="2773"/>
      <c r="J3" s="2773" t="s">
        <v>2582</v>
      </c>
      <c r="K3" s="2773" t="s">
        <v>2583</v>
      </c>
      <c r="L3" s="2773" t="s">
        <v>2584</v>
      </c>
      <c r="M3" s="2773" t="s">
        <v>2585</v>
      </c>
      <c r="N3" s="3130" t="s">
        <v>2586</v>
      </c>
      <c r="O3" s="3130" t="s">
        <v>2587</v>
      </c>
      <c r="P3" s="3130" t="s">
        <v>2588</v>
      </c>
      <c r="Q3" s="3130" t="s">
        <v>2589</v>
      </c>
      <c r="R3" s="3130"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2.4500000000000002</v>
      </c>
      <c r="D5" s="2763">
        <f>IF(ISERROR(ROUND(POWER(1+E5,A5-C5)*(POWER(1+E5,C5)-1)/(POWER(1+E5,A5)-1),3)),0,ROUND(POWER(1+E5,A5-C5)*(POWER(1+E5,C5)-1)/(POWER(1+E5,A5)-1),4))</f>
        <v>0.1157</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12.46</v>
      </c>
      <c r="D6" s="2763">
        <f>IF(ISERROR(ROUND(POWER(1+E6,A6-C6)*(POWER(1+E6,C6)-1)/(POWER(1+E6,A6)-1),3)),0,ROUND(POWER(1+E6,A6-C6)*(POWER(1+E6,C6)-1)/(POWER(1+E6,A6)-1),4))</f>
        <v>0.44990000000000002</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32.47</v>
      </c>
      <c r="D7" s="2763">
        <f>IF(ISERROR(ROUND(POWER(1+E7,A7-C7)*(POWER(1+E7,C7)-1)/(POWER(1+E7,A7)-1),3)),0,ROUND(POWER(1+E7,A7-C7)*(POWER(1+E7,C7)-1)/(POWER(1+E7,A7)-1),4))</f>
        <v>0.76959999999999995</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5" thickBot="1">
      <c r="A18" s="2768" t="s">
        <v>2514</v>
      </c>
      <c r="B18" s="2769">
        <f>ROUND(B17*F11/F12,2)</f>
        <v>5541.87</v>
      </c>
      <c r="C18" s="2769">
        <f>ROUND(F11/F12,4)</f>
        <v>1.1521999999999999</v>
      </c>
      <c r="D18" s="2770"/>
      <c r="E18" s="2770"/>
      <c r="F18" s="2771"/>
    </row>
    <row r="19" spans="1:13" ht="14.5" thickBot="1"/>
    <row r="20" spans="1:13" s="2804" customFormat="1" ht="14.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M23" s="2795" t="s">
        <v>2566</v>
      </c>
    </row>
    <row r="24" spans="1:13">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M24" s="2795">
        <v>10</v>
      </c>
    </row>
    <row r="25" spans="1:13">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M25" s="2795">
        <v>8</v>
      </c>
    </row>
    <row r="26" spans="1:13">
      <c r="A26" s="2777"/>
      <c r="B26" s="2778"/>
      <c r="C26" s="2778"/>
      <c r="D26" s="2778"/>
      <c r="E26" s="2778"/>
      <c r="F26" s="2778"/>
      <c r="G26" s="2779"/>
      <c r="I26" s="2795">
        <v>30</v>
      </c>
      <c r="J26" s="2795">
        <v>90.5</v>
      </c>
      <c r="K26" s="2795">
        <f t="shared" si="2"/>
        <v>4.2000000000000028</v>
      </c>
      <c r="L26" s="2795" t="s">
        <v>2569</v>
      </c>
      <c r="M26" s="2795">
        <v>5</v>
      </c>
    </row>
    <row r="27" spans="1:13">
      <c r="A27" s="2777" t="s">
        <v>2528</v>
      </c>
      <c r="B27" s="2778"/>
      <c r="C27" s="2778"/>
      <c r="D27" s="2778"/>
      <c r="E27" s="2778"/>
      <c r="F27" s="2778"/>
      <c r="G27" s="2779"/>
      <c r="I27" s="2795">
        <v>35</v>
      </c>
      <c r="J27" s="2795">
        <v>93.8</v>
      </c>
      <c r="K27" s="2795">
        <f t="shared" si="2"/>
        <v>3.2999999999999972</v>
      </c>
      <c r="L27" s="2795" t="s">
        <v>2570</v>
      </c>
      <c r="M27" s="2795">
        <v>3</v>
      </c>
    </row>
    <row r="28" spans="1:13">
      <c r="A28" s="2777" t="s">
        <v>2529</v>
      </c>
      <c r="B28" s="2778"/>
      <c r="C28" s="2778"/>
      <c r="D28" s="2778"/>
      <c r="E28" s="2778"/>
      <c r="F28" s="2778"/>
      <c r="G28" s="2779"/>
      <c r="I28" s="2795">
        <v>40</v>
      </c>
      <c r="J28" s="2795">
        <v>96.4</v>
      </c>
      <c r="K28" s="2795">
        <f t="shared" si="2"/>
        <v>2.6000000000000085</v>
      </c>
      <c r="L28" s="2795" t="s">
        <v>2571</v>
      </c>
      <c r="M28" s="2795">
        <v>2</v>
      </c>
    </row>
    <row r="29" spans="1:13">
      <c r="A29" s="2777" t="s">
        <v>2530</v>
      </c>
      <c r="B29" s="2778"/>
      <c r="C29" s="2778"/>
      <c r="D29" s="2778"/>
      <c r="E29" s="2778"/>
      <c r="F29" s="2778"/>
      <c r="G29" s="2779"/>
      <c r="I29" s="2795">
        <v>45</v>
      </c>
      <c r="J29" s="2795">
        <v>98.4</v>
      </c>
      <c r="K29" s="2795">
        <f t="shared" si="2"/>
        <v>2</v>
      </c>
    </row>
    <row r="30" spans="1:13">
      <c r="A30" s="2777" t="s">
        <v>2531</v>
      </c>
      <c r="B30" s="2778"/>
      <c r="C30" s="2778"/>
      <c r="D30" s="2778"/>
      <c r="E30" s="2778"/>
      <c r="F30" s="2778"/>
      <c r="G30" s="2779"/>
      <c r="I30" s="2795">
        <v>50</v>
      </c>
      <c r="J30" s="2795">
        <v>100</v>
      </c>
      <c r="K30" s="2795">
        <f t="shared" si="2"/>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3">J36-J35</f>
        <v>9.2999999999999972</v>
      </c>
      <c r="L36" s="2795" t="s">
        <v>2565</v>
      </c>
      <c r="M36" s="2795" t="s">
        <v>2566</v>
      </c>
    </row>
    <row r="37" spans="1:13">
      <c r="A37" s="2777" t="s">
        <v>2538</v>
      </c>
      <c r="B37" s="2778"/>
      <c r="C37" s="2778"/>
      <c r="D37" s="2778"/>
      <c r="E37" s="2778"/>
      <c r="F37" s="2778"/>
      <c r="G37" s="2779"/>
      <c r="I37" s="2795">
        <v>20</v>
      </c>
      <c r="J37" s="2795">
        <v>83.6</v>
      </c>
      <c r="K37" s="2795">
        <f t="shared" si="3"/>
        <v>7.2999999999999972</v>
      </c>
      <c r="L37" s="2795" t="s">
        <v>2564</v>
      </c>
      <c r="M37" s="2795">
        <v>10</v>
      </c>
    </row>
    <row r="38" spans="1:13">
      <c r="A38" s="2777" t="s">
        <v>2539</v>
      </c>
      <c r="B38" s="2778"/>
      <c r="C38" s="2778"/>
      <c r="D38" s="2778"/>
      <c r="E38" s="2778"/>
      <c r="F38" s="2778"/>
      <c r="G38" s="2779"/>
      <c r="I38" s="2795">
        <v>25</v>
      </c>
      <c r="J38" s="2795">
        <v>89.3</v>
      </c>
      <c r="K38" s="2795">
        <f t="shared" si="3"/>
        <v>5.7000000000000028</v>
      </c>
      <c r="L38" s="2795" t="s">
        <v>2568</v>
      </c>
      <c r="M38" s="2795">
        <v>8</v>
      </c>
    </row>
    <row r="39" spans="1:13">
      <c r="A39" s="2777"/>
      <c r="B39" s="2778"/>
      <c r="C39" s="2778"/>
      <c r="D39" s="2778"/>
      <c r="E39" s="2778"/>
      <c r="F39" s="2778"/>
      <c r="G39" s="2779"/>
      <c r="I39" s="2795">
        <v>30</v>
      </c>
      <c r="J39" s="2795">
        <v>93.8</v>
      </c>
      <c r="K39" s="2795">
        <f t="shared" si="3"/>
        <v>4.5</v>
      </c>
      <c r="L39" s="2795" t="s">
        <v>2569</v>
      </c>
      <c r="M39" s="2795">
        <v>6</v>
      </c>
    </row>
    <row r="40" spans="1:13">
      <c r="A40" s="2780" t="s">
        <v>2540</v>
      </c>
      <c r="B40" s="2781"/>
      <c r="C40" s="2781"/>
      <c r="D40" s="2781"/>
      <c r="E40" s="2781"/>
      <c r="F40" s="2781"/>
      <c r="G40" s="2782"/>
      <c r="I40" s="2795">
        <v>35</v>
      </c>
      <c r="J40" s="2795">
        <v>97.2</v>
      </c>
      <c r="K40" s="2795">
        <f t="shared" si="3"/>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3"/>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J37" sqref="J37"/>
    </sheetView>
  </sheetViews>
  <sheetFormatPr defaultColWidth="9" defaultRowHeight="12.5"/>
  <cols>
    <col min="1" max="1" width="16.90625" style="1614" customWidth="1"/>
    <col min="2" max="2" width="10" style="1614" customWidth="1"/>
    <col min="3" max="3" width="11.453125" style="1614" customWidth="1"/>
    <col min="4" max="4" width="10" style="1614" customWidth="1"/>
    <col min="5" max="5" width="12.6328125" style="1614" customWidth="1"/>
    <col min="6" max="6" width="10" style="1614" customWidth="1"/>
    <col min="7" max="7" width="10.7265625" style="1614" customWidth="1"/>
    <col min="8" max="8" width="10" style="1614" customWidth="1"/>
    <col min="9" max="9" width="11.08984375" style="1464" customWidth="1"/>
    <col min="10" max="10" width="10" style="1612" customWidth="1"/>
    <col min="11" max="11" width="10" style="2409" customWidth="1"/>
    <col min="12" max="13" width="10" style="2410" customWidth="1"/>
    <col min="14" max="14" width="10" style="1612" customWidth="1"/>
    <col min="15" max="15" width="10" style="9" customWidth="1"/>
    <col min="16" max="17" width="10" style="1612"/>
    <col min="18" max="18" width="10" style="1612" customWidth="1"/>
    <col min="19" max="30" width="9" style="1612"/>
    <col min="31" max="16384" width="9" style="1614"/>
  </cols>
  <sheetData>
    <row r="1" spans="1:30" ht="13.5" thickBot="1">
      <c r="A1" s="2177" t="s">
        <v>2166</v>
      </c>
      <c r="B1" s="3241" t="str">
        <f>IF(B10="北京市","北京市",C10)&amp;F10&amp;IF(结果表!G1="在建","出让国有建设用地使用权及在建建筑物",IF(结果表!G1="土地","出让国有建设用地使用权",))&amp;B9&amp;"预评估"</f>
        <v>房地产抵押价值预评估</v>
      </c>
      <c r="C1" s="3242"/>
      <c r="D1" s="3242"/>
      <c r="E1" s="3242"/>
      <c r="F1" s="3242"/>
      <c r="G1" s="3242"/>
      <c r="H1" s="3242"/>
      <c r="I1" s="3243"/>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房地产抵押价值</v>
      </c>
      <c r="T1" s="1614"/>
      <c r="U1" s="1614"/>
      <c r="V1" s="1614"/>
      <c r="W1" s="1614"/>
      <c r="X1" s="1614"/>
      <c r="Y1" s="1614"/>
      <c r="Z1" s="1614"/>
      <c r="AA1" s="1614"/>
      <c r="AB1" s="1614"/>
    </row>
    <row r="2" spans="1:30" ht="13">
      <c r="A2" s="2178" t="s">
        <v>2167</v>
      </c>
      <c r="B2" s="122"/>
      <c r="D2" s="2443"/>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房地产</v>
      </c>
      <c r="T2" s="1614"/>
      <c r="U2" s="1614"/>
      <c r="V2" s="1614"/>
      <c r="W2" s="1614"/>
      <c r="X2" s="1614"/>
      <c r="Y2" s="1614"/>
      <c r="Z2" s="1614"/>
      <c r="AA2" s="1614"/>
      <c r="AB2" s="1614"/>
    </row>
    <row r="3" spans="1:30" ht="13">
      <c r="A3" s="294" t="s">
        <v>2168</v>
      </c>
      <c r="B3" s="2181">
        <v>45478</v>
      </c>
      <c r="C3" s="2182" t="s">
        <v>2169</v>
      </c>
      <c r="D3" s="2181">
        <f>B3</f>
        <v>45478</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5" thickBot="1">
      <c r="A4" s="1023" t="s">
        <v>2170</v>
      </c>
      <c r="B4" s="2183" t="s">
        <v>3377</v>
      </c>
      <c r="C4" s="2184">
        <f ca="1">SUMIF(注册房地产估价师,B4,估价师及机构信息!B3:B24)</f>
        <v>1120070131</v>
      </c>
      <c r="D4" s="2183" t="s">
        <v>3460</v>
      </c>
      <c r="E4" s="2184">
        <f ca="1">SUMIF(注册房地产估价师,D4,估价师及机构信息!B3:B24)</f>
        <v>1120100036</v>
      </c>
      <c r="F4" s="2183"/>
      <c r="G4" s="2184">
        <f>SUMIF(注册房地产估价师,F4,估价师及机构信息!B3:B24)</f>
        <v>0</v>
      </c>
      <c r="H4" s="2183"/>
      <c r="I4" s="2184">
        <f>SUMIF(注册房地产估价师,H4,估价师及机构信息!B3:B24)</f>
        <v>0</v>
      </c>
      <c r="J4" s="2241"/>
      <c r="K4" s="2185" t="str">
        <f ca="1">CONCATENATE(B4,"（注册号：",C4,")、",D4,"（注册号：",E4,")")</f>
        <v>郑燚（注册号：1120070131)、崔锴（注册号：1120100036)</v>
      </c>
      <c r="L4" s="2180"/>
      <c r="M4" s="2180"/>
      <c r="N4" s="2178"/>
      <c r="O4" s="1462"/>
      <c r="P4" s="2178"/>
      <c r="Q4" s="2178"/>
      <c r="R4" s="2178"/>
      <c r="S4" s="1557"/>
      <c r="T4" s="1614"/>
      <c r="U4" s="1614"/>
      <c r="V4" s="1614"/>
      <c r="W4" s="1614"/>
      <c r="X4" s="1614"/>
      <c r="Y4" s="1614"/>
      <c r="Z4" s="1614"/>
      <c r="AA4" s="1614"/>
      <c r="AB4" s="1614"/>
    </row>
    <row r="5" spans="1:30" ht="13.5" thickTop="1">
      <c r="A5" s="2186" t="s">
        <v>2171</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ht="13">
      <c r="A6" s="2190" t="s">
        <v>2172</v>
      </c>
      <c r="B6" s="2191"/>
      <c r="C6" s="2192"/>
      <c r="D6" s="2193"/>
      <c r="E6" s="2436"/>
      <c r="F6" s="2437"/>
      <c r="G6" s="2437"/>
      <c r="H6" s="2437"/>
      <c r="I6" s="2437"/>
      <c r="J6" s="2241"/>
      <c r="K6" s="2397" t="str">
        <f>IF(COUNTIF(B6,"*上海银行*"),"上海银行","")</f>
        <v/>
      </c>
      <c r="L6" s="2395"/>
      <c r="M6" s="2395"/>
      <c r="N6" s="2241"/>
      <c r="O6" s="1666"/>
      <c r="P6" s="2241"/>
      <c r="Q6" s="2241"/>
      <c r="R6" s="2241"/>
    </row>
    <row r="7" spans="1:30" ht="13">
      <c r="A7" s="2190" t="s">
        <v>2173</v>
      </c>
      <c r="B7" s="2194"/>
      <c r="C7" s="2192"/>
      <c r="D7" s="2193"/>
      <c r="E7" s="2436"/>
      <c r="F7" s="2437"/>
      <c r="G7" s="2437"/>
      <c r="H7" s="2437"/>
      <c r="I7" s="2437"/>
      <c r="J7" s="2241"/>
      <c r="K7" s="2398"/>
      <c r="L7" s="2395"/>
      <c r="M7" s="2395"/>
      <c r="N7" s="2241"/>
      <c r="O7" s="1666"/>
      <c r="P7" s="2241"/>
      <c r="Q7" s="2241"/>
      <c r="R7" s="2241"/>
    </row>
    <row r="8" spans="1:30" ht="13">
      <c r="A8" s="2195" t="s">
        <v>2174</v>
      </c>
      <c r="B8" s="2196" t="s">
        <v>3378</v>
      </c>
      <c r="C8" s="2197"/>
      <c r="D8" s="3244" t="s">
        <v>2175</v>
      </c>
      <c r="E8" s="2198" t="s">
        <v>3380</v>
      </c>
      <c r="F8" s="2199"/>
      <c r="G8" s="2437"/>
      <c r="H8" s="2437"/>
      <c r="I8" s="2437"/>
      <c r="J8" s="2241"/>
      <c r="K8" s="2396"/>
      <c r="L8" s="2395"/>
      <c r="M8" s="2395"/>
      <c r="N8" s="2241"/>
      <c r="O8" s="1666"/>
      <c r="P8" s="2241"/>
      <c r="Q8" s="2241"/>
      <c r="R8" s="2241"/>
    </row>
    <row r="9" spans="1:30" ht="13.5" thickBot="1">
      <c r="A9" s="2200" t="s">
        <v>2176</v>
      </c>
      <c r="B9" s="2201" t="s">
        <v>3379</v>
      </c>
      <c r="C9" s="2202"/>
      <c r="D9" s="3245"/>
      <c r="E9" s="2201"/>
      <c r="F9" s="2203"/>
      <c r="G9" s="2438"/>
      <c r="H9" s="2438"/>
      <c r="I9" s="2438"/>
      <c r="J9" s="2241"/>
      <c r="K9" s="2398"/>
      <c r="L9" s="2395"/>
      <c r="M9" s="2395"/>
      <c r="N9" s="2241"/>
      <c r="O9" s="1666"/>
      <c r="P9" s="2241"/>
      <c r="Q9" s="2241"/>
      <c r="R9" s="2241"/>
    </row>
    <row r="10" spans="1:30" ht="13.5" thickTop="1">
      <c r="A10" s="2204" t="s">
        <v>2177</v>
      </c>
      <c r="B10" s="2205"/>
      <c r="C10" s="2206"/>
      <c r="D10" s="2189"/>
      <c r="E10" s="2207" t="s">
        <v>2178</v>
      </c>
      <c r="F10" s="2439"/>
      <c r="G10" s="2440"/>
      <c r="H10" s="2441"/>
      <c r="I10" s="2442"/>
      <c r="J10" s="2241"/>
      <c r="K10" s="2398"/>
      <c r="L10" s="2395"/>
      <c r="M10" s="2395"/>
      <c r="N10" s="2241"/>
      <c r="O10" s="1666"/>
      <c r="P10" s="2241"/>
      <c r="Q10" s="2241"/>
      <c r="R10" s="2241"/>
    </row>
    <row r="11" spans="1:30" ht="13">
      <c r="A11" s="2208" t="s">
        <v>2179</v>
      </c>
      <c r="B11" s="2209"/>
      <c r="C11" s="2210"/>
      <c r="D11" s="2211"/>
      <c r="E11" s="2178"/>
      <c r="F11" s="2178"/>
      <c r="G11" s="2178"/>
      <c r="H11" s="2178"/>
      <c r="I11" s="2178"/>
      <c r="J11" s="2797"/>
      <c r="K11" s="2395"/>
      <c r="L11" s="2395"/>
      <c r="M11" s="2395"/>
      <c r="N11" s="2241"/>
      <c r="O11" s="1666"/>
      <c r="P11" s="2241"/>
      <c r="Q11" s="2241"/>
      <c r="R11" s="2241"/>
    </row>
    <row r="12" spans="1:30" ht="13">
      <c r="A12" s="2212" t="s">
        <v>2180</v>
      </c>
      <c r="B12" s="315" t="s">
        <v>2181</v>
      </c>
      <c r="C12" s="2213" t="s">
        <v>2182</v>
      </c>
      <c r="D12" s="2213" t="s">
        <v>2183</v>
      </c>
      <c r="E12" s="2213" t="s">
        <v>2184</v>
      </c>
      <c r="F12" s="2213" t="s">
        <v>2185</v>
      </c>
      <c r="G12" s="2213" t="s">
        <v>2186</v>
      </c>
      <c r="H12" s="2213" t="s">
        <v>2187</v>
      </c>
      <c r="I12" s="2796" t="s">
        <v>2574</v>
      </c>
      <c r="J12" s="2798"/>
      <c r="K12" s="2395"/>
      <c r="L12" s="2395"/>
      <c r="M12" s="2241"/>
      <c r="N12" s="1666"/>
      <c r="O12" s="2241"/>
      <c r="P12" s="2241"/>
      <c r="Q12" s="2241"/>
      <c r="AD12" s="1614"/>
    </row>
    <row r="13" spans="1:30" ht="13">
      <c r="A13" s="3117" t="s">
        <v>3330</v>
      </c>
      <c r="B13" s="2214" t="s">
        <v>2188</v>
      </c>
      <c r="C13" s="799"/>
      <c r="D13" s="3180">
        <v>51810</v>
      </c>
      <c r="E13" s="3180">
        <v>55462</v>
      </c>
      <c r="F13" s="3180">
        <v>55462</v>
      </c>
      <c r="G13" s="799"/>
      <c r="H13" s="799"/>
      <c r="I13" s="799"/>
      <c r="J13" s="2798"/>
      <c r="K13" s="2395"/>
      <c r="L13" s="2395"/>
      <c r="M13" s="2241"/>
      <c r="N13" s="1666"/>
      <c r="O13" s="2241"/>
      <c r="P13" s="2241"/>
      <c r="Q13" s="2241"/>
      <c r="AD13" s="1614"/>
    </row>
    <row r="14" spans="1:30" ht="13">
      <c r="A14" s="1014"/>
      <c r="B14" s="2214" t="s">
        <v>2189</v>
      </c>
      <c r="C14" s="2215"/>
      <c r="D14" s="2215">
        <v>40</v>
      </c>
      <c r="E14" s="2215">
        <v>50</v>
      </c>
      <c r="F14" s="2215">
        <v>50</v>
      </c>
      <c r="G14" s="2215"/>
      <c r="H14" s="2215"/>
      <c r="I14" s="2215"/>
      <c r="J14" s="2799"/>
      <c r="K14" s="2395"/>
      <c r="L14" s="2395"/>
      <c r="M14" s="2241"/>
      <c r="N14" s="1666"/>
      <c r="O14" s="2241"/>
      <c r="P14" s="2241"/>
      <c r="Q14" s="2241"/>
      <c r="AD14" s="1614"/>
    </row>
    <row r="15" spans="1:30" ht="13">
      <c r="A15" s="312"/>
      <c r="B15" s="2216" t="s">
        <v>2190</v>
      </c>
      <c r="C15" s="2217" t="str">
        <f>IF(A13="出让",IF(C13="","",ROUNDDOWN(MIN((C13-$D$3)/365,C14),2)),C14)</f>
        <v/>
      </c>
      <c r="D15" s="2217">
        <f>IF(A13="出让",IF(D13="","",ROUNDDOWN(MIN((D13-$D$3)/365,D14),2)),D14)</f>
        <v>17.34</v>
      </c>
      <c r="E15" s="2217">
        <f>IF(A13="出让",IF(E13="","",ROUNDDOWN(MIN((E13-$D$3)/365,E14),2)),E14)</f>
        <v>27.35</v>
      </c>
      <c r="F15" s="2217">
        <f>IF(A13="出让",IF(F13="","",ROUNDDOWN(MIN((F13-$D$3)/365,F14),2)),F14)</f>
        <v>27.35</v>
      </c>
      <c r="G15" s="2217" t="str">
        <f>IF(A13="出让",IF(G13="","",ROUNDDOWN(MIN((G13-$D$3)/365,G14),2)),G14)</f>
        <v/>
      </c>
      <c r="H15" s="2217" t="str">
        <f>IF(A13="出让",IF(H13="","",ROUNDDOWN(MIN((H13-$D$3)/365,H14),2)),H14)</f>
        <v/>
      </c>
      <c r="I15" s="2217" t="str">
        <f>IF(A13="出让",IF(I13="","",ROUNDDOWN(MIN((I13-$D$3)/365,I14),2)),I14)</f>
        <v/>
      </c>
      <c r="J15" s="2800"/>
      <c r="K15" s="1666"/>
      <c r="L15" s="1666"/>
      <c r="M15" s="2241"/>
      <c r="N15" s="1666"/>
      <c r="O15" s="2241"/>
      <c r="P15" s="2241"/>
      <c r="Q15" s="2241"/>
      <c r="AD15" s="1614"/>
    </row>
    <row r="16" spans="1:30" ht="13">
      <c r="A16" s="2207" t="s">
        <v>2191</v>
      </c>
      <c r="B16" s="3251"/>
      <c r="C16" s="3252"/>
      <c r="D16" s="3253"/>
      <c r="E16" s="2218" t="s">
        <v>2192</v>
      </c>
      <c r="F16" s="3254"/>
      <c r="G16" s="3255"/>
      <c r="H16" s="3255"/>
      <c r="I16" s="3256"/>
      <c r="J16" s="2241"/>
      <c r="K16" s="2399"/>
      <c r="L16" s="1666"/>
      <c r="M16" s="1666"/>
      <c r="N16" s="2241"/>
      <c r="O16" s="1666"/>
      <c r="P16" s="2241"/>
      <c r="Q16" s="2241"/>
      <c r="R16" s="2241"/>
    </row>
    <row r="17" spans="1:28" ht="13">
      <c r="A17" s="305" t="s">
        <v>2193</v>
      </c>
      <c r="B17" s="294" t="s">
        <v>2194</v>
      </c>
      <c r="C17" s="8">
        <f>'数据-汇总表'!E3</f>
        <v>26917.520000000128</v>
      </c>
      <c r="D17" s="1252" t="s">
        <v>2195</v>
      </c>
      <c r="E17" s="3257" t="s">
        <v>2196</v>
      </c>
      <c r="F17" s="3258"/>
      <c r="G17" s="3258"/>
      <c r="H17" s="3258"/>
      <c r="I17" s="3259"/>
      <c r="J17" s="2241"/>
      <c r="K17" s="2400"/>
      <c r="L17" s="1666"/>
      <c r="M17" s="1666"/>
      <c r="N17" s="2241"/>
      <c r="O17" s="1666"/>
      <c r="P17" s="2241"/>
      <c r="Q17" s="2241"/>
      <c r="R17" s="2241"/>
      <c r="S17" s="2241"/>
      <c r="T17" s="2241"/>
      <c r="U17" s="2241"/>
      <c r="V17" s="2241"/>
    </row>
    <row r="18" spans="1:28" ht="26.5" thickBot="1">
      <c r="A18" s="2219" t="s">
        <v>2197</v>
      </c>
      <c r="B18" s="1023" t="s">
        <v>2198</v>
      </c>
      <c r="C18" s="2220">
        <f>'数据-汇总表'!D3</f>
        <v>0</v>
      </c>
      <c r="D18" s="1025" t="s">
        <v>2199</v>
      </c>
      <c r="E18" s="3260" t="s">
        <v>2200</v>
      </c>
      <c r="F18" s="3261"/>
      <c r="G18" s="3261"/>
      <c r="H18" s="3261"/>
      <c r="I18" s="3262"/>
      <c r="J18" s="2241"/>
      <c r="K18" s="2400"/>
      <c r="L18" s="1666"/>
      <c r="M18" s="1666"/>
      <c r="N18" s="2241"/>
      <c r="O18" s="1666"/>
      <c r="P18" s="2241"/>
      <c r="Q18" s="2241"/>
      <c r="R18" s="2241"/>
      <c r="S18" s="2241"/>
      <c r="T18" s="2241"/>
      <c r="U18" s="2241"/>
      <c r="V18" s="2241"/>
    </row>
    <row r="19" spans="1:28" ht="40" thickTop="1" thickBot="1">
      <c r="A19" s="319" t="s">
        <v>1053</v>
      </c>
      <c r="B19" s="299" t="s">
        <v>2201</v>
      </c>
      <c r="C19" s="1451" t="s">
        <v>3381</v>
      </c>
      <c r="D19" s="1452" t="s">
        <v>2202</v>
      </c>
      <c r="E19" s="1453"/>
      <c r="F19" s="1454" t="str">
        <f>IF(AND(C19="是",E19="否"),"是否提供他项权证或相关说明","")</f>
        <v/>
      </c>
      <c r="G19" s="1455"/>
      <c r="H19" s="2437"/>
      <c r="I19" s="2437"/>
      <c r="J19" s="2241"/>
      <c r="K19" s="2398"/>
      <c r="L19" s="2395"/>
      <c r="M19" s="2395"/>
      <c r="N19" s="2241"/>
      <c r="O19" s="1666"/>
      <c r="P19" s="2241"/>
      <c r="Q19" s="2241"/>
      <c r="R19" s="2241"/>
      <c r="S19" s="2241"/>
      <c r="T19" s="2241"/>
      <c r="U19" s="2241"/>
      <c r="V19" s="2241"/>
    </row>
    <row r="20" spans="1:28" ht="13">
      <c r="A20" s="2413" t="s">
        <v>2203</v>
      </c>
      <c r="B20" s="3247" t="s">
        <v>2204</v>
      </c>
      <c r="C20" s="3248"/>
      <c r="D20" s="3249" t="s">
        <v>2205</v>
      </c>
      <c r="E20" s="3250"/>
      <c r="F20" s="2426" t="s">
        <v>1054</v>
      </c>
      <c r="G20" s="2437"/>
      <c r="H20" s="2437"/>
      <c r="I20" s="2437"/>
      <c r="J20" s="2241"/>
      <c r="K20" s="324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2"/>
      <c r="P20" s="2178"/>
      <c r="Q20" s="2178"/>
      <c r="R20" s="2178"/>
      <c r="S20" s="2178"/>
      <c r="T20" s="2178"/>
      <c r="U20" s="2178"/>
      <c r="V20" s="2178"/>
      <c r="W20" s="1614"/>
      <c r="X20" s="1614"/>
      <c r="Y20" s="1614"/>
      <c r="Z20" s="1614"/>
      <c r="AA20" s="1614"/>
      <c r="AB20" s="1614"/>
    </row>
    <row r="21" spans="1:28" ht="26.5" thickBot="1">
      <c r="A21" s="2413"/>
      <c r="B21" s="2414" t="s">
        <v>2207</v>
      </c>
      <c r="C21" s="2292" t="s">
        <v>1055</v>
      </c>
      <c r="D21" s="1456" t="s">
        <v>2208</v>
      </c>
      <c r="E21" s="2415" t="s">
        <v>1055</v>
      </c>
      <c r="F21" s="2427"/>
      <c r="G21" s="2437"/>
      <c r="H21" s="2437"/>
      <c r="I21" s="2437"/>
      <c r="J21" s="2241"/>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26.5" thickBot="1">
      <c r="A22" s="2413"/>
      <c r="B22" s="2416" t="s">
        <v>2209</v>
      </c>
      <c r="C22" s="2292" t="s">
        <v>1056</v>
      </c>
      <c r="D22" s="2437"/>
      <c r="E22" s="2437"/>
      <c r="F22" s="2437"/>
      <c r="G22" s="2437"/>
      <c r="H22" s="2437"/>
      <c r="I22" s="2437"/>
      <c r="J22" s="2241"/>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ht="13">
      <c r="A23" s="2417" t="s">
        <v>2210</v>
      </c>
      <c r="B23" s="2289" t="s">
        <v>2211</v>
      </c>
      <c r="C23" s="2418"/>
      <c r="D23" s="2419" t="s">
        <v>2211</v>
      </c>
      <c r="E23" s="2420"/>
      <c r="F23" s="2437"/>
      <c r="G23" s="2437"/>
      <c r="H23" s="2437"/>
      <c r="I23" s="2437"/>
      <c r="J23" s="2241"/>
      <c r="K23" s="2397"/>
      <c r="L23" s="121"/>
      <c r="M23" s="2395"/>
      <c r="N23" s="2241"/>
      <c r="O23" s="1666"/>
      <c r="P23" s="2241"/>
      <c r="Q23" s="2241"/>
      <c r="R23" s="2241"/>
      <c r="S23" s="2241"/>
      <c r="T23" s="2241"/>
      <c r="U23" s="2241"/>
      <c r="V23" s="2241"/>
    </row>
    <row r="24" spans="1:28" ht="13">
      <c r="A24" s="2417"/>
      <c r="B24" s="2289" t="s">
        <v>1057</v>
      </c>
      <c r="C24" s="2267"/>
      <c r="D24" s="2417" t="s">
        <v>1057</v>
      </c>
      <c r="E24" s="2421"/>
      <c r="F24" s="2437"/>
      <c r="G24" s="2437"/>
      <c r="H24" s="2437"/>
      <c r="I24" s="2437"/>
      <c r="J24" s="2241"/>
      <c r="K24" s="2397"/>
      <c r="L24" s="121"/>
      <c r="M24" s="2395"/>
      <c r="N24" s="2241"/>
      <c r="O24" s="1666"/>
      <c r="P24" s="2241"/>
      <c r="Q24" s="2241"/>
      <c r="R24" s="2241"/>
      <c r="S24" s="2241"/>
      <c r="T24" s="2241"/>
      <c r="U24" s="2241"/>
      <c r="V24" s="2241"/>
    </row>
    <row r="25" spans="1:28" ht="13">
      <c r="A25" s="2417"/>
      <c r="B25" s="2289" t="s">
        <v>1058</v>
      </c>
      <c r="C25" s="2267"/>
      <c r="D25" s="2417" t="s">
        <v>1058</v>
      </c>
      <c r="E25" s="2421"/>
      <c r="F25" s="2437"/>
      <c r="G25" s="2437"/>
      <c r="H25" s="2437"/>
      <c r="I25" s="2437"/>
      <c r="J25" s="2241"/>
      <c r="K25" s="2398"/>
      <c r="L25" s="2395"/>
      <c r="M25" s="2395"/>
      <c r="N25" s="2241"/>
      <c r="O25" s="1666"/>
      <c r="P25" s="2241"/>
      <c r="Q25" s="2241"/>
      <c r="R25" s="2241"/>
      <c r="S25" s="2241"/>
      <c r="T25" s="2241"/>
      <c r="U25" s="2241"/>
      <c r="V25" s="2241"/>
    </row>
    <row r="26" spans="1:28" ht="13.5" thickBot="1">
      <c r="A26" s="2422"/>
      <c r="B26" s="2423" t="s">
        <v>1059</v>
      </c>
      <c r="C26" s="2424"/>
      <c r="D26" s="2422" t="s">
        <v>1059</v>
      </c>
      <c r="E26" s="2425"/>
      <c r="F26" s="2438"/>
      <c r="G26" s="2438"/>
      <c r="H26" s="2438"/>
      <c r="I26" s="2438"/>
      <c r="J26" s="2241"/>
      <c r="K26" s="2398"/>
      <c r="L26" s="2395"/>
      <c r="M26" s="2395"/>
      <c r="N26" s="2241"/>
      <c r="O26" s="1666"/>
      <c r="P26" s="2241"/>
      <c r="Q26" s="2241"/>
      <c r="R26" s="2241"/>
      <c r="S26" s="2241"/>
      <c r="T26" s="2241"/>
      <c r="U26" s="2241"/>
      <c r="V26" s="2241"/>
    </row>
    <row r="27" spans="1:28" ht="13.5" thickTop="1">
      <c r="A27" s="3264" t="s">
        <v>2212</v>
      </c>
      <c r="B27" s="312" t="s">
        <v>2213</v>
      </c>
      <c r="C27" s="2221" t="s">
        <v>3389</v>
      </c>
      <c r="D27" s="2222"/>
      <c r="E27" s="2437"/>
      <c r="F27" s="2437"/>
      <c r="G27" s="2437"/>
      <c r="H27" s="2437"/>
      <c r="I27" s="2437"/>
      <c r="J27" s="2241"/>
      <c r="K27" s="2399"/>
      <c r="L27" s="1666"/>
      <c r="M27" s="1666"/>
      <c r="N27" s="2241"/>
      <c r="O27" s="1666"/>
      <c r="P27" s="2241"/>
      <c r="Q27" s="2241"/>
      <c r="R27" s="2241"/>
      <c r="S27" s="2241"/>
      <c r="T27" s="2241"/>
      <c r="U27" s="2241"/>
      <c r="V27" s="2241"/>
    </row>
    <row r="28" spans="1:28" ht="13">
      <c r="A28" s="3264"/>
      <c r="B28" s="294" t="s">
        <v>2214</v>
      </c>
      <c r="C28" s="2223"/>
      <c r="D28" s="2224"/>
      <c r="E28" s="2437"/>
      <c r="F28" s="2437"/>
      <c r="G28" s="2437"/>
      <c r="H28" s="2437"/>
      <c r="I28" s="2437"/>
      <c r="J28" s="2241"/>
      <c r="K28" s="2398"/>
      <c r="L28" s="2395"/>
      <c r="M28" s="2395"/>
      <c r="N28" s="2241"/>
      <c r="O28" s="1666"/>
      <c r="P28" s="2241"/>
      <c r="Q28" s="2241"/>
      <c r="R28" s="2241"/>
      <c r="S28" s="2241"/>
      <c r="T28" s="2241"/>
      <c r="U28" s="2241"/>
      <c r="V28" s="2241"/>
    </row>
    <row r="29" spans="1:28" ht="13">
      <c r="A29" s="3264"/>
      <c r="B29" s="294" t="s">
        <v>2215</v>
      </c>
      <c r="C29" s="2225"/>
      <c r="D29" s="2226"/>
      <c r="E29" s="2437"/>
      <c r="F29" s="2437"/>
      <c r="G29" s="2437"/>
      <c r="H29" s="2437"/>
      <c r="I29" s="2437"/>
      <c r="J29" s="2241"/>
      <c r="K29" s="2398"/>
      <c r="L29" s="2395"/>
      <c r="M29" s="2395"/>
      <c r="N29" s="2241"/>
      <c r="O29" s="1666"/>
      <c r="P29" s="2241"/>
      <c r="Q29" s="2241"/>
      <c r="R29" s="2241"/>
      <c r="S29" s="2241"/>
      <c r="T29" s="2241"/>
      <c r="U29" s="2241"/>
      <c r="V29" s="2241"/>
    </row>
    <row r="30" spans="1:28" ht="13">
      <c r="A30" s="3265"/>
      <c r="B30" s="294" t="s">
        <v>2216</v>
      </c>
      <c r="C30" s="3266"/>
      <c r="D30" s="3267"/>
      <c r="E30" s="2437"/>
      <c r="F30" s="2437"/>
      <c r="G30" s="2437"/>
      <c r="H30" s="2437"/>
      <c r="I30" s="2437"/>
      <c r="J30" s="2241"/>
      <c r="K30" s="2398"/>
      <c r="L30" s="2395"/>
      <c r="M30" s="2395"/>
      <c r="N30" s="2241"/>
      <c r="O30" s="1666"/>
      <c r="P30" s="2241"/>
      <c r="Q30" s="2241"/>
      <c r="R30" s="2241"/>
      <c r="S30" s="2241"/>
      <c r="T30" s="2241"/>
      <c r="U30" s="2241"/>
      <c r="V30" s="2241"/>
    </row>
    <row r="31" spans="1:28">
      <c r="A31" s="3268" t="s">
        <v>2217</v>
      </c>
      <c r="B31" s="2227" t="s">
        <v>3388</v>
      </c>
      <c r="C31" s="12" t="str">
        <f>IF(B31="现房","成新及维护状况正常否",IF(B31="在建","工程状态是否正常",IF(B31="土地","是否闲置","-")))</f>
        <v>成新及维护状况正常否</v>
      </c>
      <c r="D31" s="1277"/>
      <c r="E31" s="2228"/>
      <c r="F31" s="2437"/>
      <c r="G31" s="2437"/>
      <c r="H31" s="2437"/>
      <c r="I31" s="2437"/>
      <c r="J31" s="2241"/>
      <c r="K31" s="2397"/>
      <c r="L31" s="2395"/>
      <c r="M31" s="2395"/>
      <c r="N31" s="2241"/>
      <c r="O31" s="1666"/>
      <c r="P31" s="2241"/>
      <c r="Q31" s="2241"/>
      <c r="R31" s="2241"/>
      <c r="S31" s="2241"/>
      <c r="T31" s="2241"/>
      <c r="U31" s="2241"/>
      <c r="V31" s="2241"/>
    </row>
    <row r="32" spans="1:28">
      <c r="A32" s="3269"/>
      <c r="B32" s="2227"/>
      <c r="C32" s="12" t="str">
        <f>IF(B32="现房","成新及维护状况是否正常",IF(B32="在建","工程状态是否正常",IF(B32="土地","是否闲置","-")))</f>
        <v>-</v>
      </c>
      <c r="D32" s="1277"/>
      <c r="E32" s="2228"/>
      <c r="F32" s="2437"/>
      <c r="G32" s="2437"/>
      <c r="H32" s="2437"/>
      <c r="I32" s="2437"/>
      <c r="J32" s="2241"/>
      <c r="K32" s="2398"/>
      <c r="L32" s="2395"/>
      <c r="M32" s="2395"/>
      <c r="N32" s="2241"/>
      <c r="O32" s="1666"/>
      <c r="P32" s="2241"/>
      <c r="Q32" s="2241"/>
      <c r="R32" s="2241"/>
      <c r="S32" s="2241"/>
      <c r="T32" s="2241"/>
      <c r="U32" s="2241"/>
      <c r="V32" s="2241"/>
    </row>
    <row r="33" spans="1:30">
      <c r="A33" s="3269"/>
      <c r="B33" s="2230"/>
      <c r="C33" s="1474" t="str">
        <f>IF(B33="现房","成新及维护状况是否正常",IF(B33="在建","工程状态是否正常",IF(B33="土地","是否闲置","-")))</f>
        <v>-</v>
      </c>
      <c r="D33" s="1270"/>
      <c r="E33" s="2231"/>
      <c r="F33" s="2437"/>
      <c r="G33" s="2437"/>
      <c r="H33" s="2437"/>
      <c r="I33" s="2437"/>
      <c r="J33" s="2241"/>
      <c r="K33" s="2398"/>
      <c r="L33" s="2395"/>
      <c r="M33" s="2395"/>
      <c r="N33" s="2241"/>
      <c r="O33" s="1666"/>
      <c r="P33" s="2241"/>
      <c r="Q33" s="2241"/>
      <c r="R33" s="2241"/>
      <c r="S33" s="2241"/>
      <c r="T33" s="2241"/>
      <c r="U33" s="2241"/>
      <c r="V33" s="2241"/>
    </row>
    <row r="34" spans="1:30" ht="13">
      <c r="A34" s="294" t="s">
        <v>2218</v>
      </c>
      <c r="B34" s="1866" t="s">
        <v>3382</v>
      </c>
      <c r="C34" s="1866" t="s">
        <v>3383</v>
      </c>
      <c r="D34" s="1866" t="s">
        <v>3384</v>
      </c>
      <c r="E34" s="1866" t="s">
        <v>3385</v>
      </c>
      <c r="F34" s="1866" t="s">
        <v>3386</v>
      </c>
      <c r="G34" s="1866" t="s">
        <v>3387</v>
      </c>
      <c r="H34" s="1866"/>
      <c r="I34" s="2437"/>
      <c r="J34" s="2241"/>
      <c r="K34" s="8">
        <f>COUNTIF(B34:H34,"——")</f>
        <v>0</v>
      </c>
      <c r="L34" s="315" t="s">
        <v>2219</v>
      </c>
      <c r="M34" s="315" t="s">
        <v>2220</v>
      </c>
      <c r="N34" s="315" t="s">
        <v>2221</v>
      </c>
      <c r="O34" s="315" t="s">
        <v>2222</v>
      </c>
      <c r="P34" s="315" t="s">
        <v>2223</v>
      </c>
      <c r="Q34" s="315" t="s">
        <v>2224</v>
      </c>
      <c r="R34" s="315" t="s">
        <v>2225</v>
      </c>
      <c r="S34" s="3263" t="s">
        <v>2226</v>
      </c>
      <c r="T34" s="315" t="str">
        <f>NUMBERSTRING(7-K34,1)&amp;"通"</f>
        <v>七通</v>
      </c>
      <c r="U34" s="2241"/>
      <c r="V34" s="2241"/>
    </row>
    <row r="35" spans="1:30">
      <c r="A35" s="2232"/>
      <c r="B35" s="3263" t="s">
        <v>2227</v>
      </c>
      <c r="C35" s="3263"/>
      <c r="D35" s="3263"/>
      <c r="E35" s="3263"/>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v>
      </c>
      <c r="S35" s="3263"/>
      <c r="T35" s="138" t="str">
        <f>IF(T34="一通",L35,IF(T34="二通",M35,IF(T34="三通",N35,IF(T34="四通",O35,IF(T34="五通",P35,IF(T34="六通",Q35,R35))))))</f>
        <v>通路、通电、通讯、通上水、通下水、燃气、</v>
      </c>
      <c r="U35" s="2241"/>
      <c r="V35" s="2241"/>
    </row>
    <row r="36" spans="1:30" ht="13">
      <c r="A36" s="2179"/>
      <c r="B36" s="8" t="s">
        <v>2183</v>
      </c>
      <c r="C36" s="8" t="s">
        <v>2184</v>
      </c>
      <c r="D36" s="8" t="s">
        <v>2182</v>
      </c>
      <c r="E36" s="8" t="s">
        <v>2187</v>
      </c>
      <c r="F36" s="2796" t="s">
        <v>2577</v>
      </c>
      <c r="G36" s="2437"/>
      <c r="H36" s="2437"/>
      <c r="I36" s="2437"/>
      <c r="J36" s="2241"/>
      <c r="K36" s="2398"/>
      <c r="L36" s="2395"/>
      <c r="M36" s="2395"/>
      <c r="N36" s="2241"/>
      <c r="O36" s="1666"/>
      <c r="P36" s="2241"/>
      <c r="Q36" s="2241"/>
      <c r="R36" s="2241"/>
      <c r="S36" s="2241"/>
      <c r="T36" s="2241"/>
      <c r="U36" s="2241"/>
      <c r="V36" s="2241"/>
    </row>
    <row r="37" spans="1:30" ht="13">
      <c r="A37" s="2411" t="s">
        <v>2228</v>
      </c>
      <c r="B37" s="2233" t="s">
        <v>144</v>
      </c>
      <c r="C37" s="2233" t="s">
        <v>144</v>
      </c>
      <c r="D37" s="2233"/>
      <c r="E37" s="2233"/>
      <c r="F37" s="2233"/>
      <c r="G37" s="2437"/>
      <c r="H37" s="2437"/>
      <c r="I37" s="2437"/>
      <c r="J37" s="2241"/>
      <c r="K37" s="2398"/>
      <c r="L37" s="2395"/>
      <c r="M37" s="2395"/>
      <c r="N37" s="2241"/>
      <c r="O37" s="1666"/>
      <c r="P37" s="2241"/>
      <c r="Q37" s="2241"/>
      <c r="R37" s="2241"/>
      <c r="S37" s="2241"/>
      <c r="T37" s="2241"/>
      <c r="U37" s="2241"/>
      <c r="V37" s="2241"/>
    </row>
    <row r="38" spans="1:30" ht="13.5" thickBot="1">
      <c r="A38" s="2412" t="s">
        <v>2229</v>
      </c>
      <c r="B38" s="2234" t="s">
        <v>145</v>
      </c>
      <c r="C38" s="2234" t="s">
        <v>145</v>
      </c>
      <c r="D38" s="2234"/>
      <c r="E38" s="2234"/>
      <c r="F38" s="2234"/>
      <c r="G38" s="2438"/>
      <c r="H38" s="2438"/>
      <c r="I38" s="2438"/>
      <c r="J38" s="2241"/>
      <c r="K38" s="2398"/>
      <c r="L38" s="2395"/>
      <c r="M38" s="2395"/>
      <c r="N38" s="2241"/>
      <c r="O38" s="1666"/>
      <c r="P38" s="2241"/>
      <c r="Q38" s="2241"/>
      <c r="R38" s="2241"/>
      <c r="S38" s="2241"/>
      <c r="T38" s="2241"/>
      <c r="U38" s="2241"/>
      <c r="V38" s="2241"/>
    </row>
    <row r="39" spans="1:30" s="2237" customFormat="1" ht="14" thickTop="1" thickBot="1">
      <c r="A39" s="2235" t="s">
        <v>2230</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2"/>
      <c r="J40" s="2241"/>
      <c r="K40" s="2397"/>
      <c r="L40" s="1666"/>
      <c r="M40" s="1666"/>
      <c r="N40" s="2241"/>
      <c r="O40" s="1666"/>
      <c r="P40" s="2241"/>
      <c r="Q40" s="2241"/>
      <c r="R40" s="2241"/>
      <c r="S40" s="2241"/>
      <c r="T40" s="2241"/>
      <c r="U40" s="2241"/>
      <c r="V40" s="2241"/>
    </row>
    <row r="41" spans="1:30" ht="13">
      <c r="A41" s="2238" t="s">
        <v>2231</v>
      </c>
      <c r="B41" s="1623"/>
      <c r="C41" s="1277"/>
      <c r="D41" s="2178"/>
      <c r="E41" s="2178"/>
      <c r="F41" s="2178"/>
      <c r="G41" s="2178"/>
      <c r="H41" s="2178"/>
      <c r="I41" s="1462"/>
      <c r="J41" s="2241"/>
      <c r="K41" s="2398"/>
      <c r="L41" s="2395"/>
      <c r="M41" s="2395"/>
      <c r="N41" s="2241"/>
      <c r="O41" s="1666"/>
      <c r="P41" s="2241"/>
      <c r="Q41" s="2241"/>
      <c r="R41" s="2241"/>
      <c r="S41" s="2241"/>
      <c r="T41" s="2241"/>
      <c r="U41" s="2241"/>
      <c r="V41" s="2241"/>
    </row>
    <row r="42" spans="1:30" ht="26">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1"/>
      <c r="T42" s="2241"/>
      <c r="U42" s="2241"/>
      <c r="V42" s="2241"/>
    </row>
    <row r="43" spans="1:30" s="1612" customFormat="1">
      <c r="A43" s="1458"/>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2" customFormat="1">
      <c r="A44" s="1458"/>
      <c r="B44" s="1458"/>
      <c r="C44" s="628"/>
      <c r="D44" s="628"/>
      <c r="E44" s="628"/>
      <c r="F44" s="628"/>
      <c r="G44" s="628"/>
      <c r="H44" s="628"/>
      <c r="I44" s="628"/>
      <c r="J44" s="2239"/>
      <c r="K44" s="2240"/>
      <c r="L44" s="2240"/>
      <c r="M44" s="628"/>
      <c r="N44" s="628"/>
      <c r="O44" s="628"/>
      <c r="P44" s="628"/>
      <c r="Q44" s="628"/>
      <c r="R44" s="628"/>
      <c r="S44" s="2241"/>
      <c r="T44" s="2241"/>
      <c r="U44" s="2241"/>
      <c r="V44" s="2241"/>
    </row>
    <row r="45" spans="1:30" s="1612" customFormat="1">
      <c r="A45" s="1458"/>
      <c r="B45" s="1458"/>
      <c r="C45" s="628"/>
      <c r="D45" s="628"/>
      <c r="E45" s="628"/>
      <c r="F45" s="628"/>
      <c r="G45" s="628"/>
      <c r="H45" s="628"/>
      <c r="I45" s="628"/>
      <c r="J45" s="2239"/>
      <c r="K45" s="2240"/>
      <c r="L45" s="2240"/>
      <c r="M45" s="628"/>
      <c r="N45" s="628"/>
      <c r="O45" s="628"/>
      <c r="P45" s="628"/>
      <c r="Q45" s="628"/>
      <c r="R45" s="628"/>
      <c r="S45" s="2241"/>
      <c r="T45" s="2241"/>
      <c r="U45" s="2241"/>
      <c r="V45" s="2241"/>
    </row>
    <row r="46" spans="1:30" s="1612" customFormat="1">
      <c r="A46" s="1458"/>
      <c r="B46" s="1458"/>
      <c r="C46" s="628"/>
      <c r="D46" s="628"/>
      <c r="E46" s="628"/>
      <c r="F46" s="628"/>
      <c r="G46" s="628"/>
      <c r="H46" s="628"/>
      <c r="I46" s="628"/>
      <c r="J46" s="2239"/>
      <c r="K46" s="2240"/>
      <c r="L46" s="2240"/>
      <c r="M46" s="628"/>
      <c r="N46" s="628"/>
      <c r="O46" s="628"/>
      <c r="P46" s="628"/>
      <c r="Q46" s="628"/>
      <c r="R46" s="628"/>
      <c r="S46" s="2241"/>
      <c r="T46" s="2241"/>
      <c r="U46" s="2241"/>
      <c r="V46" s="2241"/>
    </row>
    <row r="47" spans="1:30" s="1612" customFormat="1">
      <c r="A47" s="1458"/>
      <c r="B47" s="1458"/>
      <c r="C47" s="628"/>
      <c r="D47" s="628"/>
      <c r="E47" s="628"/>
      <c r="F47" s="628"/>
      <c r="G47" s="628"/>
      <c r="H47" s="628"/>
      <c r="I47" s="628"/>
      <c r="J47" s="2239"/>
      <c r="K47" s="2240"/>
      <c r="L47" s="2240"/>
      <c r="M47" s="628"/>
      <c r="N47" s="628"/>
      <c r="O47" s="628"/>
      <c r="P47" s="628"/>
      <c r="Q47" s="628"/>
      <c r="R47" s="628"/>
      <c r="S47" s="2241"/>
      <c r="T47" s="2241"/>
      <c r="U47" s="2241"/>
      <c r="V47" s="2241"/>
    </row>
    <row r="48" spans="1:30" s="1612" customFormat="1">
      <c r="A48" s="1458"/>
      <c r="B48" s="1458"/>
      <c r="C48" s="628"/>
      <c r="D48" s="628"/>
      <c r="E48" s="628"/>
      <c r="F48" s="628"/>
      <c r="G48" s="628"/>
      <c r="H48" s="628"/>
      <c r="I48" s="628"/>
      <c r="J48" s="2239"/>
      <c r="K48" s="2240"/>
      <c r="L48" s="2240"/>
      <c r="M48" s="628"/>
      <c r="N48" s="628"/>
      <c r="O48" s="628"/>
      <c r="P48" s="628"/>
      <c r="Q48" s="628"/>
      <c r="R48" s="628"/>
      <c r="S48" s="2241"/>
      <c r="T48" s="2241"/>
      <c r="U48" s="2241"/>
      <c r="V48" s="2241"/>
    </row>
    <row r="49" spans="1:22" s="1612" customFormat="1">
      <c r="A49" s="1458"/>
      <c r="B49" s="1458"/>
      <c r="C49" s="628"/>
      <c r="D49" s="628"/>
      <c r="E49" s="628"/>
      <c r="F49" s="628"/>
      <c r="G49" s="628"/>
      <c r="H49" s="628"/>
      <c r="I49" s="628"/>
      <c r="J49" s="2239"/>
      <c r="K49" s="2240"/>
      <c r="L49" s="2240"/>
      <c r="M49" s="628"/>
      <c r="N49" s="628"/>
      <c r="O49" s="628"/>
      <c r="P49" s="628"/>
      <c r="Q49" s="628"/>
      <c r="R49" s="628"/>
      <c r="S49" s="2241"/>
      <c r="T49" s="2241"/>
      <c r="U49" s="2241"/>
      <c r="V49" s="2241"/>
    </row>
    <row r="50" spans="1:22" s="1612" customFormat="1">
      <c r="A50" s="1458"/>
      <c r="B50" s="1458"/>
      <c r="C50" s="628"/>
      <c r="D50" s="628"/>
      <c r="E50" s="628"/>
      <c r="F50" s="628"/>
      <c r="G50" s="628"/>
      <c r="H50" s="628"/>
      <c r="I50" s="628"/>
      <c r="J50" s="2239"/>
      <c r="K50" s="2240"/>
      <c r="L50" s="2240"/>
      <c r="M50" s="628"/>
      <c r="N50" s="628"/>
      <c r="O50" s="628"/>
      <c r="P50" s="628"/>
      <c r="Q50" s="628"/>
      <c r="R50" s="628"/>
      <c r="S50" s="2241"/>
      <c r="T50" s="2241"/>
      <c r="U50" s="2241"/>
      <c r="V50" s="2241"/>
    </row>
    <row r="51" spans="1:22" s="1612" customFormat="1">
      <c r="A51" s="1458"/>
      <c r="B51" s="1458"/>
      <c r="C51" s="628"/>
      <c r="D51" s="628"/>
      <c r="E51" s="628"/>
      <c r="F51" s="628"/>
      <c r="G51" s="628"/>
      <c r="H51" s="628"/>
      <c r="I51" s="628"/>
      <c r="J51" s="2239"/>
      <c r="K51" s="2240"/>
      <c r="L51" s="2240"/>
      <c r="M51" s="628"/>
      <c r="N51" s="628"/>
      <c r="O51" s="628"/>
      <c r="P51" s="628"/>
      <c r="Q51" s="628"/>
      <c r="R51" s="628"/>
    </row>
    <row r="52" spans="1:22" s="1612" customFormat="1">
      <c r="A52" s="1458"/>
      <c r="B52" s="1458"/>
      <c r="C52" s="1458"/>
      <c r="D52" s="1458"/>
      <c r="E52" s="1458"/>
      <c r="F52" s="628"/>
      <c r="G52" s="1458"/>
      <c r="H52" s="1458"/>
      <c r="I52" s="1458"/>
      <c r="J52" s="2242"/>
      <c r="K52" s="2240"/>
      <c r="L52" s="2240"/>
      <c r="M52" s="2240"/>
      <c r="N52" s="1458"/>
      <c r="O52" s="1458"/>
      <c r="P52" s="1458"/>
      <c r="Q52" s="1458"/>
      <c r="R52" s="1458"/>
    </row>
    <row r="53" spans="1:22" s="1612" customFormat="1">
      <c r="A53" s="1458"/>
      <c r="B53" s="1458"/>
      <c r="C53" s="1458"/>
      <c r="D53" s="1458"/>
      <c r="E53" s="1458"/>
      <c r="F53" s="628"/>
      <c r="G53" s="1458"/>
      <c r="H53" s="1458"/>
      <c r="I53" s="1458"/>
      <c r="J53" s="2242"/>
      <c r="K53" s="2240"/>
      <c r="L53" s="2240"/>
      <c r="M53" s="2240"/>
      <c r="N53" s="1458"/>
      <c r="O53" s="1458"/>
      <c r="P53" s="1458"/>
      <c r="Q53" s="1458"/>
      <c r="R53" s="1458"/>
    </row>
    <row r="54" spans="1:22" s="1612" customFormat="1">
      <c r="A54" s="1458"/>
      <c r="B54" s="1458"/>
      <c r="C54" s="1458"/>
      <c r="D54" s="1458"/>
      <c r="E54" s="1458"/>
      <c r="F54" s="628"/>
      <c r="G54" s="1458"/>
      <c r="H54" s="1458"/>
      <c r="I54" s="1458"/>
      <c r="J54" s="2242"/>
      <c r="K54" s="2240"/>
      <c r="L54" s="2240"/>
      <c r="M54" s="2240"/>
      <c r="N54" s="1458"/>
      <c r="O54" s="1458"/>
      <c r="P54" s="1458"/>
      <c r="Q54" s="1458"/>
      <c r="R54" s="1458"/>
    </row>
    <row r="55" spans="1:22" s="1612" customFormat="1">
      <c r="A55" s="1458"/>
      <c r="B55" s="1458"/>
      <c r="C55" s="1458"/>
      <c r="D55" s="1458"/>
      <c r="E55" s="1458"/>
      <c r="F55" s="628"/>
      <c r="G55" s="1458"/>
      <c r="H55" s="1458"/>
      <c r="I55" s="1458"/>
      <c r="J55" s="2242"/>
      <c r="K55" s="2240"/>
      <c r="L55" s="2240"/>
      <c r="M55" s="2240"/>
      <c r="N55" s="1458"/>
      <c r="O55" s="1458"/>
      <c r="P55" s="1458"/>
      <c r="Q55" s="1458"/>
      <c r="R55" s="1458"/>
    </row>
    <row r="56" spans="1:22" s="1612" customFormat="1">
      <c r="A56" s="1458"/>
      <c r="B56" s="1458"/>
      <c r="C56" s="1458"/>
      <c r="D56" s="1458"/>
      <c r="E56" s="1458"/>
      <c r="F56" s="628"/>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7" sqref="P17"/>
    </sheetView>
  </sheetViews>
  <sheetFormatPr defaultColWidth="8.90625" defaultRowHeight="14"/>
  <cols>
    <col min="1" max="1" width="10.6328125" style="1459" customWidth="1"/>
    <col min="2" max="2" width="11" style="1459" customWidth="1"/>
    <col min="3" max="3" width="10.36328125" style="1459" customWidth="1"/>
    <col min="4" max="4" width="9.08984375" style="1459" customWidth="1"/>
    <col min="5" max="8" width="10" style="1459" customWidth="1"/>
    <col min="9" max="9" width="10.6328125" style="1459" customWidth="1"/>
    <col min="10" max="10" width="9.453125" style="1459" customWidth="1"/>
    <col min="11" max="11" width="11" style="1459" customWidth="1"/>
    <col min="12" max="14" width="9.453125" style="1459" customWidth="1"/>
    <col min="15" max="15" width="9.90625" style="1459" customWidth="1"/>
    <col min="16" max="16" width="9.7265625" style="1459" customWidth="1"/>
    <col min="17" max="17" width="9.36328125" style="1459" customWidth="1"/>
    <col min="18" max="18" width="9.26953125" style="1459" customWidth="1"/>
    <col min="19" max="19" width="10.90625" style="1459" customWidth="1"/>
    <col min="20" max="21" width="10.7265625" style="1459" customWidth="1"/>
    <col min="22" max="22" width="10.90625" style="1459" customWidth="1"/>
    <col min="23" max="27" width="10.7265625" style="1459" customWidth="1"/>
    <col min="28" max="28" width="10.90625" style="1459" customWidth="1"/>
    <col min="29" max="29" width="11" style="1459" bestFit="1" customWidth="1"/>
    <col min="30" max="30" width="10" style="1459" bestFit="1" customWidth="1"/>
    <col min="31" max="31" width="9.7265625" style="1459" customWidth="1"/>
    <col min="32" max="46" width="9.453125" style="1459" customWidth="1"/>
    <col min="47" max="47" width="18.08984375" style="1459" customWidth="1"/>
    <col min="48" max="50" width="9.7265625" style="1459" customWidth="1"/>
    <col min="51" max="55" width="10.453125" style="1459" bestFit="1" customWidth="1"/>
    <col min="56" max="56" width="9.453125" style="1459" bestFit="1" customWidth="1"/>
    <col min="57" max="63" width="9.08984375" style="1459" bestFit="1" customWidth="1"/>
    <col min="64" max="64" width="9.453125" style="1459" bestFit="1" customWidth="1"/>
    <col min="65" max="65" width="9.08984375" style="1459" bestFit="1" customWidth="1"/>
    <col min="66" max="66" width="9.453125" style="1459" bestFit="1" customWidth="1"/>
    <col min="67" max="69" width="9.08984375" style="1459" bestFit="1" customWidth="1"/>
    <col min="70" max="70" width="9.453125" style="1459" bestFit="1" customWidth="1"/>
    <col min="71" max="71" width="9" style="1459" customWidth="1"/>
    <col min="72" max="72" width="9.08984375" style="1459" bestFit="1" customWidth="1"/>
    <col min="73" max="16384" width="8.90625" style="1459"/>
  </cols>
  <sheetData>
    <row r="1" spans="1:72" ht="21">
      <c r="A1" s="1460" t="s">
        <v>1060</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1061</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6">
      <c r="A2" s="8" t="s">
        <v>1062</v>
      </c>
      <c r="B2" s="8" t="s">
        <v>1063</v>
      </c>
      <c r="C2" s="8" t="s">
        <v>1064</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1065</v>
      </c>
      <c r="AZ2" s="983" t="s">
        <v>1066</v>
      </c>
      <c r="BA2" s="8" t="s">
        <v>1067</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
      <c r="A3" s="10"/>
      <c r="B3" s="11">
        <f>IF(C3="否",G5-AT5,G5)</f>
        <v>26917.520000000128</v>
      </c>
      <c r="C3" s="1465" t="s">
        <v>1068</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
      <c r="A5" s="12" t="s">
        <v>1069</v>
      </c>
      <c r="B5" s="1255"/>
      <c r="C5" s="1255"/>
      <c r="D5" s="1256"/>
      <c r="E5" s="13" t="s">
        <v>0</v>
      </c>
      <c r="F5" s="13">
        <f>SUM(F13:F587)</f>
        <v>0</v>
      </c>
      <c r="G5" s="13">
        <f>SUM(G13:G587)</f>
        <v>26917.520000000128</v>
      </c>
      <c r="H5" s="13">
        <f t="shared" ref="H5:AT5" si="0">SUM(H13:H656)</f>
        <v>26917.520000000128</v>
      </c>
      <c r="I5" s="13">
        <f t="shared" si="0"/>
        <v>6284.0700000000006</v>
      </c>
      <c r="J5" s="13">
        <f t="shared" si="0"/>
        <v>0</v>
      </c>
      <c r="K5" s="13">
        <f t="shared" si="0"/>
        <v>4129.8999999999996</v>
      </c>
      <c r="L5" s="13">
        <f t="shared" si="0"/>
        <v>0</v>
      </c>
      <c r="M5" s="13">
        <f t="shared" si="0"/>
        <v>16503.550000000127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1069</v>
      </c>
      <c r="AW5" s="1255"/>
      <c r="AX5" s="1255"/>
      <c r="AY5" s="14" t="s">
        <v>2</v>
      </c>
      <c r="AZ5" s="15">
        <f t="shared" ref="AZ5:BT5" si="1">SUM(AZ13:AZ656)</f>
        <v>26917.520000000128</v>
      </c>
      <c r="BA5" s="15">
        <f t="shared" si="1"/>
        <v>26917.520000000128</v>
      </c>
      <c r="BB5" s="15">
        <f t="shared" si="1"/>
        <v>6284.0700000000006</v>
      </c>
      <c r="BC5" s="15">
        <f t="shared" si="1"/>
        <v>4129.8999999999996</v>
      </c>
      <c r="BD5" s="15">
        <f t="shared" si="1"/>
        <v>16503.550000000127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
      <c r="A6" s="12" t="s">
        <v>1070</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1070</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6">
      <c r="A7" s="1457" t="s">
        <v>1071</v>
      </c>
      <c r="B7" s="1457" t="s">
        <v>1072</v>
      </c>
      <c r="C7" s="1457" t="s">
        <v>1073</v>
      </c>
      <c r="D7" s="1457" t="s">
        <v>1074</v>
      </c>
      <c r="E7" s="1457" t="s">
        <v>1075</v>
      </c>
      <c r="F7" s="1457" t="s">
        <v>1076</v>
      </c>
      <c r="G7" s="1474" t="s">
        <v>1077</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1078</v>
      </c>
      <c r="AV7" s="20" t="s">
        <v>1079</v>
      </c>
      <c r="AW7" s="1462" t="s">
        <v>1080</v>
      </c>
      <c r="AX7" s="20" t="s">
        <v>1073</v>
      </c>
      <c r="AY7" s="1255" t="s">
        <v>1081</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6">
      <c r="A8" s="1478"/>
      <c r="B8" s="1478"/>
      <c r="C8" s="1478"/>
      <c r="D8" s="1478"/>
      <c r="E8" s="1478"/>
      <c r="F8" s="1478"/>
      <c r="G8" s="1479" t="s">
        <v>1082</v>
      </c>
      <c r="H8" s="1480" t="s">
        <v>1083</v>
      </c>
      <c r="I8" s="1481"/>
      <c r="J8" s="1265"/>
      <c r="K8" s="1265"/>
      <c r="L8" s="1265"/>
      <c r="M8" s="1265"/>
      <c r="N8" s="1265"/>
      <c r="O8" s="1265"/>
      <c r="P8" s="1265"/>
      <c r="Q8" s="1265"/>
      <c r="R8" s="1265"/>
      <c r="S8" s="1265"/>
      <c r="T8" s="1265"/>
      <c r="U8" s="1265"/>
      <c r="V8" s="1482"/>
      <c r="W8" s="1265"/>
      <c r="X8" s="1265"/>
      <c r="Y8" s="1265"/>
      <c r="Z8" s="1265"/>
      <c r="AA8" s="1482"/>
      <c r="AB8" s="1483"/>
      <c r="AC8" s="757" t="s">
        <v>1084</v>
      </c>
      <c r="AD8" s="1484"/>
      <c r="AE8" s="1476"/>
      <c r="AF8" s="1265"/>
      <c r="AG8" s="1265"/>
      <c r="AH8" s="1265"/>
      <c r="AI8" s="1265"/>
      <c r="AJ8" s="1265"/>
      <c r="AK8" s="1265"/>
      <c r="AL8" s="1265"/>
      <c r="AM8" s="1265"/>
      <c r="AN8" s="1265"/>
      <c r="AO8" s="1265"/>
      <c r="AP8" s="1265"/>
      <c r="AQ8" s="1265"/>
      <c r="AR8" s="1265"/>
      <c r="AS8" s="1265"/>
      <c r="AT8" s="1003" t="s">
        <v>1085</v>
      </c>
      <c r="AU8" s="1478" t="s">
        <v>1086</v>
      </c>
      <c r="AV8" s="1003"/>
      <c r="AW8" s="1463"/>
      <c r="AX8" s="1003"/>
      <c r="AY8" s="1462" t="s">
        <v>1087</v>
      </c>
      <c r="AZ8" s="1264" t="s">
        <v>1088</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
      <c r="A9" s="1478"/>
      <c r="B9" s="1478"/>
      <c r="C9" s="1478"/>
      <c r="D9" s="1478"/>
      <c r="E9" s="1478"/>
      <c r="F9" s="1478"/>
      <c r="G9" s="1003"/>
      <c r="H9" s="1486" t="s">
        <v>1089</v>
      </c>
      <c r="I9" s="1487" t="s">
        <v>3408</v>
      </c>
      <c r="J9" s="757"/>
      <c r="K9" s="1487" t="s">
        <v>3410</v>
      </c>
      <c r="L9" s="757"/>
      <c r="M9" s="1487" t="s">
        <v>3410</v>
      </c>
      <c r="N9" s="757"/>
      <c r="O9" s="1487" t="s">
        <v>3408</v>
      </c>
      <c r="P9" s="757"/>
      <c r="Q9" s="1487"/>
      <c r="R9" s="757"/>
      <c r="S9" s="1487"/>
      <c r="T9" s="757"/>
      <c r="U9" s="1487"/>
      <c r="V9" s="757"/>
      <c r="W9" s="1487"/>
      <c r="X9" s="1488"/>
      <c r="Y9" s="1487"/>
      <c r="Z9" s="757"/>
      <c r="AA9" s="1487"/>
      <c r="AB9" s="757"/>
      <c r="AC9" s="1479" t="s">
        <v>1089</v>
      </c>
      <c r="AD9" s="12" t="s">
        <v>1090</v>
      </c>
      <c r="AE9" s="1009"/>
      <c r="AF9" s="12" t="s">
        <v>1091</v>
      </c>
      <c r="AG9" s="1009"/>
      <c r="AH9" s="12" t="s">
        <v>1090</v>
      </c>
      <c r="AI9" s="1009"/>
      <c r="AJ9" s="12" t="s">
        <v>1091</v>
      </c>
      <c r="AK9" s="1009"/>
      <c r="AL9" s="12" t="s">
        <v>1090</v>
      </c>
      <c r="AM9" s="1009"/>
      <c r="AN9" s="12" t="s">
        <v>1091</v>
      </c>
      <c r="AO9" s="1009"/>
      <c r="AP9" s="12" t="s">
        <v>1090</v>
      </c>
      <c r="AQ9" s="1009"/>
      <c r="AR9" s="12" t="s">
        <v>1091</v>
      </c>
      <c r="AS9" s="1489"/>
      <c r="AT9" s="1478"/>
      <c r="AU9" s="1478" t="s">
        <v>1092</v>
      </c>
      <c r="AV9" s="1003"/>
      <c r="AW9" s="1463"/>
      <c r="AX9" s="1003"/>
      <c r="AY9" s="25"/>
      <c r="AZ9" s="25" t="s">
        <v>1082</v>
      </c>
      <c r="BA9" s="1490" t="s">
        <v>1093</v>
      </c>
      <c r="BB9" s="1491"/>
      <c r="BC9" s="1021"/>
      <c r="BD9" s="1021"/>
      <c r="BE9" s="1021"/>
      <c r="BF9" s="1021"/>
      <c r="BG9" s="1021"/>
      <c r="BH9" s="1021"/>
      <c r="BI9" s="1021"/>
      <c r="BJ9" s="1021"/>
      <c r="BK9" s="1492"/>
      <c r="BL9" s="12" t="s">
        <v>1094</v>
      </c>
      <c r="BM9" s="1265"/>
      <c r="BN9" s="1481"/>
      <c r="BO9" s="1265"/>
      <c r="BP9" s="1265"/>
      <c r="BQ9" s="1265"/>
      <c r="BR9" s="1265"/>
      <c r="BS9" s="1265"/>
      <c r="BT9" s="23"/>
    </row>
    <row r="10" spans="1:72" s="1485" customFormat="1" ht="13">
      <c r="A10" s="1478"/>
      <c r="B10" s="1478"/>
      <c r="C10" s="1478"/>
      <c r="D10" s="1478"/>
      <c r="E10" s="1478"/>
      <c r="F10" s="1478"/>
      <c r="G10" s="1003"/>
      <c r="H10" s="25"/>
      <c r="I10" s="1487" t="s">
        <v>671</v>
      </c>
      <c r="J10" s="757"/>
      <c r="K10" s="1487" t="s">
        <v>671</v>
      </c>
      <c r="L10" s="757"/>
      <c r="M10" s="1493" t="s">
        <v>3331</v>
      </c>
      <c r="N10" s="757"/>
      <c r="O10" s="1493" t="s">
        <v>21</v>
      </c>
      <c r="P10" s="757"/>
      <c r="Q10" s="1493"/>
      <c r="R10" s="757"/>
      <c r="S10" s="1493"/>
      <c r="T10" s="757"/>
      <c r="U10" s="1493"/>
      <c r="V10" s="757"/>
      <c r="W10" s="1493"/>
      <c r="X10" s="757"/>
      <c r="Y10" s="1493"/>
      <c r="Z10" s="757"/>
      <c r="AA10" s="1493"/>
      <c r="AB10" s="757"/>
      <c r="AC10" s="1003"/>
      <c r="AD10" s="12" t="s">
        <v>1095</v>
      </c>
      <c r="AE10" s="1494"/>
      <c r="AF10" s="12" t="s">
        <v>1095</v>
      </c>
      <c r="AG10" s="1494"/>
      <c r="AH10" s="12" t="s">
        <v>1096</v>
      </c>
      <c r="AI10" s="1494"/>
      <c r="AJ10" s="12" t="s">
        <v>1096</v>
      </c>
      <c r="AK10" s="1494"/>
      <c r="AL10" s="12" t="s">
        <v>1097</v>
      </c>
      <c r="AM10" s="1009"/>
      <c r="AN10" s="12" t="s">
        <v>1097</v>
      </c>
      <c r="AO10" s="1009"/>
      <c r="AP10" s="12" t="s">
        <v>1098</v>
      </c>
      <c r="AQ10" s="1009"/>
      <c r="AR10" s="12" t="s">
        <v>1098</v>
      </c>
      <c r="AS10" s="1009"/>
      <c r="AT10" s="1478"/>
      <c r="AU10" s="1478"/>
      <c r="AV10" s="1003"/>
      <c r="AW10" s="1463"/>
      <c r="AX10" s="1003"/>
      <c r="AY10" s="25"/>
      <c r="AZ10" s="25"/>
      <c r="BA10" s="1495" t="s">
        <v>1089</v>
      </c>
      <c r="BB10" s="1496" t="str">
        <f>I9</f>
        <v>地上</v>
      </c>
      <c r="BC10" s="26" t="str">
        <f>K9</f>
        <v>地下</v>
      </c>
      <c r="BD10" s="26" t="str">
        <f>M9</f>
        <v>地下</v>
      </c>
      <c r="BE10" s="26" t="str">
        <f>O9</f>
        <v>地上</v>
      </c>
      <c r="BF10" s="26">
        <f>Q9</f>
        <v>0</v>
      </c>
      <c r="BG10" s="26">
        <f>S9</f>
        <v>0</v>
      </c>
      <c r="BH10" s="26">
        <f>U9</f>
        <v>0</v>
      </c>
      <c r="BI10" s="26">
        <f>W9</f>
        <v>0</v>
      </c>
      <c r="BJ10" s="26">
        <f>Y9</f>
        <v>0</v>
      </c>
      <c r="BK10" s="26">
        <f>AA9</f>
        <v>0</v>
      </c>
      <c r="BL10" s="22" t="s">
        <v>1089</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1099</v>
      </c>
      <c r="AE11" s="1266"/>
      <c r="AF11" s="1500" t="s">
        <v>1099</v>
      </c>
      <c r="AG11" s="1266"/>
      <c r="AH11" s="1500" t="s">
        <v>1100</v>
      </c>
      <c r="AI11" s="1501"/>
      <c r="AJ11" s="1500" t="s">
        <v>1100</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商业</v>
      </c>
      <c r="BD11" s="1483" t="str">
        <f>M10</f>
        <v>车库</v>
      </c>
      <c r="BE11" s="1483" t="str">
        <f>O10</f>
        <v>办公</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
      <c r="A12" s="1503"/>
      <c r="B12" s="1503"/>
      <c r="C12" s="1503"/>
      <c r="D12" s="1503"/>
      <c r="E12" s="1503"/>
      <c r="F12" s="1503"/>
      <c r="G12" s="27"/>
      <c r="H12" s="1504"/>
      <c r="I12" s="125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4" t="s">
        <v>1102</v>
      </c>
      <c r="W12" s="8" t="s">
        <v>1101</v>
      </c>
      <c r="X12" s="8" t="s">
        <v>1102</v>
      </c>
      <c r="Y12" s="8" t="s">
        <v>1101</v>
      </c>
      <c r="Z12" s="8" t="s">
        <v>1102</v>
      </c>
      <c r="AA12" s="8" t="s">
        <v>1101</v>
      </c>
      <c r="AB12" s="8" t="s">
        <v>1102</v>
      </c>
      <c r="AC12" s="1505"/>
      <c r="AD12" s="125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3" t="s">
        <v>1102</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5">
      <c r="A13" s="628"/>
      <c r="B13" s="628"/>
      <c r="C13" s="3155" t="str">
        <f>面积清单!C2</f>
        <v>1号楼</v>
      </c>
      <c r="D13" s="1509" t="s">
        <v>3381</v>
      </c>
      <c r="E13" s="13">
        <f>IF($C$3="是",ROUND($A$3*G13/$B$3,2),ROUND($A$3*(G13-AT13)/$B$3,2))</f>
        <v>0</v>
      </c>
      <c r="F13" s="29"/>
      <c r="G13" s="30">
        <f>H13+AC13+AT13</f>
        <v>10474.86</v>
      </c>
      <c r="H13" s="17">
        <f>SUMIF(I$12:AB$12,"总值",I13:AB13)</f>
        <v>10474.86</v>
      </c>
      <c r="I13" s="1510">
        <f>面积清单!C8</f>
        <v>1316.46</v>
      </c>
      <c r="J13" s="1510"/>
      <c r="K13" s="1510">
        <f>面积清单!D3</f>
        <v>4129.8999999999996</v>
      </c>
      <c r="L13" s="1510"/>
      <c r="M13" s="1510">
        <f>面积清单!C5</f>
        <v>5028.5</v>
      </c>
      <c r="N13" s="1510"/>
      <c r="O13" s="1510">
        <v>0</v>
      </c>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1号楼</v>
      </c>
      <c r="AY13" s="1256">
        <f>ROUND($AY$6*AZ13/$AZ$5,2)</f>
        <v>0</v>
      </c>
      <c r="AZ13" s="13">
        <f>BA13+BL13</f>
        <v>10474.86</v>
      </c>
      <c r="BA13" s="13">
        <f>SUM(BB13:BK13)</f>
        <v>10474.86</v>
      </c>
      <c r="BB13" s="13">
        <f>IF($D13="是",I13-J13,0)</f>
        <v>1316.46</v>
      </c>
      <c r="BC13" s="13">
        <f>IF($D13="是",K13-L13,0)</f>
        <v>4129.8999999999996</v>
      </c>
      <c r="BD13" s="13">
        <f>IF($D13="是",M13-N13,0)</f>
        <v>5028.5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5">
      <c r="A14" s="628"/>
      <c r="B14" s="628"/>
      <c r="C14" s="3155" t="str">
        <f>面积清单!D2</f>
        <v>2号楼</v>
      </c>
      <c r="D14" s="1509" t="s">
        <v>3381</v>
      </c>
      <c r="E14" s="13">
        <f>IF($C$3="是",ROUND($A$3*G14/$B$3,2),ROUND($A$3*(G14-AT14)/$B$3,2))</f>
        <v>0</v>
      </c>
      <c r="F14" s="29"/>
      <c r="G14" s="30">
        <f>H14+AC14+AT14</f>
        <v>16442.660000000127</v>
      </c>
      <c r="H14" s="17">
        <f>SUMIF(I$12:AB$12,"总值",I14:AB14)</f>
        <v>16442.660000000127</v>
      </c>
      <c r="I14" s="1510">
        <f>面积清单!D8</f>
        <v>4967.6100000000006</v>
      </c>
      <c r="J14" s="1510"/>
      <c r="K14" s="1510">
        <f>面积清单!D17</f>
        <v>0</v>
      </c>
      <c r="L14" s="1510"/>
      <c r="M14" s="1510">
        <f>面积清单!D5</f>
        <v>11475.050000000125</v>
      </c>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2号楼</v>
      </c>
      <c r="AY14" s="1256">
        <f>ROUND($AY$6*AZ14/$AZ$5,2)</f>
        <v>0</v>
      </c>
      <c r="AZ14" s="13">
        <f>BA14+BL14</f>
        <v>16442.660000000127</v>
      </c>
      <c r="BA14" s="13">
        <f>SUM(BB14:BK14)</f>
        <v>16442.660000000127</v>
      </c>
      <c r="BB14" s="13">
        <f>IF($D14="是",I14-J14,0)</f>
        <v>4967.6100000000006</v>
      </c>
      <c r="BC14" s="13">
        <f>IF($D14="是",K14-L14,0)</f>
        <v>0</v>
      </c>
      <c r="BD14" s="13">
        <f>IF($D14="是",M14-N14,0)</f>
        <v>11475.050000000125</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5">
      <c r="A15" s="628"/>
      <c r="B15" s="628"/>
      <c r="C15" s="3155"/>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5">
      <c r="A16" s="628"/>
      <c r="B16" s="628"/>
      <c r="C16" s="3155"/>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5">
      <c r="A17" s="628"/>
      <c r="B17" s="628"/>
      <c r="C17" s="3155"/>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55"/>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55"/>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55"/>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56"/>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56"/>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56"/>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2:H59"/>
  <sheetViews>
    <sheetView topLeftCell="A10" workbookViewId="0">
      <selection activeCell="I24" sqref="I24"/>
    </sheetView>
  </sheetViews>
  <sheetFormatPr defaultColWidth="9" defaultRowHeight="14"/>
  <cols>
    <col min="1" max="1" width="9" style="3139"/>
    <col min="2" max="2" width="10.7265625" style="3139" customWidth="1"/>
    <col min="3" max="3" width="19.26953125" style="3139" bestFit="1" customWidth="1"/>
    <col min="4" max="5" width="15.453125" style="3139" bestFit="1" customWidth="1"/>
    <col min="6" max="6" width="15.7265625" style="3139" customWidth="1"/>
    <col min="7" max="8" width="12.7265625" style="3139" bestFit="1" customWidth="1"/>
    <col min="9" max="9" width="11.6328125" style="3139" bestFit="1" customWidth="1"/>
    <col min="10" max="10" width="9" style="3139"/>
    <col min="11" max="11" width="10.453125" style="3139" bestFit="1" customWidth="1"/>
    <col min="12" max="12" width="9.453125" style="3139" bestFit="1" customWidth="1"/>
    <col min="13" max="16384" width="9" style="3139"/>
  </cols>
  <sheetData>
    <row r="2" spans="2:8">
      <c r="B2" s="3139" t="s">
        <v>3390</v>
      </c>
    </row>
    <row r="3" spans="2:8">
      <c r="B3" s="3140"/>
      <c r="C3" s="3141" t="s">
        <v>2326</v>
      </c>
      <c r="D3" s="3141" t="s">
        <v>3391</v>
      </c>
      <c r="E3" s="3141" t="s">
        <v>3392</v>
      </c>
      <c r="F3" s="3140"/>
      <c r="G3" s="3142" t="s">
        <v>3393</v>
      </c>
    </row>
    <row r="4" spans="2:8">
      <c r="B4" s="3143" t="s">
        <v>3394</v>
      </c>
      <c r="C4" s="3144">
        <f>C5+C6</f>
        <v>26917.520000000128</v>
      </c>
      <c r="D4" s="3144">
        <f>E4/C4</f>
        <v>4146.3218008196918</v>
      </c>
      <c r="E4" s="3144">
        <f>E5+E6</f>
        <v>111608700.00000061</v>
      </c>
      <c r="F4" s="3140"/>
      <c r="G4" s="3145">
        <v>1</v>
      </c>
    </row>
    <row r="5" spans="2:8">
      <c r="B5" s="3141" t="s">
        <v>3395</v>
      </c>
      <c r="C5" s="3146">
        <f>面积清单!C8+面积清单!D8</f>
        <v>6284.0700000000006</v>
      </c>
      <c r="D5" s="3140">
        <v>2000</v>
      </c>
      <c r="E5" s="3140">
        <f>D5*C5</f>
        <v>12568140.000000002</v>
      </c>
      <c r="F5" s="3140"/>
      <c r="G5" s="3140"/>
    </row>
    <row r="6" spans="2:8">
      <c r="B6" s="3141" t="s">
        <v>2636</v>
      </c>
      <c r="C6" s="3146">
        <f>面积清单!C5+面积清单!D5+面积清单!D3</f>
        <v>20633.450000000128</v>
      </c>
      <c r="D6" s="3140">
        <v>4800</v>
      </c>
      <c r="E6" s="3140">
        <f t="shared" ref="E6:E9" si="0">D6*C6</f>
        <v>99040560.000000611</v>
      </c>
      <c r="F6" s="3140"/>
      <c r="G6" s="3140"/>
    </row>
    <row r="7" spans="2:8">
      <c r="B7" s="3143" t="s">
        <v>3396</v>
      </c>
      <c r="C7" s="3144">
        <f>C4</f>
        <v>26917.520000000128</v>
      </c>
      <c r="D7" s="3144">
        <v>1000</v>
      </c>
      <c r="E7" s="3144">
        <f>D7*C7</f>
        <v>26917520.000000127</v>
      </c>
      <c r="F7" s="3140"/>
      <c r="G7" s="3145">
        <v>1</v>
      </c>
    </row>
    <row r="8" spans="2:8">
      <c r="B8" s="3143" t="s">
        <v>3397</v>
      </c>
      <c r="C8" s="3144">
        <f>C4</f>
        <v>26917.520000000128</v>
      </c>
      <c r="D8" s="3144">
        <v>1500</v>
      </c>
      <c r="E8" s="3144">
        <f>D8*C8</f>
        <v>40376280.000000194</v>
      </c>
      <c r="F8" s="3140"/>
      <c r="G8" s="3145">
        <v>1</v>
      </c>
    </row>
    <row r="9" spans="2:8">
      <c r="B9" s="3143" t="s">
        <v>3398</v>
      </c>
      <c r="C9" s="3144">
        <v>0</v>
      </c>
      <c r="D9" s="3144">
        <f>D6</f>
        <v>4800</v>
      </c>
      <c r="E9" s="3144">
        <f t="shared" si="0"/>
        <v>0</v>
      </c>
      <c r="F9" s="3140"/>
      <c r="G9" s="3140"/>
    </row>
    <row r="10" spans="2:8">
      <c r="B10" s="3141" t="s">
        <v>3399</v>
      </c>
      <c r="C10" s="3140">
        <f>C4</f>
        <v>26917.520000000128</v>
      </c>
      <c r="D10" s="3140">
        <f>E10/C10</f>
        <v>6646.3218008196927</v>
      </c>
      <c r="E10" s="3140">
        <f>E4+E7+E8+E9</f>
        <v>178902500.00000095</v>
      </c>
      <c r="F10" s="3140"/>
      <c r="G10" s="3143">
        <f>(G4*E4+G7*E7+G8*E8)/E10</f>
        <v>1</v>
      </c>
    </row>
    <row r="14" spans="2:8">
      <c r="B14" s="3139" t="s">
        <v>3400</v>
      </c>
    </row>
    <row r="15" spans="2:8">
      <c r="B15" s="3140"/>
      <c r="C15" s="3141" t="s">
        <v>3401</v>
      </c>
      <c r="D15" s="3141"/>
      <c r="E15" s="3141" t="s">
        <v>3402</v>
      </c>
      <c r="F15" s="3141" t="s">
        <v>3403</v>
      </c>
      <c r="G15" s="3141" t="s">
        <v>3404</v>
      </c>
      <c r="H15" s="3142" t="s">
        <v>3405</v>
      </c>
    </row>
    <row r="16" spans="2:8">
      <c r="B16" s="3143" t="s">
        <v>3406</v>
      </c>
      <c r="C16" s="3144">
        <v>2011</v>
      </c>
      <c r="D16" s="3144">
        <v>2024</v>
      </c>
      <c r="E16" s="3144">
        <v>50</v>
      </c>
      <c r="F16" s="3140">
        <v>60</v>
      </c>
      <c r="G16" s="3140">
        <v>0</v>
      </c>
      <c r="H16" s="3147">
        <f>ROUND((1-G16)-(D16-C16)/F16,2)</f>
        <v>0.78</v>
      </c>
    </row>
    <row r="17" spans="2:8">
      <c r="B17" s="3141" t="s">
        <v>3407</v>
      </c>
      <c r="C17" s="3146"/>
      <c r="D17" s="3140"/>
      <c r="E17" s="3140"/>
      <c r="F17" s="3140"/>
      <c r="G17" s="3140"/>
      <c r="H17" s="3145">
        <v>0.8</v>
      </c>
    </row>
    <row r="18" spans="2:8">
      <c r="B18" s="3141"/>
      <c r="C18" s="3140"/>
      <c r="D18" s="3140"/>
      <c r="E18" s="3140"/>
      <c r="F18" s="3140"/>
      <c r="G18" s="3140"/>
      <c r="H18" s="3148">
        <f>ROUND((H17+H16)/2,2)</f>
        <v>0.79</v>
      </c>
    </row>
    <row r="24" spans="2:8">
      <c r="B24" s="3149"/>
      <c r="C24" s="3150"/>
      <c r="D24" s="3150" t="s">
        <v>3464</v>
      </c>
      <c r="E24" s="3151"/>
      <c r="F24" s="3151"/>
    </row>
    <row r="25" spans="2:8">
      <c r="B25" s="3149" t="s">
        <v>3465</v>
      </c>
      <c r="C25" s="3181">
        <f>面积清单!C8+面积清单!D8</f>
        <v>6284.0700000000006</v>
      </c>
      <c r="D25" s="3182">
        <f>C25</f>
        <v>6284.0700000000006</v>
      </c>
      <c r="E25" s="3152">
        <v>4.5</v>
      </c>
      <c r="F25" s="3152"/>
    </row>
    <row r="26" spans="2:8">
      <c r="B26" s="3149" t="s">
        <v>3466</v>
      </c>
      <c r="C26" s="3181">
        <f>面积清单!D3</f>
        <v>4129.8999999999996</v>
      </c>
      <c r="D26" s="3182">
        <f>C26*2*75%</f>
        <v>6194.8499999999995</v>
      </c>
      <c r="E26" s="3151">
        <v>4.7</v>
      </c>
      <c r="F26" s="3153"/>
    </row>
    <row r="27" spans="2:8">
      <c r="B27" s="3149"/>
      <c r="C27" s="3181">
        <f>C25+C26</f>
        <v>10413.970000000001</v>
      </c>
      <c r="D27" s="3182"/>
      <c r="E27" s="3181">
        <f>(D25*E25+D26*E26)/C27</f>
        <v>5.5112613153293122</v>
      </c>
      <c r="F27" s="3151"/>
    </row>
    <row r="28" spans="2:8">
      <c r="B28" s="3149"/>
      <c r="C28" s="3151"/>
      <c r="D28" s="3152"/>
      <c r="E28" s="3151"/>
      <c r="F28" s="3151"/>
    </row>
    <row r="29" spans="2:8">
      <c r="B29" s="3149"/>
      <c r="C29" s="3151"/>
      <c r="D29" s="3152"/>
      <c r="E29" s="3152"/>
      <c r="F29" s="3152"/>
    </row>
    <row r="30" spans="2:8">
      <c r="B30" s="3149"/>
      <c r="C30" s="3151"/>
      <c r="D30" s="3152"/>
      <c r="E30" s="3152"/>
      <c r="F30" s="3152"/>
    </row>
    <row r="31" spans="2:8">
      <c r="B31" s="3149"/>
      <c r="C31" s="3151"/>
      <c r="D31" s="3152"/>
      <c r="E31" s="3152"/>
      <c r="F31" s="3151"/>
    </row>
    <row r="32" spans="2:8">
      <c r="B32" s="3154"/>
    </row>
    <row r="33" spans="2:8">
      <c r="B33" s="3154"/>
    </row>
    <row r="34" spans="2:8">
      <c r="B34" s="3154"/>
      <c r="G34" s="3161"/>
      <c r="H34" s="3151"/>
    </row>
    <row r="35" spans="2:8">
      <c r="B35" s="3154"/>
    </row>
    <row r="36" spans="2:8">
      <c r="B36" s="3154"/>
      <c r="C36" s="3161"/>
    </row>
    <row r="37" spans="2:8">
      <c r="B37" s="3154"/>
      <c r="C37" s="3161"/>
    </row>
    <row r="38" spans="2:8">
      <c r="B38" s="3154"/>
      <c r="C38" s="3161"/>
    </row>
    <row r="39" spans="2:8">
      <c r="B39" s="3154"/>
    </row>
    <row r="40" spans="2:8">
      <c r="B40" s="3154"/>
    </row>
    <row r="41" spans="2:8">
      <c r="B41" s="3154"/>
    </row>
    <row r="42" spans="2:8">
      <c r="B42" s="3154"/>
    </row>
    <row r="43" spans="2:8">
      <c r="B43" s="3154"/>
    </row>
    <row r="44" spans="2:8">
      <c r="B44" s="3154"/>
    </row>
    <row r="45" spans="2:8">
      <c r="B45" s="3154"/>
    </row>
    <row r="46" spans="2:8">
      <c r="B46" s="3154"/>
    </row>
    <row r="47" spans="2:8">
      <c r="B47" s="3154"/>
    </row>
    <row r="48" spans="2:8">
      <c r="B48" s="3154"/>
    </row>
    <row r="49" spans="2:2">
      <c r="B49" s="3154"/>
    </row>
    <row r="50" spans="2:2">
      <c r="B50" s="3154"/>
    </row>
    <row r="51" spans="2:2">
      <c r="B51" s="3154"/>
    </row>
    <row r="52" spans="2:2">
      <c r="B52" s="3154"/>
    </row>
    <row r="53" spans="2:2">
      <c r="B53" s="3154"/>
    </row>
    <row r="54" spans="2:2">
      <c r="B54" s="3154"/>
    </row>
    <row r="55" spans="2:2">
      <c r="B55" s="3154"/>
    </row>
    <row r="56" spans="2:2">
      <c r="B56" s="3154"/>
    </row>
    <row r="57" spans="2:2">
      <c r="B57" s="3154"/>
    </row>
    <row r="58" spans="2:2">
      <c r="B58" s="3154"/>
    </row>
    <row r="59" spans="2:2">
      <c r="B59" s="3154"/>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J35"/>
  <sheetViews>
    <sheetView workbookViewId="0">
      <pane xSplit="1" ySplit="1" topLeftCell="B23" activePane="bottomRight" state="frozen"/>
      <selection pane="topRight" activeCell="B1" sqref="B1"/>
      <selection pane="bottomLeft" activeCell="A2" sqref="A2"/>
      <selection pane="bottomRight" activeCell="B11" sqref="B11"/>
    </sheetView>
  </sheetViews>
  <sheetFormatPr defaultColWidth="9" defaultRowHeight="17"/>
  <cols>
    <col min="1" max="1" width="9" style="3176"/>
    <col min="2" max="2" width="12.26953125" style="3177" customWidth="1"/>
    <col min="3" max="3" width="10.6328125" style="3176" customWidth="1"/>
    <col min="4" max="4" width="10.90625" style="3176" customWidth="1"/>
    <col min="5" max="6" width="11.6328125" style="3176" customWidth="1"/>
    <col min="7" max="16384" width="9" style="3176"/>
  </cols>
  <sheetData>
    <row r="2" spans="2:7">
      <c r="B2" s="3178" t="s">
        <v>3446</v>
      </c>
      <c r="C2" s="3178" t="s">
        <v>3447</v>
      </c>
      <c r="D2" s="3178" t="s">
        <v>3448</v>
      </c>
      <c r="E2" s="3178" t="s">
        <v>3449</v>
      </c>
      <c r="F2" s="3178" t="s">
        <v>3450</v>
      </c>
      <c r="G2" s="3179"/>
    </row>
    <row r="3" spans="2:7">
      <c r="B3" s="3178" t="s">
        <v>671</v>
      </c>
      <c r="C3" s="3178"/>
      <c r="D3" s="3178">
        <v>4129.8999999999996</v>
      </c>
      <c r="E3" s="3178">
        <v>13597.08</v>
      </c>
      <c r="F3" s="3178">
        <v>17726.98</v>
      </c>
      <c r="G3" s="3179"/>
    </row>
    <row r="4" spans="2:7">
      <c r="B4" s="3178" t="s">
        <v>3451</v>
      </c>
      <c r="C4" s="3178"/>
      <c r="D4" s="3178"/>
      <c r="E4" s="3178"/>
      <c r="F4" s="3178">
        <v>0</v>
      </c>
      <c r="G4" s="3179"/>
    </row>
    <row r="5" spans="2:7">
      <c r="B5" s="3178" t="s">
        <v>3452</v>
      </c>
      <c r="C5" s="3178">
        <v>5028.5</v>
      </c>
      <c r="D5" s="3178">
        <v>11475.050000000125</v>
      </c>
      <c r="E5" s="3178">
        <v>12474.669999999887</v>
      </c>
      <c r="F5" s="3178">
        <v>28978.220000000016</v>
      </c>
      <c r="G5" s="3179"/>
    </row>
    <row r="6" spans="2:7">
      <c r="B6" s="3178" t="s">
        <v>21</v>
      </c>
      <c r="C6" s="3178"/>
      <c r="D6" s="3178"/>
      <c r="E6" s="3178"/>
      <c r="F6" s="3178">
        <v>0</v>
      </c>
      <c r="G6" s="3179"/>
    </row>
    <row r="7" spans="2:7">
      <c r="B7" s="3178" t="s">
        <v>3453</v>
      </c>
      <c r="C7" s="3178"/>
      <c r="D7" s="3178"/>
      <c r="E7" s="3178"/>
      <c r="F7" s="3178">
        <v>0</v>
      </c>
      <c r="G7" s="3179"/>
    </row>
    <row r="8" spans="2:7">
      <c r="B8" s="3178" t="s">
        <v>3454</v>
      </c>
      <c r="C8" s="3178">
        <v>1316.46</v>
      </c>
      <c r="D8" s="3178">
        <v>4967.6100000000006</v>
      </c>
      <c r="E8" s="3178"/>
      <c r="F8" s="3178">
        <v>6284.0700000000006</v>
      </c>
      <c r="G8" s="3179"/>
    </row>
    <row r="9" spans="2:7">
      <c r="B9" s="3178" t="s">
        <v>3450</v>
      </c>
      <c r="C9" s="3178">
        <v>6344.96</v>
      </c>
      <c r="D9" s="3178">
        <v>20572.560000000125</v>
      </c>
      <c r="E9" s="3178">
        <v>26071.749999999887</v>
      </c>
      <c r="F9" s="3178">
        <v>52989.270000000011</v>
      </c>
      <c r="G9" s="3179">
        <f>F9-F7-F4</f>
        <v>52989.270000000011</v>
      </c>
    </row>
    <row r="10" spans="2:7">
      <c r="B10" s="3179" t="s">
        <v>3491</v>
      </c>
      <c r="C10" s="3198">
        <v>79</v>
      </c>
      <c r="D10" s="3198">
        <v>232</v>
      </c>
      <c r="E10" s="3198">
        <v>292</v>
      </c>
      <c r="F10" s="3198">
        <f>SUM(C10:E10)</f>
        <v>603</v>
      </c>
      <c r="G10" s="3179"/>
    </row>
    <row r="11" spans="2:7">
      <c r="B11" s="3179"/>
      <c r="C11" s="3179"/>
      <c r="D11" s="3179"/>
      <c r="E11" s="3179"/>
      <c r="F11" s="3179"/>
      <c r="G11" s="3179"/>
    </row>
    <row r="12" spans="2:7">
      <c r="B12" s="3174"/>
      <c r="C12" s="3174"/>
      <c r="D12" s="3174"/>
      <c r="E12" s="3174"/>
      <c r="F12" s="3174"/>
    </row>
    <row r="13" spans="2:7">
      <c r="B13" s="3174"/>
      <c r="C13" s="3174"/>
      <c r="D13" s="3174"/>
      <c r="E13" s="3174"/>
      <c r="F13" s="3174"/>
    </row>
    <row r="14" spans="2:7">
      <c r="B14" s="3174" t="s">
        <v>671</v>
      </c>
      <c r="C14" s="3174" t="s">
        <v>3447</v>
      </c>
      <c r="D14" s="3174" t="s">
        <v>3448</v>
      </c>
      <c r="E14" s="3174" t="s">
        <v>3449</v>
      </c>
      <c r="F14" s="3174" t="s">
        <v>3450</v>
      </c>
    </row>
    <row r="15" spans="2:7">
      <c r="B15" s="3174" t="s">
        <v>3455</v>
      </c>
      <c r="C15" s="3174"/>
      <c r="D15" s="3174"/>
      <c r="E15" s="3174"/>
      <c r="F15" s="3174">
        <v>0</v>
      </c>
    </row>
    <row r="16" spans="2:7">
      <c r="B16" s="3174" t="s">
        <v>3456</v>
      </c>
      <c r="C16" s="3174"/>
      <c r="D16" s="3174"/>
      <c r="E16" s="3174"/>
      <c r="F16" s="3174">
        <v>0</v>
      </c>
    </row>
    <row r="17" spans="1:10">
      <c r="B17" s="3174" t="s">
        <v>3457</v>
      </c>
      <c r="C17" s="3174"/>
      <c r="D17" s="3174"/>
      <c r="E17" s="3174"/>
      <c r="F17" s="3174">
        <v>0</v>
      </c>
    </row>
    <row r="18" spans="1:10">
      <c r="B18" s="3174" t="s">
        <v>3458</v>
      </c>
      <c r="C18" s="3174"/>
      <c r="D18" s="3174"/>
      <c r="E18" s="3174"/>
      <c r="F18" s="3174">
        <v>0</v>
      </c>
    </row>
    <row r="19" spans="1:10">
      <c r="B19" s="3174" t="s">
        <v>3459</v>
      </c>
      <c r="C19" s="3174"/>
      <c r="D19" s="3174">
        <v>4129.8999999999996</v>
      </c>
      <c r="E19" s="3174">
        <v>13597.08</v>
      </c>
      <c r="F19" s="3174">
        <v>17726.98</v>
      </c>
    </row>
    <row r="20" spans="1:10">
      <c r="B20" s="3175" t="s">
        <v>3450</v>
      </c>
      <c r="C20" s="3174">
        <v>0</v>
      </c>
      <c r="D20" s="3174">
        <v>4129.8999999999996</v>
      </c>
      <c r="E20" s="3174">
        <v>13597.08</v>
      </c>
      <c r="F20" s="3174">
        <v>17726.98</v>
      </c>
    </row>
    <row r="22" spans="1:10" s="3187" customFormat="1" ht="14">
      <c r="A22" s="3183" t="s">
        <v>3467</v>
      </c>
      <c r="B22" s="3184" t="s">
        <v>3468</v>
      </c>
      <c r="C22" s="3184" t="s">
        <v>3469</v>
      </c>
      <c r="D22" s="3184" t="s">
        <v>3470</v>
      </c>
      <c r="E22" s="3184" t="s">
        <v>3471</v>
      </c>
      <c r="F22" s="3185" t="s">
        <v>3472</v>
      </c>
      <c r="G22" s="3185" t="s">
        <v>3473</v>
      </c>
      <c r="H22" s="3185" t="s">
        <v>3474</v>
      </c>
      <c r="I22" s="3186"/>
      <c r="J22" s="3185" t="s">
        <v>3475</v>
      </c>
    </row>
    <row r="23" spans="1:10" s="3187" customFormat="1" ht="14">
      <c r="A23" s="3188">
        <v>1</v>
      </c>
      <c r="B23" s="3189" t="s">
        <v>3476</v>
      </c>
      <c r="C23" s="3189" t="s">
        <v>3477</v>
      </c>
      <c r="D23" s="3189" t="s">
        <v>3478</v>
      </c>
      <c r="E23" s="3190">
        <v>802</v>
      </c>
      <c r="F23" s="3191" t="s">
        <v>3479</v>
      </c>
      <c r="G23" s="3190">
        <v>8</v>
      </c>
      <c r="H23" s="3192">
        <v>185.19</v>
      </c>
      <c r="J23" s="3183" t="s">
        <v>3480</v>
      </c>
    </row>
    <row r="24" spans="1:10" s="3187" customFormat="1" ht="14">
      <c r="A24" s="3188">
        <v>2</v>
      </c>
      <c r="B24" s="3189" t="s">
        <v>3476</v>
      </c>
      <c r="C24" s="3189" t="s">
        <v>3477</v>
      </c>
      <c r="D24" s="3189" t="s">
        <v>3478</v>
      </c>
      <c r="E24" s="3190">
        <v>902</v>
      </c>
      <c r="F24" s="3191" t="s">
        <v>3479</v>
      </c>
      <c r="G24" s="3190">
        <v>9</v>
      </c>
      <c r="H24" s="3192">
        <v>185.19</v>
      </c>
      <c r="J24" s="3183" t="s">
        <v>3480</v>
      </c>
    </row>
    <row r="25" spans="1:10" s="3187" customFormat="1" ht="14">
      <c r="A25" s="3188">
        <v>3</v>
      </c>
      <c r="B25" s="3189" t="s">
        <v>3476</v>
      </c>
      <c r="C25" s="3189" t="s">
        <v>3477</v>
      </c>
      <c r="D25" s="3189" t="s">
        <v>3478</v>
      </c>
      <c r="E25" s="3190">
        <v>1002</v>
      </c>
      <c r="F25" s="3191" t="s">
        <v>3479</v>
      </c>
      <c r="G25" s="3190">
        <v>10</v>
      </c>
      <c r="H25" s="3192">
        <v>185.19</v>
      </c>
      <c r="J25" s="3183" t="s">
        <v>3480</v>
      </c>
    </row>
    <row r="26" spans="1:10" s="3187" customFormat="1" ht="14">
      <c r="A26" s="3188">
        <v>4</v>
      </c>
      <c r="B26" s="3189" t="s">
        <v>3476</v>
      </c>
      <c r="C26" s="3189" t="s">
        <v>3477</v>
      </c>
      <c r="D26" s="3189" t="s">
        <v>3478</v>
      </c>
      <c r="E26" s="3190">
        <v>1602</v>
      </c>
      <c r="F26" s="3191" t="s">
        <v>3479</v>
      </c>
      <c r="G26" s="3190">
        <v>16</v>
      </c>
      <c r="H26" s="3192">
        <v>410.04</v>
      </c>
      <c r="J26" s="3183" t="s">
        <v>3480</v>
      </c>
    </row>
    <row r="27" spans="1:10" s="3187" customFormat="1" ht="14">
      <c r="A27" s="3188">
        <v>5</v>
      </c>
      <c r="B27" s="3189" t="s">
        <v>3476</v>
      </c>
      <c r="C27" s="3189" t="s">
        <v>3477</v>
      </c>
      <c r="D27" s="3189" t="s">
        <v>3478</v>
      </c>
      <c r="E27" s="3190">
        <v>1702</v>
      </c>
      <c r="F27" s="3191" t="s">
        <v>3479</v>
      </c>
      <c r="G27" s="3190">
        <v>17</v>
      </c>
      <c r="H27" s="3192">
        <v>410.04</v>
      </c>
      <c r="J27" s="3183" t="s">
        <v>3480</v>
      </c>
    </row>
    <row r="28" spans="1:10" s="3187" customFormat="1" ht="14">
      <c r="A28" s="3188">
        <v>6</v>
      </c>
      <c r="B28" s="3189" t="s">
        <v>3476</v>
      </c>
      <c r="C28" s="3189" t="s">
        <v>3477</v>
      </c>
      <c r="D28" s="3189" t="s">
        <v>3478</v>
      </c>
      <c r="E28" s="3190">
        <v>1801</v>
      </c>
      <c r="F28" s="3191" t="s">
        <v>3479</v>
      </c>
      <c r="G28" s="3190">
        <v>18</v>
      </c>
      <c r="H28" s="3192">
        <v>953.48</v>
      </c>
      <c r="J28" s="3183" t="s">
        <v>3480</v>
      </c>
    </row>
    <row r="29" spans="1:10" s="3187" customFormat="1" ht="14">
      <c r="A29" s="3188">
        <v>7</v>
      </c>
      <c r="B29" s="3189" t="s">
        <v>3476</v>
      </c>
      <c r="C29" s="3189" t="s">
        <v>3477</v>
      </c>
      <c r="D29" s="3189" t="s">
        <v>3478</v>
      </c>
      <c r="E29" s="3190">
        <v>502</v>
      </c>
      <c r="F29" s="3191" t="s">
        <v>3479</v>
      </c>
      <c r="G29" s="3190">
        <v>5</v>
      </c>
      <c r="H29" s="3193">
        <v>1801.86</v>
      </c>
      <c r="J29" s="3183" t="s">
        <v>3480</v>
      </c>
    </row>
    <row r="30" spans="1:10" s="3187" customFormat="1" ht="14">
      <c r="A30" s="3188">
        <v>8</v>
      </c>
      <c r="B30" s="3189" t="s">
        <v>3476</v>
      </c>
      <c r="C30" s="3189" t="s">
        <v>3477</v>
      </c>
      <c r="D30" s="3189" t="s">
        <v>3478</v>
      </c>
      <c r="E30" s="3190">
        <v>503</v>
      </c>
      <c r="F30" s="3191" t="s">
        <v>3479</v>
      </c>
      <c r="G30" s="3190">
        <v>5</v>
      </c>
      <c r="H30" s="3193">
        <v>279.99</v>
      </c>
      <c r="J30" s="3183" t="s">
        <v>3480</v>
      </c>
    </row>
    <row r="31" spans="1:10" s="3187" customFormat="1" ht="14">
      <c r="A31" s="3188">
        <v>9</v>
      </c>
      <c r="B31" s="3189" t="s">
        <v>3476</v>
      </c>
      <c r="C31" s="3189" t="s">
        <v>3477</v>
      </c>
      <c r="D31" s="3189" t="s">
        <v>3478</v>
      </c>
      <c r="E31" s="3190">
        <v>504</v>
      </c>
      <c r="F31" s="3191" t="s">
        <v>3479</v>
      </c>
      <c r="G31" s="3190">
        <v>5</v>
      </c>
      <c r="H31" s="3193">
        <v>556.63</v>
      </c>
      <c r="J31" s="3183" t="s">
        <v>3480</v>
      </c>
    </row>
    <row r="32" spans="1:10" s="3187" customFormat="1" ht="13">
      <c r="H32" s="3194">
        <f>SUM(H23:H31)</f>
        <v>4967.6099999999997</v>
      </c>
    </row>
    <row r="34" spans="1:9" s="3187" customFormat="1" ht="13">
      <c r="A34" s="3184" t="s">
        <v>3468</v>
      </c>
      <c r="B34" s="3184" t="s">
        <v>3469</v>
      </c>
      <c r="C34" s="3184" t="s">
        <v>3470</v>
      </c>
      <c r="D34" s="3184" t="s">
        <v>3481</v>
      </c>
      <c r="E34" s="3184" t="s">
        <v>3482</v>
      </c>
      <c r="F34" s="3184" t="s">
        <v>3483</v>
      </c>
      <c r="G34" s="3184" t="s">
        <v>3484</v>
      </c>
      <c r="H34" s="3184" t="s">
        <v>3485</v>
      </c>
      <c r="I34" s="3184" t="s">
        <v>3486</v>
      </c>
    </row>
    <row r="35" spans="1:9" s="3187" customFormat="1" ht="13">
      <c r="A35" s="3183" t="s">
        <v>3476</v>
      </c>
      <c r="B35" s="3183" t="s">
        <v>3487</v>
      </c>
      <c r="C35" s="3189" t="s">
        <v>3488</v>
      </c>
      <c r="D35" s="3195">
        <v>41998</v>
      </c>
      <c r="E35" s="3183" t="s">
        <v>3489</v>
      </c>
      <c r="F35" s="3183" t="s">
        <v>3490</v>
      </c>
      <c r="G35" s="3196">
        <v>1316.46</v>
      </c>
      <c r="H35" s="3196">
        <v>1293.77</v>
      </c>
      <c r="I35" s="3183" t="s">
        <v>3480</v>
      </c>
    </row>
  </sheetData>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zoomScale="85" zoomScaleNormal="100" zoomScaleSheetLayoutView="85" workbookViewId="0">
      <selection activeCell="G20" sqref="G20"/>
    </sheetView>
  </sheetViews>
  <sheetFormatPr defaultColWidth="9.26953125" defaultRowHeight="14"/>
  <cols>
    <col min="1" max="1" width="12.08984375" style="1518" customWidth="1"/>
    <col min="2" max="2" width="10.26953125" style="1518" customWidth="1"/>
    <col min="3" max="3" width="18.453125" style="1518" customWidth="1"/>
    <col min="4" max="4" width="11.6328125" style="1518" customWidth="1"/>
    <col min="5" max="5" width="13.36328125" style="1518" customWidth="1"/>
    <col min="6" max="8" width="11.453125" style="1518" customWidth="1"/>
    <col min="9" max="9" width="11.08984375" style="1518" customWidth="1"/>
    <col min="10" max="10" width="3.08984375" style="1518" customWidth="1"/>
    <col min="11" max="16" width="10" style="1518" customWidth="1"/>
    <col min="17" max="17" width="2.6328125" style="1518" customWidth="1"/>
    <col min="18" max="18" width="9.36328125" style="1518" bestFit="1" customWidth="1"/>
    <col min="19" max="19" width="10.453125" style="1518" bestFit="1" customWidth="1"/>
    <col min="20" max="16384" width="9.26953125" style="1518"/>
  </cols>
  <sheetData>
    <row r="1" spans="1:16" ht="18.5" thickBot="1">
      <c r="A1" s="1517" t="s">
        <v>1128</v>
      </c>
      <c r="B1" s="1067"/>
      <c r="C1" s="1067"/>
      <c r="D1" s="1067"/>
      <c r="E1" s="1067"/>
      <c r="F1" s="1067"/>
      <c r="G1" s="1067"/>
      <c r="H1" s="1067"/>
      <c r="I1" s="1067"/>
      <c r="J1" s="1067"/>
      <c r="K1" s="1067"/>
      <c r="L1" s="1067"/>
      <c r="M1" s="1067"/>
      <c r="N1" s="1067"/>
      <c r="O1" s="1067"/>
      <c r="P1" s="1067"/>
    </row>
    <row r="2" spans="1:16">
      <c r="A2" s="3279" t="s">
        <v>1129</v>
      </c>
      <c r="B2" s="3279"/>
      <c r="C2" s="3279"/>
      <c r="D2" s="744" t="s">
        <v>1105</v>
      </c>
      <c r="E2" s="1519" t="s">
        <v>1106</v>
      </c>
      <c r="F2" s="2434"/>
      <c r="G2" s="2428"/>
      <c r="H2" s="2429"/>
      <c r="I2" s="2142" t="s">
        <v>1130</v>
      </c>
      <c r="J2" s="2434"/>
      <c r="K2" s="2434"/>
      <c r="L2" s="2434"/>
      <c r="M2" s="2434"/>
      <c r="N2" s="2435"/>
      <c r="O2" s="2434"/>
      <c r="P2" s="2434"/>
    </row>
    <row r="3" spans="1:16" ht="14.5" thickBot="1">
      <c r="A3" s="3280" t="s">
        <v>1103</v>
      </c>
      <c r="B3" s="3280"/>
      <c r="C3" s="3280"/>
      <c r="D3" s="41">
        <f>'数据-基础表'!AY6</f>
        <v>0</v>
      </c>
      <c r="E3" s="41">
        <f>'数据-基础表'!AZ5</f>
        <v>26917.520000000128</v>
      </c>
      <c r="F3" s="2434"/>
      <c r="G3" s="42"/>
      <c r="H3" s="43" t="s">
        <v>1104</v>
      </c>
      <c r="I3" s="798" t="e">
        <f>ROUND('数据-基础表'!B3/'数据-基础表'!A3,2)</f>
        <v>#DIV/0!</v>
      </c>
      <c r="J3" s="2434"/>
      <c r="K3" s="2434"/>
      <c r="L3" s="2434"/>
      <c r="M3" s="2434"/>
      <c r="N3" s="2435"/>
      <c r="O3" s="2434"/>
      <c r="P3" s="2434"/>
    </row>
    <row r="4" spans="1:16">
      <c r="A4" s="3281"/>
      <c r="B4" s="3282"/>
      <c r="C4" s="3283"/>
      <c r="D4" s="1520" t="s">
        <v>1105</v>
      </c>
      <c r="E4" s="1521" t="s">
        <v>1106</v>
      </c>
      <c r="F4" s="2434"/>
      <c r="G4" s="2430" t="s">
        <v>1131</v>
      </c>
      <c r="H4" s="43" t="s">
        <v>1111</v>
      </c>
      <c r="I4" s="798" t="e">
        <f>ROUND(SUMIF('数据-基础表'!I9:AS9,"地上",'数据-基础表'!I5:AS5)/'数据-基础表'!A3,2)</f>
        <v>#DIV/0!</v>
      </c>
      <c r="J4" s="2434"/>
      <c r="K4" s="2434"/>
      <c r="L4" s="2434"/>
      <c r="M4" s="2434"/>
      <c r="N4" s="2435"/>
      <c r="O4" s="2434"/>
      <c r="P4" s="2434"/>
    </row>
    <row r="5" spans="1:16">
      <c r="A5" s="42" t="s">
        <v>1107</v>
      </c>
      <c r="B5" s="3284" t="s">
        <v>1108</v>
      </c>
      <c r="C5" s="3284"/>
      <c r="D5" s="43">
        <f>ROUND($D$3*E5/$E$3,2)</f>
        <v>0</v>
      </c>
      <c r="E5" s="44">
        <f>SUMIF('数据-基础表'!$11:$11,"住宅",'数据-基础表'!$5:$5)</f>
        <v>0</v>
      </c>
      <c r="F5" s="2434"/>
      <c r="G5" s="42"/>
      <c r="H5" s="43" t="s">
        <v>1104</v>
      </c>
      <c r="I5" s="798" t="e">
        <f>ROUND(E31/D31,2)</f>
        <v>#DIV/0!</v>
      </c>
      <c r="J5" s="2434"/>
      <c r="K5" s="2434"/>
      <c r="L5" s="2434"/>
      <c r="M5" s="2434"/>
      <c r="N5" s="2434"/>
      <c r="O5" s="2434"/>
      <c r="P5" s="2434"/>
    </row>
    <row r="6" spans="1:16" ht="14.5" thickBot="1">
      <c r="A6" s="1523"/>
      <c r="B6" s="3284" t="s">
        <v>1109</v>
      </c>
      <c r="C6" s="3284"/>
      <c r="D6" s="43">
        <f>ROUND($D$3*E6/$E$3,2)</f>
        <v>0</v>
      </c>
      <c r="E6" s="44">
        <f>E3-E5</f>
        <v>26917.520000000128</v>
      </c>
      <c r="F6" s="2434"/>
      <c r="G6" s="1525" t="s">
        <v>1110</v>
      </c>
      <c r="H6" s="45" t="s">
        <v>1111</v>
      </c>
      <c r="I6" s="2431" t="e">
        <f>ROUND(F31/D31,2)</f>
        <v>#DIV/0!</v>
      </c>
      <c r="J6" s="2434"/>
      <c r="K6" s="2434"/>
      <c r="L6" s="2434"/>
      <c r="M6" s="2434"/>
      <c r="N6" s="2434"/>
      <c r="O6" s="2434"/>
      <c r="P6" s="2434"/>
    </row>
    <row r="7" spans="1:16" ht="14.5" thickBot="1">
      <c r="A7" s="3276"/>
      <c r="B7" s="3277"/>
      <c r="C7" s="3278"/>
      <c r="D7" s="1520" t="s">
        <v>1105</v>
      </c>
      <c r="E7" s="1524" t="s">
        <v>1112</v>
      </c>
      <c r="F7" s="2434"/>
      <c r="G7" s="2432" t="s">
        <v>1113</v>
      </c>
      <c r="H7" s="95"/>
      <c r="I7" s="3164">
        <v>2.5</v>
      </c>
      <c r="J7" s="2434"/>
      <c r="K7" s="2434"/>
      <c r="L7" s="2434"/>
      <c r="M7" s="2434"/>
      <c r="N7" s="2434"/>
      <c r="O7" s="2434"/>
      <c r="P7" s="2434"/>
    </row>
    <row r="8" spans="1:16">
      <c r="A8" s="42" t="s">
        <v>1114</v>
      </c>
      <c r="B8" s="45" t="s">
        <v>1115</v>
      </c>
      <c r="C8" s="43" t="s">
        <v>1116</v>
      </c>
      <c r="D8" s="43">
        <f t="shared" ref="D8:D15" si="0">ROUND($D$3*E8/$E$3,2)</f>
        <v>0</v>
      </c>
      <c r="E8" s="46">
        <f>SUMIF('数据-基础表'!BB10:BK10,"地上",'数据-基础表'!BB5:BK5)</f>
        <v>6284.0700000000006</v>
      </c>
      <c r="F8" s="2434"/>
      <c r="G8" s="2434"/>
      <c r="H8" s="2434"/>
      <c r="I8" s="2434"/>
      <c r="J8" s="2434"/>
      <c r="K8" s="2434"/>
      <c r="L8" s="2434"/>
      <c r="M8" s="2434"/>
      <c r="N8" s="2434"/>
      <c r="O8" s="2434"/>
      <c r="P8" s="2434"/>
    </row>
    <row r="9" spans="1:16">
      <c r="A9" s="1525"/>
      <c r="B9" s="1526"/>
      <c r="C9" s="43" t="s">
        <v>1117</v>
      </c>
      <c r="D9" s="43">
        <f t="shared" si="0"/>
        <v>0</v>
      </c>
      <c r="E9" s="47">
        <v>0</v>
      </c>
      <c r="F9" s="2434"/>
      <c r="G9" s="2434"/>
      <c r="H9" s="2434"/>
      <c r="I9" s="2434"/>
      <c r="J9" s="2434"/>
      <c r="K9" s="2434"/>
      <c r="L9" s="2434"/>
      <c r="M9" s="2434"/>
      <c r="N9" s="2434"/>
      <c r="O9" s="2434"/>
      <c r="P9" s="2434"/>
    </row>
    <row r="10" spans="1:16">
      <c r="A10" s="1525"/>
      <c r="B10" s="1526"/>
      <c r="C10" s="43" t="s">
        <v>1126</v>
      </c>
      <c r="D10" s="43">
        <f t="shared" si="0"/>
        <v>0</v>
      </c>
      <c r="E10" s="46">
        <f>SUMPRODUCT(('数据-基础表'!BB10:BK10="地下")*('数据-基础表'!BB11:BK11="商业")*('数据-基础表'!BB5:BK5))</f>
        <v>4129.8999999999996</v>
      </c>
      <c r="F10" s="2434"/>
      <c r="G10" s="2434"/>
      <c r="H10" s="2434"/>
      <c r="I10" s="2434"/>
      <c r="J10" s="2434"/>
      <c r="K10" s="2434"/>
      <c r="L10" s="2434"/>
      <c r="M10" s="2434"/>
      <c r="N10" s="2434"/>
      <c r="O10" s="2434"/>
      <c r="P10" s="2434"/>
    </row>
    <row r="11" spans="1:16">
      <c r="A11" s="1525"/>
      <c r="B11" s="1526"/>
      <c r="C11" s="43" t="s">
        <v>1118</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5"/>
      <c r="B12" s="1526"/>
      <c r="C12" s="43" t="s">
        <v>1119</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5"/>
      <c r="B13" s="1526"/>
      <c r="C13" s="43" t="s">
        <v>1120</v>
      </c>
      <c r="D13" s="43">
        <f t="shared" si="0"/>
        <v>0</v>
      </c>
      <c r="E13" s="46">
        <f>SUMPRODUCT(('数据-基础表'!BB10:BK10="地下")*('数据-基础表'!BB11:BK11="车库")*('数据-基础表'!BB5:BK5))</f>
        <v>16503.550000000127</v>
      </c>
      <c r="F13" s="2434"/>
      <c r="G13" s="2434"/>
      <c r="H13" s="2434"/>
      <c r="I13" s="2434"/>
      <c r="J13" s="2434"/>
      <c r="K13" s="2434"/>
      <c r="L13" s="2434"/>
      <c r="M13" s="2434"/>
      <c r="N13" s="2434"/>
      <c r="O13" s="2434"/>
      <c r="P13" s="2434"/>
    </row>
    <row r="14" spans="1:16">
      <c r="A14" s="1525"/>
      <c r="B14" s="1526"/>
      <c r="C14" s="43" t="s">
        <v>1132</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4.5" thickBot="1">
      <c r="A15" s="1525"/>
      <c r="B15" s="1526"/>
      <c r="C15" s="43" t="s">
        <v>1127</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4.5" thickBot="1">
      <c r="A16" s="1523"/>
      <c r="B16" s="1526"/>
      <c r="C16" s="45" t="s">
        <v>1121</v>
      </c>
      <c r="D16" s="45">
        <f>SUM(D8:D15)</f>
        <v>0</v>
      </c>
      <c r="E16" s="48">
        <f>SUM(E8:E15)</f>
        <v>26917.520000000128</v>
      </c>
      <c r="F16" s="2434"/>
      <c r="G16" s="2434"/>
      <c r="H16" s="1527" t="s">
        <v>1133</v>
      </c>
      <c r="I16" s="1528"/>
      <c r="J16" s="1067"/>
      <c r="K16" s="3273" t="s">
        <v>1133</v>
      </c>
      <c r="L16" s="3274"/>
      <c r="M16" s="3274"/>
      <c r="N16" s="3274"/>
      <c r="O16" s="3274"/>
      <c r="P16" s="3275"/>
    </row>
    <row r="17" spans="1:19">
      <c r="A17" s="1529" t="s">
        <v>1134</v>
      </c>
      <c r="B17" s="1530" t="s">
        <v>1135</v>
      </c>
      <c r="C17" s="1531" t="s">
        <v>1136</v>
      </c>
      <c r="D17" s="1532" t="s">
        <v>1124</v>
      </c>
      <c r="E17" s="1533" t="s">
        <v>1125</v>
      </c>
      <c r="F17" s="1534"/>
      <c r="G17" s="1535"/>
      <c r="H17" s="1536" t="s">
        <v>1137</v>
      </c>
      <c r="I17" s="1537" t="s">
        <v>1122</v>
      </c>
      <c r="J17" s="1067"/>
      <c r="K17" s="3270" t="s">
        <v>1138</v>
      </c>
      <c r="L17" s="3271"/>
      <c r="M17" s="3272"/>
      <c r="N17" s="3270" t="s">
        <v>1139</v>
      </c>
      <c r="O17" s="3271"/>
      <c r="P17" s="3272"/>
      <c r="R17" s="765" t="s">
        <v>1140</v>
      </c>
      <c r="S17" s="54"/>
    </row>
    <row r="18" spans="1:19">
      <c r="A18" s="1525"/>
      <c r="B18" s="1522"/>
      <c r="C18" s="1538"/>
      <c r="D18" s="1539"/>
      <c r="E18" s="1540" t="s">
        <v>1141</v>
      </c>
      <c r="F18" s="1541" t="s">
        <v>1142</v>
      </c>
      <c r="G18" s="1542" t="s">
        <v>1143</v>
      </c>
      <c r="H18" s="976" t="s">
        <v>1144</v>
      </c>
      <c r="I18" s="1543" t="s">
        <v>1145</v>
      </c>
      <c r="J18" s="1067"/>
      <c r="K18" s="976" t="s">
        <v>1146</v>
      </c>
      <c r="L18" s="1544" t="s">
        <v>1147</v>
      </c>
      <c r="M18" s="798" t="s">
        <v>1148</v>
      </c>
      <c r="N18" s="976" t="s">
        <v>1146</v>
      </c>
      <c r="O18" s="1544" t="s">
        <v>1147</v>
      </c>
      <c r="P18" s="798" t="s">
        <v>1148</v>
      </c>
      <c r="R18" s="43" t="s">
        <v>1149</v>
      </c>
      <c r="S18" s="43" t="s">
        <v>1150</v>
      </c>
    </row>
    <row r="19" spans="1:19">
      <c r="A19" s="1545"/>
      <c r="B19" s="45" t="s">
        <v>1123</v>
      </c>
      <c r="C19" s="3111" t="s">
        <v>3411</v>
      </c>
      <c r="D19" s="43">
        <f>ROUND($D$3*E19/$E$3,2)</f>
        <v>0</v>
      </c>
      <c r="E19" s="51">
        <f t="shared" ref="E19:E26" si="1">SUM(F19:G19)</f>
        <v>10413.970000000001</v>
      </c>
      <c r="F19" s="2553">
        <f>'数据-基础表'!I5</f>
        <v>6284.0700000000006</v>
      </c>
      <c r="G19" s="1239">
        <f>'数据-基础表'!K5</f>
        <v>4129.8999999999996</v>
      </c>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10413.970000000001</v>
      </c>
    </row>
    <row r="20" spans="1:19">
      <c r="A20" s="1545"/>
      <c r="B20" s="45" t="s">
        <v>1151</v>
      </c>
      <c r="C20" s="3111" t="s">
        <v>3461</v>
      </c>
      <c r="D20" s="43">
        <f t="shared" ref="D20:D26" si="6">ROUND($D$3*E20/$E$3,2)</f>
        <v>0</v>
      </c>
      <c r="E20" s="51">
        <f t="shared" si="1"/>
        <v>16503.550000000127</v>
      </c>
      <c r="F20" s="3165"/>
      <c r="G20" s="1239">
        <f>'数据-基础表'!M5</f>
        <v>16503.550000000127</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16503.550000000127</v>
      </c>
    </row>
    <row r="21" spans="1:19">
      <c r="A21" s="1545"/>
      <c r="B21" s="45" t="s">
        <v>1151</v>
      </c>
      <c r="C21" s="3111"/>
      <c r="D21" s="43">
        <f t="shared" si="6"/>
        <v>0</v>
      </c>
      <c r="E21" s="51">
        <f t="shared" si="1"/>
        <v>0</v>
      </c>
      <c r="F21" s="2553"/>
      <c r="G21" s="1239"/>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0</v>
      </c>
    </row>
    <row r="22" spans="1:19">
      <c r="A22" s="1545"/>
      <c r="B22" s="45" t="s">
        <v>1151</v>
      </c>
      <c r="C22" s="3111"/>
      <c r="D22" s="43">
        <f t="shared" si="6"/>
        <v>0</v>
      </c>
      <c r="E22" s="51">
        <f>SUM(F22:G22)</f>
        <v>0</v>
      </c>
      <c r="F22" s="2554"/>
      <c r="G22" s="3166"/>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0</v>
      </c>
    </row>
    <row r="23" spans="1:19">
      <c r="A23" s="1545"/>
      <c r="B23" s="45" t="s">
        <v>1151</v>
      </c>
      <c r="C23" s="3111"/>
      <c r="D23" s="43">
        <f>ROUND($D$3*E23/$E$3,2)</f>
        <v>0</v>
      </c>
      <c r="E23" s="51">
        <f>SUM(F23:G23)</f>
        <v>0</v>
      </c>
      <c r="F23" s="2554"/>
      <c r="G23" s="2555"/>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1151</v>
      </c>
      <c r="C24" s="3111"/>
      <c r="D24" s="43">
        <f>ROUND($D$3*E24/$E$3,2)</f>
        <v>0</v>
      </c>
      <c r="E24" s="51">
        <f>SUM(F24:G24)</f>
        <v>0</v>
      </c>
      <c r="F24" s="2554"/>
      <c r="G24" s="2555"/>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1151</v>
      </c>
      <c r="C25" s="3112"/>
      <c r="D25" s="43">
        <f t="shared" si="6"/>
        <v>0</v>
      </c>
      <c r="E25" s="51">
        <f t="shared" si="1"/>
        <v>0</v>
      </c>
      <c r="F25" s="2554"/>
      <c r="G25" s="2555"/>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1151</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4.5" thickBot="1">
      <c r="A27" s="1545"/>
      <c r="B27" s="43"/>
      <c r="C27" s="1550" t="s">
        <v>1152</v>
      </c>
      <c r="D27" s="1068">
        <f>SUM(D19:D26)</f>
        <v>0</v>
      </c>
      <c r="E27" s="1069">
        <f>IF(SUM(E19:E26)='数据-基础表'!BA5,SUM(E19:E26),IF(F27="地上面积有误","面积有误","地下面积有误"))</f>
        <v>26917.520000000128</v>
      </c>
      <c r="F27" s="1068">
        <f>IF(SUM(F19:F26)=E8,SUM(F19:F26),"地上面积有误")</f>
        <v>6284.0700000000006</v>
      </c>
      <c r="G27" s="1070">
        <f>SUM(G19:G26)</f>
        <v>20633.450000000128</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26917.520000000128</v>
      </c>
    </row>
    <row r="28" spans="1:19">
      <c r="A28" s="1545"/>
      <c r="B28" s="45" t="s">
        <v>1153</v>
      </c>
      <c r="C28" s="54" t="s">
        <v>1154</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5"/>
      <c r="B29" s="45" t="s">
        <v>1153</v>
      </c>
      <c r="C29" s="1551" t="s">
        <v>1155</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c r="A30" s="1545"/>
      <c r="B30" s="45"/>
      <c r="C30" s="1552" t="s">
        <v>1152</v>
      </c>
      <c r="D30" s="1068">
        <f>SUM(D28:D29)</f>
        <v>0</v>
      </c>
      <c r="E30" s="1068">
        <f>SUM(E28:E29)</f>
        <v>0</v>
      </c>
      <c r="F30" s="1068">
        <f>SUM(F28:F29)</f>
        <v>0</v>
      </c>
      <c r="G30" s="1070">
        <f>SUM(G28:G29)</f>
        <v>0</v>
      </c>
      <c r="H30" s="2434"/>
      <c r="I30" s="2434"/>
      <c r="J30" s="2434"/>
      <c r="K30" s="2434"/>
      <c r="L30" s="2434"/>
      <c r="M30" s="2434"/>
      <c r="N30" s="2434"/>
      <c r="O30" s="2434"/>
      <c r="P30" s="2434"/>
    </row>
    <row r="31" spans="1:19" ht="14.5" thickBot="1">
      <c r="A31" s="1553"/>
      <c r="B31" s="96"/>
      <c r="C31" s="781" t="s">
        <v>1156</v>
      </c>
      <c r="D31" s="643">
        <f>D27+D30</f>
        <v>0</v>
      </c>
      <c r="E31" s="643">
        <f>E27+E30</f>
        <v>26917.520000000128</v>
      </c>
      <c r="F31" s="644">
        <f>F27+F30</f>
        <v>6284.0700000000006</v>
      </c>
      <c r="G31" s="645">
        <f>G27+G30</f>
        <v>20633.450000000128</v>
      </c>
      <c r="H31" s="2434"/>
      <c r="I31" s="2434"/>
      <c r="J31" s="2434"/>
      <c r="K31" s="2434"/>
      <c r="L31" s="2434"/>
      <c r="M31" s="2434"/>
      <c r="N31" s="2434"/>
      <c r="O31" s="2434"/>
      <c r="P31" s="2434"/>
    </row>
    <row r="32" spans="1:19">
      <c r="A32" s="1522"/>
      <c r="B32" s="1522" t="s">
        <v>1157</v>
      </c>
      <c r="C32" s="1522"/>
      <c r="D32" s="1522"/>
      <c r="E32" s="986">
        <f>SUMIF(C19:C26,"*住宅*",E19:E26)</f>
        <v>0</v>
      </c>
      <c r="F32" s="1522"/>
      <c r="G32" s="1522"/>
      <c r="H32" s="2434"/>
      <c r="I32" s="2434"/>
      <c r="J32" s="2434"/>
      <c r="K32" s="2434"/>
      <c r="L32" s="2434"/>
      <c r="M32" s="2434"/>
      <c r="N32" s="2434"/>
      <c r="O32" s="2434"/>
      <c r="P32" s="2434"/>
    </row>
    <row r="33" spans="4:7">
      <c r="D33" s="1554"/>
    </row>
    <row r="37" spans="4:7">
      <c r="E37" s="3159" t="s">
        <v>3433</v>
      </c>
      <c r="F37" s="3169">
        <f>F19+F20+F21</f>
        <v>6284.0700000000006</v>
      </c>
      <c r="G37" s="3160">
        <f ca="1">(结果表!G19-(F38*G38+F39*G39)/10000)/'数据-汇总表'!F37*10000</f>
        <v>68508.466646615954</v>
      </c>
    </row>
    <row r="38" spans="4:7">
      <c r="E38" s="3159" t="s">
        <v>3434</v>
      </c>
      <c r="F38" s="1518">
        <f>G19</f>
        <v>4129.8999999999996</v>
      </c>
      <c r="G38" s="1518">
        <v>20000</v>
      </c>
    </row>
    <row r="39" spans="4:7">
      <c r="E39" s="3159" t="s">
        <v>3435</v>
      </c>
      <c r="F39" s="1518">
        <f>G21</f>
        <v>0</v>
      </c>
      <c r="G39" s="1518">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115" zoomScaleNormal="115" zoomScaleSheetLayoutView="90" workbookViewId="0">
      <pane xSplit="3" ySplit="5" topLeftCell="Q18" activePane="bottomRight" state="frozen"/>
      <selection activeCell="C50" sqref="C50"/>
      <selection pane="topRight" activeCell="C50" sqref="C50"/>
      <selection pane="bottomLeft" activeCell="C50" sqref="C50"/>
      <selection pane="bottomRight" activeCell="S24" sqref="S24"/>
    </sheetView>
  </sheetViews>
  <sheetFormatPr defaultColWidth="13.7265625" defaultRowHeight="12.5"/>
  <cols>
    <col min="1" max="1" width="20.90625" style="1614" customWidth="1"/>
    <col min="2" max="2" width="12" style="1557" customWidth="1"/>
    <col min="3" max="3" width="12.7265625" style="1557" customWidth="1"/>
    <col min="4" max="4" width="9.08984375" style="1615" customWidth="1"/>
    <col min="5" max="5" width="15" style="1557" bestFit="1" customWidth="1"/>
    <col min="6" max="10" width="8.90625" style="1557" customWidth="1"/>
    <col min="11" max="12" width="12.36328125" style="1485" customWidth="1"/>
    <col min="13" max="13" width="8.6328125" style="1557" customWidth="1"/>
    <col min="14" max="14" width="11.90625" style="1557" customWidth="1"/>
    <col min="15" max="15" width="8.453125" style="1557" customWidth="1"/>
    <col min="16" max="17" width="10.90625" style="1557" customWidth="1"/>
    <col min="18" max="19" width="12.453125" style="1557" customWidth="1"/>
    <col min="20" max="20" width="12.08984375" style="1557" customWidth="1"/>
    <col min="21" max="21" width="9.90625" style="1557" customWidth="1"/>
    <col min="22" max="22" width="6.36328125" style="1557" customWidth="1"/>
    <col min="23" max="30" width="6.7265625" style="1557" customWidth="1"/>
    <col min="31" max="31" width="8" style="1557" customWidth="1"/>
    <col min="32" max="34" width="7.26953125" style="1557" customWidth="1"/>
    <col min="35" max="39" width="8" style="1557" customWidth="1"/>
    <col min="40" max="40" width="13.7265625" style="122"/>
    <col min="41" max="41" width="11.6328125" style="122" customWidth="1"/>
    <col min="42" max="42" width="9.7265625" style="122" customWidth="1"/>
    <col min="43" max="67" width="13.7265625" style="122"/>
    <col min="68" max="16384" width="13.7265625" style="1557"/>
  </cols>
  <sheetData>
    <row r="1" spans="1:67" ht="18" thickBot="1">
      <c r="A1" s="1555" t="s">
        <v>1158</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 thickBot="1">
      <c r="A2" s="1558" t="s">
        <v>1159</v>
      </c>
      <c r="B2" s="980">
        <f>项目基本情况!D3</f>
        <v>45478</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4.5" thickBot="1">
      <c r="A4" s="57" t="s">
        <v>1160</v>
      </c>
      <c r="B4" s="1560"/>
      <c r="C4" s="1561"/>
      <c r="D4" s="1562"/>
      <c r="E4" s="1561" t="s">
        <v>1161</v>
      </c>
      <c r="F4" s="1561"/>
      <c r="G4" s="1561"/>
      <c r="H4" s="1561"/>
      <c r="I4" s="1561"/>
      <c r="J4" s="1563"/>
      <c r="K4" s="1564"/>
      <c r="L4" s="1565"/>
      <c r="M4" s="1561"/>
      <c r="N4" s="1561" t="s">
        <v>1162</v>
      </c>
      <c r="O4" s="1561"/>
      <c r="P4" s="1561"/>
      <c r="Q4" s="1561"/>
      <c r="R4" s="1561"/>
      <c r="S4" s="1563"/>
      <c r="T4" s="2433" t="str">
        <f>'数据-汇总表'!I17</f>
        <v>按面积比例</v>
      </c>
      <c r="U4" s="1560" t="s">
        <v>1163</v>
      </c>
      <c r="V4" s="1561"/>
      <c r="W4" s="1561"/>
      <c r="X4" s="1561"/>
      <c r="Y4" s="1563"/>
      <c r="Z4" s="1531" t="s">
        <v>1164</v>
      </c>
      <c r="AA4" s="1531"/>
      <c r="AB4" s="1531"/>
      <c r="AC4" s="1531"/>
      <c r="AD4" s="1531"/>
      <c r="AE4" s="1529" t="s">
        <v>1165</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3">
      <c r="A5" s="1567" t="s">
        <v>1166</v>
      </c>
      <c r="B5" s="1568" t="s">
        <v>1167</v>
      </c>
      <c r="C5" s="1569" t="s">
        <v>1168</v>
      </c>
      <c r="D5" s="1570" t="s">
        <v>1169</v>
      </c>
      <c r="E5" s="504" t="s">
        <v>1170</v>
      </c>
      <c r="F5" s="1571" t="s">
        <v>1171</v>
      </c>
      <c r="G5" s="504" t="s">
        <v>1172</v>
      </c>
      <c r="H5" s="504" t="s">
        <v>1173</v>
      </c>
      <c r="I5" s="504" t="s">
        <v>1174</v>
      </c>
      <c r="J5" s="1243" t="s">
        <v>1175</v>
      </c>
      <c r="K5" s="1572" t="s">
        <v>1176</v>
      </c>
      <c r="L5" s="1573" t="s">
        <v>1177</v>
      </c>
      <c r="M5" s="1574" t="s">
        <v>1178</v>
      </c>
      <c r="N5" s="1575" t="s">
        <v>3412</v>
      </c>
      <c r="O5" s="1573" t="s">
        <v>1179</v>
      </c>
      <c r="P5" s="1576" t="s">
        <v>1180</v>
      </c>
      <c r="Q5" s="58" t="s">
        <v>1181</v>
      </c>
      <c r="R5" s="1577" t="s">
        <v>1182</v>
      </c>
      <c r="S5" s="1578" t="s">
        <v>1183</v>
      </c>
      <c r="T5" s="1579" t="s">
        <v>1184</v>
      </c>
      <c r="U5" s="981" t="s">
        <v>1185</v>
      </c>
      <c r="V5" s="504" t="s">
        <v>1186</v>
      </c>
      <c r="W5" s="504" t="s">
        <v>1187</v>
      </c>
      <c r="X5" s="60"/>
      <c r="Y5" s="59" t="s">
        <v>1188</v>
      </c>
      <c r="Z5" s="1097" t="s">
        <v>1185</v>
      </c>
      <c r="AA5" s="504" t="s">
        <v>1186</v>
      </c>
      <c r="AB5" s="504" t="s">
        <v>1187</v>
      </c>
      <c r="AC5" s="60"/>
      <c r="AD5" s="60" t="s">
        <v>1188</v>
      </c>
      <c r="AE5" s="981" t="s">
        <v>1189</v>
      </c>
      <c r="AF5" s="504" t="s">
        <v>1190</v>
      </c>
      <c r="AG5" s="59" t="s">
        <v>1191</v>
      </c>
      <c r="AH5" s="981" t="s">
        <v>1192</v>
      </c>
      <c r="AI5" s="1097" t="s">
        <v>1193</v>
      </c>
      <c r="AJ5" s="1097" t="s">
        <v>1194</v>
      </c>
      <c r="AK5" s="504" t="s">
        <v>1195</v>
      </c>
      <c r="AL5" s="504" t="s">
        <v>1196</v>
      </c>
      <c r="AM5" s="59" t="s">
        <v>1197</v>
      </c>
      <c r="AN5" s="1580" t="s">
        <v>1198</v>
      </c>
      <c r="AO5" s="1450" t="s">
        <v>1199</v>
      </c>
      <c r="AP5" s="964" t="s">
        <v>1200</v>
      </c>
      <c r="AQ5" s="1581" t="s">
        <v>1201</v>
      </c>
      <c r="AR5" s="1581"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
      <c r="A6" s="1582" t="str">
        <f>'数据-汇总表'!C19</f>
        <v>商业</v>
      </c>
      <c r="B6" s="1583" t="str">
        <f>IF(A6=0,"","经营性")</f>
        <v>经营性</v>
      </c>
      <c r="C6" s="1584" t="s">
        <v>671</v>
      </c>
      <c r="D6" s="801">
        <f>SUMIF(项目基本情况!C$12:I$12,C6,项目基本情况!C$14:I$14)</f>
        <v>40</v>
      </c>
      <c r="E6" s="800">
        <f>IF(B6="","",SUMIF(项目基本情况!C$12:I$12,C6,项目基本情况!C$13:I$13))</f>
        <v>51810</v>
      </c>
      <c r="F6" s="61">
        <f>SUMIF(项目基本情况!C$12:I$12,C6,项目基本情况!C$15:I$15)</f>
        <v>17.34</v>
      </c>
      <c r="G6" s="62">
        <f>IF(ISERROR(ROUND(POWER(1+H6,D6-F6)*(POWER(1+H6,F6)-1)/(POWER(1+H6,D6)-1),3)),0,ROUND(POWER(1+H6,D6-F6)*(POWER(1+H6,F6)-1)/(POWER(1+H6,D6)-1),3))</f>
        <v>0.66500000000000004</v>
      </c>
      <c r="H6" s="691">
        <v>0.05</v>
      </c>
      <c r="I6" s="691">
        <v>5.5E-2</v>
      </c>
      <c r="J6" s="63">
        <v>7.0000000000000007E-2</v>
      </c>
      <c r="K6" s="966">
        <f>SUMIF('数据-汇总表'!C$19:C$33,A6,'数据-汇总表'!E$19:E$33)</f>
        <v>10413.970000000001</v>
      </c>
      <c r="L6" s="692">
        <v>6500</v>
      </c>
      <c r="M6" s="64">
        <f t="shared" ref="M6:M14" si="0">ROUND(K6*L6/10000,0)</f>
        <v>6769</v>
      </c>
      <c r="N6" s="690">
        <f>取值过程!H18</f>
        <v>0.79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5.5</v>
      </c>
      <c r="V6" s="67">
        <v>0.02</v>
      </c>
      <c r="W6" s="67">
        <v>0.1</v>
      </c>
      <c r="X6" s="975"/>
      <c r="Y6" s="68">
        <f>取值过程!H16</f>
        <v>0.78</v>
      </c>
      <c r="Z6" s="69"/>
      <c r="AA6" s="63"/>
      <c r="AB6" s="63"/>
      <c r="AC6" s="975"/>
      <c r="AD6" s="70"/>
      <c r="AE6" s="976">
        <f ca="1">IF(AN6="",0,SUMIF(INDIRECT("'"&amp;AN6&amp;"'"&amp;"!E:E"),$AE$5,INDIRECT("'"&amp;AN6&amp;"'"&amp;"!F:F")))</f>
        <v>17.34</v>
      </c>
      <c r="AF6" s="74"/>
      <c r="AG6" s="130">
        <f>IF(AF6="",0,AE6-AF6)</f>
        <v>0</v>
      </c>
      <c r="AH6" s="71"/>
      <c r="AI6" s="73">
        <v>365</v>
      </c>
      <c r="AJ6" s="74"/>
      <c r="AK6" s="75">
        <v>5.0000000000000001E-3</v>
      </c>
      <c r="AL6" s="76">
        <v>1E-3</v>
      </c>
      <c r="AM6" s="77">
        <f>AK6</f>
        <v>5.0000000000000001E-3</v>
      </c>
      <c r="AN6" s="1585" t="s">
        <v>3413</v>
      </c>
      <c r="AO6" s="50">
        <f ca="1">SUMIF(INDIRECT("'"&amp;AN6&amp;"'"&amp;"!A:A"),"总价",INDIRECT("'"&amp;AN6&amp;"'"&amp;"!B:B"))</f>
        <v>20446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
      <c r="A7" s="1582" t="str">
        <f>'数据-汇总表'!C20</f>
        <v>车库</v>
      </c>
      <c r="B7" s="1583" t="str">
        <f t="shared" ref="B7:B13" si="1">IF(A7=0,"","经营性")</f>
        <v>经营性</v>
      </c>
      <c r="C7" s="1584" t="s">
        <v>3331</v>
      </c>
      <c r="D7" s="801">
        <f>SUMIF(项目基本情况!C$12:I$12,C7,项目基本情况!C$14:I$14)</f>
        <v>50</v>
      </c>
      <c r="E7" s="800">
        <f>IF(B7="","",SUMIF(项目基本情况!C$12:I$12,C7,项目基本情况!C$13:I$13))</f>
        <v>55462</v>
      </c>
      <c r="F7" s="61">
        <f>SUMIF(项目基本情况!C$12:I$12,C7,项目基本情况!C$15:I$15)</f>
        <v>27.35</v>
      </c>
      <c r="G7" s="62">
        <f t="shared" ref="G7:G11" si="2">IF(ISERROR(ROUND(POWER(1+H7,D7-F7)*(POWER(1+H7,F7)-1)/(POWER(1+H7,D7)-1),3)),0,ROUND(POWER(1+H7,D7-F7)*(POWER(1+H7,F7)-1)/(POWER(1+H7,D7)-1),3))</f>
        <v>0.78700000000000003</v>
      </c>
      <c r="H7" s="691">
        <v>4.4999999999999998E-2</v>
      </c>
      <c r="I7" s="691">
        <v>0.05</v>
      </c>
      <c r="J7" s="63">
        <v>7.0000000000000007E-2</v>
      </c>
      <c r="K7" s="966">
        <f>SUMIF('数据-汇总表'!C$19:C$33,A7,'数据-汇总表'!E$19:E$33)</f>
        <v>16503.550000000127</v>
      </c>
      <c r="L7" s="692">
        <f>L6</f>
        <v>6500</v>
      </c>
      <c r="M7" s="64">
        <f t="shared" si="0"/>
        <v>10727</v>
      </c>
      <c r="N7" s="690">
        <f>N6</f>
        <v>0.79</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v>1500</v>
      </c>
      <c r="V7" s="67">
        <f>V6</f>
        <v>0.02</v>
      </c>
      <c r="W7" s="67">
        <f>W6</f>
        <v>0.1</v>
      </c>
      <c r="X7" s="975"/>
      <c r="Y7" s="68">
        <f>Y6</f>
        <v>0.78</v>
      </c>
      <c r="Z7" s="69"/>
      <c r="AA7" s="63"/>
      <c r="AB7" s="63"/>
      <c r="AC7" s="975"/>
      <c r="AD7" s="70"/>
      <c r="AE7" s="976">
        <f t="shared" ref="AE7:AE13" ca="1" si="6">IF(AN7="",0,SUMIF(INDIRECT("'"&amp;AN7&amp;"'"&amp;"!E:E"),$AE$5,INDIRECT("'"&amp;AN7&amp;"'"&amp;"!F:F")))</f>
        <v>27.35</v>
      </c>
      <c r="AF7" s="74"/>
      <c r="AG7" s="130">
        <f t="shared" ref="AG7:AG13" si="7">IF(AF7="",0,AE7-AF7)</f>
        <v>0</v>
      </c>
      <c r="AH7" s="71">
        <v>311</v>
      </c>
      <c r="AI7" s="73">
        <v>12</v>
      </c>
      <c r="AJ7" s="74"/>
      <c r="AK7" s="75">
        <f>AK6</f>
        <v>5.0000000000000001E-3</v>
      </c>
      <c r="AL7" s="76">
        <v>1E-3</v>
      </c>
      <c r="AM7" s="77">
        <f>AM6</f>
        <v>5.0000000000000001E-3</v>
      </c>
      <c r="AN7" s="1585" t="s">
        <v>3462</v>
      </c>
      <c r="AO7" s="50">
        <f t="shared" ref="AO7:AO13" ca="1" si="8">SUMIF(INDIRECT("'"&amp;AN7&amp;"'"&amp;"!A:A"),"总价",INDIRECT("'"&amp;AN7&amp;"'"&amp;"!B:B"))</f>
        <v>6800</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
      <c r="A8" s="1582">
        <f>'数据-汇总表'!C21</f>
        <v>0</v>
      </c>
      <c r="B8" s="1583" t="str">
        <f t="shared" si="1"/>
        <v/>
      </c>
      <c r="C8" s="1584"/>
      <c r="D8" s="801">
        <f>SUMIF(项目基本情况!C$12:I$12,C8,项目基本情况!C$14:I$14)</f>
        <v>0</v>
      </c>
      <c r="E8" s="800" t="str">
        <f>IF(B8="","",SUMIF(项目基本情况!C$12:I$12,C8,项目基本情况!C$13:I$13))</f>
        <v/>
      </c>
      <c r="F8" s="61">
        <f>SUMIF(项目基本情况!C$12:I$12,C8,项目基本情况!C$15:I$15)</f>
        <v>0</v>
      </c>
      <c r="G8" s="62">
        <f t="shared" si="2"/>
        <v>0</v>
      </c>
      <c r="H8" s="691"/>
      <c r="I8" s="691"/>
      <c r="J8" s="63"/>
      <c r="K8" s="966">
        <f>SUMIF('数据-汇总表'!C$19:C$33,A8,'数据-汇总表'!E$19:E$33)</f>
        <v>0</v>
      </c>
      <c r="L8" s="692"/>
      <c r="M8" s="64">
        <f>ROUND(K8*L8/10000,0)</f>
        <v>0</v>
      </c>
      <c r="N8" s="690"/>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8">
        <f t="shared" si="5"/>
        <v>0</v>
      </c>
      <c r="U8" s="3122"/>
      <c r="V8" s="67"/>
      <c r="W8" s="67"/>
      <c r="X8" s="975"/>
      <c r="Y8" s="68"/>
      <c r="Z8" s="69"/>
      <c r="AA8" s="63"/>
      <c r="AB8" s="63"/>
      <c r="AC8" s="975"/>
      <c r="AD8" s="70"/>
      <c r="AE8" s="976">
        <f t="shared" ca="1" si="6"/>
        <v>0</v>
      </c>
      <c r="AF8" s="74"/>
      <c r="AG8" s="130">
        <f t="shared" si="7"/>
        <v>0</v>
      </c>
      <c r="AH8" s="71"/>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91"/>
      <c r="I9" s="691"/>
      <c r="J9" s="63"/>
      <c r="K9" s="966">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91"/>
      <c r="I10" s="691"/>
      <c r="J10" s="63"/>
      <c r="K10" s="966">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91"/>
      <c r="I11" s="691"/>
      <c r="J11" s="63"/>
      <c r="K11" s="966">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7"/>
      <c r="W11" s="67"/>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
      <c r="A14" s="1587" t="s">
        <v>1203</v>
      </c>
      <c r="B14" s="1583" t="s">
        <v>1204</v>
      </c>
      <c r="C14" s="1588" t="s">
        <v>1203</v>
      </c>
      <c r="D14" s="801"/>
      <c r="E14" s="800"/>
      <c r="F14" s="61"/>
      <c r="G14" s="62"/>
      <c r="H14" s="965"/>
      <c r="I14" s="965"/>
      <c r="J14" s="965"/>
      <c r="K14" s="966">
        <f>SUMIF('数据-汇总表'!C$19:C$33,A14,'数据-汇总表'!E$19:E$33)</f>
        <v>0</v>
      </c>
      <c r="L14" s="79">
        <f>L7</f>
        <v>6500</v>
      </c>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
      <c r="A15" s="1587" t="s">
        <v>1205</v>
      </c>
      <c r="B15" s="1583" t="s">
        <v>1204</v>
      </c>
      <c r="C15" s="1588" t="s">
        <v>1206</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4.5" thickBot="1">
      <c r="A16" s="1589" t="s">
        <v>1207</v>
      </c>
      <c r="B16" s="82"/>
      <c r="C16" s="779"/>
      <c r="D16" s="1590"/>
      <c r="E16" s="82"/>
      <c r="F16" s="82"/>
      <c r="G16" s="83">
        <f>ROUND(SUMPRODUCT(G6:G13,K6:K13)/SUMPRODUCT((G6:G13&gt;0)*(K6:K13)),3)</f>
        <v>0.74</v>
      </c>
      <c r="H16" s="84">
        <f>ROUND(SUMPRODUCT(H6:H13,K6:K13)/SUMPRODUCT((H6:H13&gt;0)*(K6:K13)),3)</f>
        <v>4.7E-2</v>
      </c>
      <c r="I16" s="85"/>
      <c r="J16" s="85"/>
      <c r="K16" s="86">
        <f>SUM(K6:K15)</f>
        <v>26917.520000000128</v>
      </c>
      <c r="L16" s="87">
        <f>ROUND(M16*10000/SUM(K6:K14),0)</f>
        <v>6500</v>
      </c>
      <c r="M16" s="87">
        <f>SUM(M6:M14)</f>
        <v>17496</v>
      </c>
      <c r="N16" s="88">
        <f>ROUND(SUMPRODUCT(M6:M14,N6:N14)/M16,3)</f>
        <v>0.79</v>
      </c>
      <c r="O16" s="87">
        <f>SUM(O6:O14)</f>
        <v>0</v>
      </c>
      <c r="P16" s="87">
        <f>SUM(P6:P14)</f>
        <v>0</v>
      </c>
      <c r="Q16" s="89">
        <f>ROUND(SUMPRODUCT(Q6:Q13,K6:K13)/SUMPRODUCT((Q6:Q13&gt;0)*(K6:K13)),2)</f>
        <v>0.17</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4.5" thickBot="1">
      <c r="A18" s="57" t="s">
        <v>1208</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
      <c r="A19" s="1592" t="s">
        <v>1209</v>
      </c>
      <c r="B19" s="97">
        <v>0</v>
      </c>
      <c r="C19" s="2556" t="s">
        <v>2299</v>
      </c>
      <c r="D19" s="2447"/>
      <c r="E19" s="2434"/>
      <c r="F19" s="2434"/>
      <c r="G19" s="2434"/>
      <c r="H19" s="2434"/>
      <c r="I19" s="2434"/>
      <c r="J19" s="2434"/>
      <c r="K19" s="2445"/>
      <c r="L19" s="2445"/>
      <c r="M19" s="2444"/>
      <c r="N19" s="2444"/>
      <c r="O19" s="693" t="s">
        <v>671</v>
      </c>
      <c r="P19" s="3172">
        <f>K6</f>
        <v>10413.970000000001</v>
      </c>
      <c r="Q19" s="693">
        <v>0.25</v>
      </c>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
      <c r="A20" s="1593" t="s">
        <v>1210</v>
      </c>
      <c r="B20" s="98">
        <v>3</v>
      </c>
      <c r="C20" s="2557" t="s">
        <v>2297</v>
      </c>
      <c r="D20" s="2447"/>
      <c r="E20" s="2434"/>
      <c r="F20" s="2434"/>
      <c r="G20" s="2434"/>
      <c r="H20" s="2434"/>
      <c r="I20" s="2434"/>
      <c r="J20" s="2434"/>
      <c r="K20" s="2445"/>
      <c r="L20" s="2445"/>
      <c r="M20" s="2444"/>
      <c r="N20" s="2444"/>
      <c r="O20" s="693" t="s">
        <v>21</v>
      </c>
      <c r="P20" s="3172">
        <f>'数据-基础表'!O15</f>
        <v>0</v>
      </c>
      <c r="Q20" s="693">
        <v>0.2</v>
      </c>
      <c r="R20" s="2444"/>
      <c r="S20" s="2444"/>
      <c r="T20" s="2444"/>
      <c r="U20" s="2446"/>
      <c r="V20" s="2446"/>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
      <c r="A21" s="1594" t="s">
        <v>1211</v>
      </c>
      <c r="B21" s="98">
        <f>B20</f>
        <v>3</v>
      </c>
      <c r="C21" s="2434"/>
      <c r="D21" s="2447"/>
      <c r="E21" s="2434"/>
      <c r="F21" s="2434"/>
      <c r="G21" s="2434"/>
      <c r="H21" s="2434"/>
      <c r="I21" s="2434"/>
      <c r="J21" s="2434"/>
      <c r="K21" s="2445"/>
      <c r="L21" s="2445"/>
      <c r="M21" s="2444"/>
      <c r="N21" s="2444"/>
      <c r="O21" s="693" t="s">
        <v>3</v>
      </c>
      <c r="P21" s="3172">
        <f>'数据-基础表'!Q16</f>
        <v>0</v>
      </c>
      <c r="Q21" s="693">
        <f>Q20</f>
        <v>0.2</v>
      </c>
      <c r="R21" s="2444"/>
      <c r="S21" s="2444"/>
      <c r="T21" s="2444"/>
      <c r="U21" s="3168"/>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
      <c r="A22" s="1593" t="s">
        <v>1212</v>
      </c>
      <c r="B22" s="99">
        <f>B19+B20</f>
        <v>3</v>
      </c>
      <c r="C22" s="2434"/>
      <c r="D22" s="2447"/>
      <c r="E22" s="2434"/>
      <c r="F22" s="2434"/>
      <c r="G22" s="2434"/>
      <c r="H22" s="2434"/>
      <c r="I22" s="2434"/>
      <c r="J22" s="2434"/>
      <c r="K22" s="2445"/>
      <c r="L22" s="2445"/>
      <c r="M22" s="2444"/>
      <c r="N22" s="2444"/>
      <c r="O22" s="78" t="s">
        <v>3331</v>
      </c>
      <c r="P22" s="3173">
        <f>'数据-基础表'!M18</f>
        <v>0</v>
      </c>
      <c r="Q22" s="78">
        <v>0.1</v>
      </c>
      <c r="R22" s="2444"/>
      <c r="S22" s="2444"/>
      <c r="T22" s="2444"/>
      <c r="U22" s="3168"/>
      <c r="V22" s="3168"/>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5" thickBot="1">
      <c r="A23" s="1594" t="s">
        <v>1213</v>
      </c>
      <c r="B23" s="99">
        <f>B19+B21</f>
        <v>3</v>
      </c>
      <c r="C23" s="2434"/>
      <c r="D23" s="2447"/>
      <c r="E23" s="2434"/>
      <c r="F23" s="2434"/>
      <c r="G23" s="2434"/>
      <c r="H23" s="2434"/>
      <c r="I23" s="2434"/>
      <c r="J23" s="2434"/>
      <c r="K23" s="2445"/>
      <c r="L23" s="2445"/>
      <c r="M23" s="2444"/>
      <c r="N23" s="2444"/>
      <c r="O23" s="2444"/>
      <c r="P23" s="3170" t="s">
        <v>3443</v>
      </c>
      <c r="Q23" s="3171">
        <f>ROUND(SUMPRODUCT(Q19:Q22,P19:P22)/SUMPRODUCT((Q19:Q22&gt;0)*(P19:P22)),2)</f>
        <v>0.25</v>
      </c>
      <c r="R23" s="2444"/>
      <c r="S23" s="2444"/>
      <c r="T23" s="2444"/>
      <c r="U23" s="3168"/>
      <c r="V23" s="3168"/>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4.5" thickBot="1">
      <c r="A24" s="1595" t="s">
        <v>1214</v>
      </c>
      <c r="B24" s="100">
        <f>B20-B21</f>
        <v>0</v>
      </c>
      <c r="C24" s="2434"/>
      <c r="D24" s="2447"/>
      <c r="E24" s="2434"/>
      <c r="F24" s="2434"/>
      <c r="G24" s="2434"/>
      <c r="H24" s="2434"/>
      <c r="I24" s="2434"/>
      <c r="J24" s="2434"/>
      <c r="K24" s="2445"/>
      <c r="L24" s="2445"/>
      <c r="M24" s="2444"/>
      <c r="N24" s="2444"/>
      <c r="O24" s="2444"/>
      <c r="P24" s="3170" t="s">
        <v>3443</v>
      </c>
      <c r="Q24" s="3171" t="e">
        <f>ROUND(SUMPRODUCT(Q20:Q22,P20:P22)/SUMPRODUCT((Q20:Q22&gt;0)*(P20:P22)),2)</f>
        <v>#DIV/0!</v>
      </c>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5"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4.5" thickBot="1">
      <c r="A26" s="1558" t="s">
        <v>1215</v>
      </c>
      <c r="B26" s="1596" t="s">
        <v>1216</v>
      </c>
      <c r="C26" s="2448" t="s">
        <v>1217</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5">
      <c r="A27" s="1597" t="s">
        <v>1218</v>
      </c>
      <c r="B27" s="101">
        <v>160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5">
      <c r="A28" s="1598" t="s">
        <v>1219</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 thickBot="1">
      <c r="A29" s="1599" t="s">
        <v>1220</v>
      </c>
      <c r="B29" s="105">
        <f>[1]成本法!C10</f>
        <v>562</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
      <c r="A30" s="1600" t="s">
        <v>1221</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
      <c r="A31" s="1598" t="s">
        <v>1222</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8.5" thickBot="1">
      <c r="A32" s="1601" t="s">
        <v>1223</v>
      </c>
      <c r="B32" s="639"/>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
      <c r="A33" s="1597" t="s">
        <v>1224</v>
      </c>
      <c r="B33" s="640">
        <v>0.05</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
      <c r="A34" s="1598" t="s">
        <v>1225</v>
      </c>
      <c r="B34" s="106">
        <v>0</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
      <c r="A35" s="1598" t="s">
        <v>1226</v>
      </c>
      <c r="B35" s="103">
        <f>B30</f>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4.5" thickBot="1">
      <c r="A36" s="1599" t="s">
        <v>1227</v>
      </c>
      <c r="B36" s="107">
        <v>0.02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
      <c r="A37" s="1600" t="s">
        <v>1228</v>
      </c>
      <c r="B37" s="108">
        <v>0.03</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
      <c r="A38" s="1598" t="s">
        <v>1229</v>
      </c>
      <c r="B38" s="106">
        <v>0.03</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
      <c r="A39" s="1601" t="s">
        <v>1230</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5" thickBot="1">
      <c r="A40" s="2569" t="s">
        <v>2308</v>
      </c>
      <c r="B40" s="1011">
        <f ca="1">IF(A40="利息：取LPR",存贷款利率!G1,存贷款利率!G1+C40)</f>
        <v>3.4500000000000003E-2</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5">
      <c r="A41" s="1597" t="s">
        <v>1231</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
      <c r="A42" s="1602" t="s">
        <v>1232</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
      <c r="A43" s="1602" t="s">
        <v>1233</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
      <c r="A44" s="1603" t="s">
        <v>1234</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
      <c r="A45" s="1603" t="s">
        <v>1235</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
      <c r="A46" s="1603" t="s">
        <v>1236</v>
      </c>
      <c r="B46" s="110">
        <v>0.02</v>
      </c>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4.5" thickBot="1">
      <c r="A47" s="1604" t="s">
        <v>1237</v>
      </c>
      <c r="B47" s="113">
        <v>0</v>
      </c>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
      <c r="A48" s="1605" t="s">
        <v>1238</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4.5" thickBot="1">
      <c r="A49" s="1601" t="s">
        <v>1239</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5">
      <c r="A50" s="1606" t="s">
        <v>1240</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1241</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
      <c r="A52" s="1606" t="s">
        <v>1242</v>
      </c>
      <c r="B52" s="117">
        <f>SUMIF(A54:A63,B53,B54:B63)</f>
        <v>30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
      <c r="A53" s="1598" t="s">
        <v>1243</v>
      </c>
      <c r="B53" s="1607" t="s">
        <v>144</v>
      </c>
      <c r="C53" s="2435" t="s">
        <v>1244</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
      <c r="A54" s="1608" t="s">
        <v>1245</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
      <c r="A55" s="1608" t="s">
        <v>1246</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
      <c r="A56" s="1608" t="s">
        <v>1247</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
      <c r="A57" s="1608" t="s">
        <v>1248</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
      <c r="A58" s="1608" t="s">
        <v>1249</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
      <c r="A59" s="1608" t="s">
        <v>1250</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
      <c r="A60" s="1608" t="s">
        <v>1251</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
      <c r="A61" s="1608" t="s">
        <v>1252</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
      <c r="A62" s="1608" t="s">
        <v>1253</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4.5" thickBot="1">
      <c r="A63" s="1609" t="s">
        <v>1254</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
  <cols>
    <col min="1" max="1" width="9.453125" style="1518" customWidth="1"/>
    <col min="2" max="3" width="24.453125" style="508" customWidth="1"/>
    <col min="4" max="4" width="2.6328125" style="508" customWidth="1"/>
    <col min="5" max="5" width="5.90625" style="508" customWidth="1"/>
    <col min="6" max="7" width="27" style="508" customWidth="1"/>
    <col min="8" max="8" width="11.90625" style="2273" customWidth="1"/>
    <col min="9" max="9" width="16.7265625" style="2273" customWidth="1"/>
    <col min="10" max="10" width="2.6328125" style="2273" customWidth="1"/>
    <col min="11" max="11" width="11.90625" style="2273" customWidth="1"/>
    <col min="12" max="12" width="16.7265625" style="2273" customWidth="1"/>
    <col min="13" max="13" width="2.6328125" style="2273" customWidth="1"/>
    <col min="14" max="14" width="11.90625" style="2273" customWidth="1"/>
    <col min="15" max="15" width="16.7265625" style="2273" customWidth="1"/>
    <col min="16" max="16" width="2.6328125" style="2273" customWidth="1"/>
    <col min="17" max="17" width="11.90625" style="2273" customWidth="1"/>
    <col min="18" max="18" width="16.7265625" style="747" customWidth="1"/>
    <col min="19" max="29" width="9" style="747"/>
    <col min="30" max="16384" width="9" style="1518"/>
  </cols>
  <sheetData>
    <row r="1" spans="1:29" s="2255" customFormat="1" ht="18.5" thickBot="1">
      <c r="A1" s="3285" t="s">
        <v>2280</v>
      </c>
      <c r="B1" s="3286"/>
      <c r="C1" s="3286"/>
      <c r="D1" s="3286"/>
      <c r="E1" s="3286"/>
      <c r="F1" s="3286"/>
      <c r="G1" s="328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5" thickBot="1">
      <c r="A2" s="2256"/>
      <c r="B2" s="2257"/>
      <c r="C2" s="2258" t="s">
        <v>2276</v>
      </c>
      <c r="D2" s="1591"/>
      <c r="E2" s="2256"/>
      <c r="F2" s="2259"/>
      <c r="G2" s="2258" t="s">
        <v>2277</v>
      </c>
      <c r="H2" s="747"/>
      <c r="I2" s="747"/>
      <c r="J2" s="747"/>
      <c r="K2" s="747"/>
      <c r="L2" s="747"/>
      <c r="M2" s="747"/>
      <c r="N2" s="747"/>
      <c r="O2" s="747"/>
      <c r="P2" s="747"/>
      <c r="Q2" s="747"/>
    </row>
    <row r="3" spans="1:29" ht="26">
      <c r="A3" s="2243" t="s">
        <v>2278</v>
      </c>
      <c r="B3" s="2260" t="s">
        <v>2250</v>
      </c>
      <c r="C3" s="2261"/>
      <c r="D3" s="2262"/>
      <c r="E3" s="2244" t="s">
        <v>2278</v>
      </c>
      <c r="F3" s="2263" t="s">
        <v>2251</v>
      </c>
      <c r="G3" s="2264" t="s">
        <v>2279</v>
      </c>
      <c r="H3" s="747"/>
      <c r="I3" s="747"/>
      <c r="J3" s="747"/>
      <c r="K3" s="747"/>
      <c r="L3" s="747"/>
      <c r="M3" s="747"/>
      <c r="N3" s="747"/>
      <c r="O3" s="747"/>
      <c r="P3" s="747"/>
      <c r="Q3" s="747"/>
    </row>
    <row r="4" spans="1:29" ht="39">
      <c r="A4" s="2244"/>
      <c r="B4" s="315" t="s">
        <v>2252</v>
      </c>
      <c r="C4" s="2265" t="s">
        <v>3414</v>
      </c>
      <c r="D4" s="2262"/>
      <c r="E4" s="2266"/>
      <c r="F4" s="1277" t="s">
        <v>2253</v>
      </c>
      <c r="G4" s="2267" t="s">
        <v>2254</v>
      </c>
      <c r="H4" s="747"/>
      <c r="I4" s="747"/>
      <c r="J4" s="747"/>
      <c r="K4" s="747"/>
      <c r="L4" s="747"/>
      <c r="M4" s="747"/>
      <c r="N4" s="747"/>
      <c r="O4" s="747"/>
      <c r="P4" s="747"/>
      <c r="Q4" s="747"/>
    </row>
    <row r="5" spans="1:29" ht="26">
      <c r="A5" s="2244"/>
      <c r="B5" s="315" t="s">
        <v>2255</v>
      </c>
      <c r="C5" s="2265"/>
      <c r="D5" s="2262"/>
      <c r="E5" s="2266"/>
      <c r="F5" s="315" t="s">
        <v>2256</v>
      </c>
      <c r="G5" s="2267" t="s">
        <v>2257</v>
      </c>
      <c r="H5" s="747"/>
      <c r="I5" s="747"/>
      <c r="J5" s="747"/>
      <c r="K5" s="747"/>
      <c r="L5" s="747"/>
      <c r="M5" s="747"/>
      <c r="N5" s="747"/>
      <c r="O5" s="747"/>
      <c r="P5" s="747"/>
      <c r="Q5" s="747"/>
    </row>
    <row r="6" spans="1:29" ht="39">
      <c r="A6" s="2244"/>
      <c r="B6" s="315" t="s">
        <v>2258</v>
      </c>
      <c r="C6" s="2267" t="s">
        <v>2254</v>
      </c>
      <c r="D6" s="2262"/>
      <c r="E6" s="2266"/>
      <c r="F6" s="315" t="s">
        <v>2259</v>
      </c>
      <c r="G6" s="2267" t="s">
        <v>2260</v>
      </c>
      <c r="H6" s="747"/>
      <c r="I6" s="747"/>
      <c r="J6" s="747"/>
      <c r="K6" s="747"/>
      <c r="L6" s="747"/>
      <c r="M6" s="747"/>
      <c r="N6" s="747"/>
      <c r="O6" s="747"/>
      <c r="P6" s="747"/>
      <c r="Q6" s="747"/>
    </row>
    <row r="7" spans="1:29" ht="39.5" thickBot="1">
      <c r="A7" s="2244"/>
      <c r="B7" s="315" t="s">
        <v>2256</v>
      </c>
      <c r="C7" s="3157" t="s">
        <v>3415</v>
      </c>
      <c r="D7" s="2241"/>
      <c r="E7" s="2268"/>
      <c r="F7" s="2269" t="s">
        <v>2261</v>
      </c>
      <c r="G7" s="2270" t="s">
        <v>2262</v>
      </c>
      <c r="H7" s="747"/>
      <c r="I7" s="747"/>
      <c r="J7" s="747"/>
      <c r="K7" s="747"/>
      <c r="L7" s="747"/>
      <c r="M7" s="747"/>
      <c r="N7" s="747"/>
      <c r="O7" s="747"/>
      <c r="P7" s="747"/>
      <c r="Q7" s="747"/>
    </row>
    <row r="8" spans="1:29" ht="26">
      <c r="A8" s="2244"/>
      <c r="B8" s="315" t="s">
        <v>2259</v>
      </c>
      <c r="C8" s="2267" t="s">
        <v>2260</v>
      </c>
      <c r="D8" s="2241"/>
      <c r="E8" s="2241"/>
      <c r="F8" s="121"/>
      <c r="G8" s="121"/>
      <c r="H8" s="747"/>
      <c r="I8" s="747"/>
      <c r="J8" s="747"/>
      <c r="K8" s="747"/>
      <c r="L8" s="747"/>
      <c r="M8" s="747"/>
      <c r="N8" s="747"/>
      <c r="O8" s="747"/>
      <c r="P8" s="747"/>
      <c r="Q8" s="747"/>
    </row>
    <row r="9" spans="1:29" ht="26">
      <c r="A9" s="2244"/>
      <c r="B9" s="315" t="s">
        <v>2263</v>
      </c>
      <c r="C9" s="3158" t="s">
        <v>3416</v>
      </c>
      <c r="D9" s="2262"/>
      <c r="E9" s="2241"/>
      <c r="F9" s="121"/>
      <c r="G9" s="121"/>
      <c r="H9" s="747"/>
      <c r="I9" s="747"/>
      <c r="J9" s="747"/>
      <c r="K9" s="747"/>
      <c r="L9" s="747"/>
      <c r="M9" s="747"/>
      <c r="N9" s="747"/>
      <c r="O9" s="747"/>
      <c r="P9" s="747"/>
      <c r="Q9" s="747"/>
    </row>
    <row r="10" spans="1:29" ht="14.5" thickBot="1">
      <c r="A10" s="2245"/>
      <c r="B10" s="2271" t="s">
        <v>2264</v>
      </c>
      <c r="C10" s="2272" t="s">
        <v>3417</v>
      </c>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4.5" thickBot="1">
      <c r="A13" s="2280" t="s">
        <v>2281</v>
      </c>
      <c r="B13" s="2276"/>
      <c r="C13" s="2276"/>
      <c r="D13" s="2275"/>
      <c r="E13" s="2276"/>
      <c r="F13" s="2276"/>
      <c r="G13" s="2276"/>
    </row>
    <row r="14" spans="1:29" ht="14.5" thickBot="1">
      <c r="A14" s="2281"/>
      <c r="B14" s="2281"/>
      <c r="C14" s="2282" t="s">
        <v>2265</v>
      </c>
      <c r="D14" s="2262"/>
      <c r="E14" s="2283"/>
      <c r="F14" s="2283"/>
      <c r="G14" s="2258" t="s">
        <v>2266</v>
      </c>
    </row>
    <row r="15" spans="1:29" ht="26">
      <c r="A15" s="2246" t="s">
        <v>2267</v>
      </c>
      <c r="B15" s="2284" t="s">
        <v>2250</v>
      </c>
      <c r="C15" s="2285">
        <f>C3</f>
        <v>0</v>
      </c>
      <c r="D15" s="2262"/>
      <c r="E15" s="2247" t="s">
        <v>2268</v>
      </c>
      <c r="F15" s="2284" t="s">
        <v>2269</v>
      </c>
      <c r="G15" s="2286" t="str">
        <f>G3</f>
        <v>估价对象位于XX开发区，园区建设成熟度XX，产业集聚程度XX</v>
      </c>
    </row>
    <row r="16" spans="1:29" ht="37.5">
      <c r="A16" s="2248"/>
      <c r="B16" s="2287" t="s">
        <v>2252</v>
      </c>
      <c r="C16" s="2288" t="str">
        <f>C4</f>
        <v>估价对象位于XX商圈，周边商业氛围成熟，人流量大，商业繁华度较好</v>
      </c>
      <c r="D16" s="2262"/>
      <c r="E16" s="2249"/>
      <c r="F16" s="2289" t="s">
        <v>2253</v>
      </c>
      <c r="G16" s="2290" t="str">
        <f>G4</f>
        <v>估价对象周边道路状况、公共交通通达情况、停车便捷程度，综合评价交通便捷度较好</v>
      </c>
    </row>
    <row r="17" spans="1:17">
      <c r="A17" s="2248"/>
      <c r="B17" s="2287" t="s">
        <v>2255</v>
      </c>
      <c r="C17" s="2288">
        <f>C5</f>
        <v>0</v>
      </c>
      <c r="D17" s="2241"/>
      <c r="E17" s="2249"/>
      <c r="F17" s="2289" t="s">
        <v>2270</v>
      </c>
      <c r="G17" s="2291"/>
    </row>
    <row r="18" spans="1:17" ht="37.5">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5">
      <c r="A19" s="2248"/>
      <c r="B19" s="2289" t="s">
        <v>2271</v>
      </c>
      <c r="C19" s="2291"/>
      <c r="D19" s="2262"/>
      <c r="E19" s="2249"/>
      <c r="F19" s="315" t="s">
        <v>2256</v>
      </c>
      <c r="G19" s="2290" t="str">
        <f>G5</f>
        <v>估价对象所在区域公共配套设施齐备情况</v>
      </c>
    </row>
    <row r="20" spans="1:17" ht="25">
      <c r="A20" s="2248"/>
      <c r="B20" s="2289" t="s">
        <v>2272</v>
      </c>
      <c r="C20" s="2288" t="str">
        <f>C9</f>
        <v>区域自然环境：；人文环境；综合评价环境状况较好</v>
      </c>
      <c r="D20" s="2241"/>
      <c r="E20" s="2249"/>
      <c r="F20" s="315" t="s">
        <v>2259</v>
      </c>
      <c r="G20" s="2290" t="str">
        <f>G6</f>
        <v>估价对象所在区域基础设施水平</v>
      </c>
    </row>
    <row r="21" spans="1:17" ht="25">
      <c r="A21" s="2248"/>
      <c r="B21" s="315" t="s">
        <v>2256</v>
      </c>
      <c r="C21" s="2290" t="str">
        <f>C7</f>
        <v>估价对象所在区域公共配套设施齐备情况较好</v>
      </c>
      <c r="D21" s="2262"/>
      <c r="E21" s="2249"/>
      <c r="F21" s="2289" t="s">
        <v>2273</v>
      </c>
      <c r="G21" s="2292"/>
    </row>
    <row r="22" spans="1:17" ht="13.5" customHeight="1">
      <c r="A22" s="2248"/>
      <c r="B22" s="315" t="s">
        <v>2259</v>
      </c>
      <c r="C22" s="2290" t="str">
        <f>C8</f>
        <v>估价对象所在区域基础设施水平</v>
      </c>
      <c r="D22" s="2262"/>
      <c r="E22" s="2249"/>
      <c r="F22" s="2289" t="s">
        <v>2264</v>
      </c>
      <c r="G22" s="2291"/>
    </row>
    <row r="23" spans="1:17" s="747" customFormat="1" ht="14.5" thickBot="1">
      <c r="A23" s="2248"/>
      <c r="B23" s="2289" t="s">
        <v>2273</v>
      </c>
      <c r="C23" s="2292"/>
      <c r="D23" s="1610"/>
      <c r="E23" s="2250"/>
      <c r="F23" s="2293" t="s">
        <v>2274</v>
      </c>
      <c r="G23" s="2294"/>
      <c r="H23" s="2273"/>
      <c r="I23" s="2273"/>
      <c r="J23" s="2273"/>
      <c r="K23" s="2273"/>
      <c r="L23" s="2273"/>
      <c r="M23" s="2273"/>
      <c r="N23" s="2273"/>
      <c r="O23" s="2273"/>
      <c r="P23" s="2273"/>
      <c r="Q23" s="2273"/>
    </row>
    <row r="24" spans="1:17" s="747" customFormat="1" ht="14.5" thickBot="1">
      <c r="A24" s="2251"/>
      <c r="B24" s="2293" t="s">
        <v>2275</v>
      </c>
      <c r="C24" s="2295" t="str">
        <f>C10</f>
        <v>主干道-工人体育场路</v>
      </c>
      <c r="D24" s="1610"/>
      <c r="E24" s="2241"/>
      <c r="F24" s="2241"/>
      <c r="G24" s="2241"/>
      <c r="H24" s="2273"/>
      <c r="I24" s="2273"/>
      <c r="J24" s="2273"/>
      <c r="K24" s="2273"/>
      <c r="L24" s="2273"/>
      <c r="M24" s="2273"/>
      <c r="N24" s="2273"/>
      <c r="O24" s="2273"/>
      <c r="P24" s="2273"/>
      <c r="Q24" s="2273"/>
    </row>
    <row r="25" spans="1:17" s="747" customFormat="1">
      <c r="B25" s="2273"/>
      <c r="C25" s="2273"/>
      <c r="D25" s="2273"/>
      <c r="H25" s="2273"/>
      <c r="I25" s="2273"/>
      <c r="J25" s="2273"/>
      <c r="K25" s="2273"/>
      <c r="L25" s="2273"/>
      <c r="M25" s="2273"/>
      <c r="N25" s="2273"/>
      <c r="O25" s="2273"/>
      <c r="P25" s="2273"/>
      <c r="Q25" s="2273"/>
    </row>
    <row r="26" spans="1:17" s="747" customFormat="1">
      <c r="B26" s="2273"/>
      <c r="C26" s="2273"/>
      <c r="D26" s="2273"/>
      <c r="H26" s="2273"/>
      <c r="I26" s="2273"/>
      <c r="J26" s="2273"/>
      <c r="K26" s="2273"/>
      <c r="L26" s="2273"/>
      <c r="M26" s="2273"/>
      <c r="N26" s="2273"/>
      <c r="O26" s="2273"/>
      <c r="P26" s="2273"/>
      <c r="Q26" s="2273"/>
    </row>
    <row r="27" spans="1:17" s="747" customFormat="1">
      <c r="B27" s="2273"/>
      <c r="C27" s="2273"/>
      <c r="D27" s="2273"/>
      <c r="H27" s="2273"/>
      <c r="I27" s="2273"/>
      <c r="J27" s="2273"/>
      <c r="K27" s="2273"/>
      <c r="L27" s="2273"/>
      <c r="M27" s="2273"/>
      <c r="N27" s="2273"/>
      <c r="O27" s="2273"/>
      <c r="P27" s="2273"/>
      <c r="Q27" s="2273"/>
    </row>
    <row r="28" spans="1:17" s="747" customFormat="1">
      <c r="B28" s="2273"/>
      <c r="C28" s="2273"/>
      <c r="D28" s="2273"/>
      <c r="H28" s="2273"/>
      <c r="I28" s="2273"/>
      <c r="J28" s="2273"/>
      <c r="K28" s="2273"/>
      <c r="L28" s="2273"/>
      <c r="M28" s="2273"/>
      <c r="N28" s="2273"/>
      <c r="O28" s="2273"/>
      <c r="P28" s="2273"/>
      <c r="Q28" s="2273"/>
    </row>
    <row r="29" spans="1:17" s="747" customFormat="1">
      <c r="B29" s="2273"/>
      <c r="C29" s="2273"/>
      <c r="D29" s="2273"/>
      <c r="H29" s="2273"/>
      <c r="I29" s="2273"/>
      <c r="J29" s="2273"/>
      <c r="K29" s="2273"/>
      <c r="L29" s="2273"/>
      <c r="M29" s="2273"/>
      <c r="N29" s="2273"/>
      <c r="O29" s="2273"/>
      <c r="P29" s="2273"/>
      <c r="Q29" s="2273"/>
    </row>
    <row r="30" spans="1:17" s="747" customFormat="1">
      <c r="B30" s="2273"/>
      <c r="C30" s="2273"/>
      <c r="D30" s="2273"/>
      <c r="H30" s="2273"/>
      <c r="I30" s="2273"/>
      <c r="J30" s="2273"/>
      <c r="K30" s="2273"/>
      <c r="L30" s="2273"/>
      <c r="M30" s="2273"/>
      <c r="N30" s="2273"/>
      <c r="O30" s="2273"/>
      <c r="P30" s="2273"/>
      <c r="Q30" s="2273"/>
    </row>
    <row r="31" spans="1:17" s="747" customFormat="1">
      <c r="B31" s="2273"/>
      <c r="C31" s="2273"/>
      <c r="D31" s="2273"/>
      <c r="H31" s="2273"/>
      <c r="I31" s="2273"/>
      <c r="J31" s="2273"/>
      <c r="K31" s="2273"/>
      <c r="L31" s="2273"/>
      <c r="M31" s="2273"/>
      <c r="N31" s="2273"/>
      <c r="O31" s="2273"/>
      <c r="P31" s="2273"/>
      <c r="Q31" s="2273"/>
    </row>
    <row r="32" spans="1:17" s="747" customFormat="1">
      <c r="B32" s="2273"/>
      <c r="C32" s="2273"/>
      <c r="D32" s="2273"/>
      <c r="H32" s="2273"/>
      <c r="I32" s="2273"/>
      <c r="J32" s="2273"/>
      <c r="K32" s="2273"/>
      <c r="L32" s="2273"/>
      <c r="M32" s="2273"/>
      <c r="N32" s="2273"/>
      <c r="O32" s="2273"/>
      <c r="P32" s="2273"/>
      <c r="Q32" s="2273"/>
    </row>
    <row r="33" spans="2:17" s="747" customFormat="1">
      <c r="B33" s="2273"/>
      <c r="C33" s="2273"/>
      <c r="D33" s="2273"/>
      <c r="H33" s="2273"/>
      <c r="I33" s="2273"/>
      <c r="J33" s="2273"/>
      <c r="K33" s="2273"/>
      <c r="L33" s="2273"/>
      <c r="M33" s="2273"/>
      <c r="N33" s="2273"/>
      <c r="O33" s="2273"/>
      <c r="P33" s="2273"/>
      <c r="Q33" s="2273"/>
    </row>
    <row r="34" spans="2:17" s="747" customFormat="1">
      <c r="B34" s="2273"/>
      <c r="C34" s="2273"/>
      <c r="D34" s="2273"/>
      <c r="H34" s="2273"/>
      <c r="I34" s="2273"/>
      <c r="J34" s="2273"/>
      <c r="K34" s="2273"/>
      <c r="L34" s="2273"/>
      <c r="M34" s="2273"/>
      <c r="N34" s="2273"/>
      <c r="O34" s="2273"/>
      <c r="P34" s="2273"/>
      <c r="Q34" s="2273"/>
    </row>
    <row r="35" spans="2:17" s="747" customFormat="1">
      <c r="B35" s="2273"/>
      <c r="C35" s="2273"/>
      <c r="D35" s="2273"/>
      <c r="H35" s="2273"/>
      <c r="I35" s="2273"/>
      <c r="J35" s="2273"/>
      <c r="K35" s="2273"/>
      <c r="L35" s="2273"/>
      <c r="M35" s="2273"/>
      <c r="N35" s="2273"/>
      <c r="O35" s="2273"/>
      <c r="P35" s="2273"/>
      <c r="Q35" s="2273"/>
    </row>
    <row r="36" spans="2:17" s="747" customFormat="1">
      <c r="B36" s="2273"/>
      <c r="C36" s="2273"/>
      <c r="D36" s="2273"/>
      <c r="H36" s="2273"/>
      <c r="I36" s="2273"/>
      <c r="J36" s="2273"/>
      <c r="K36" s="2273"/>
      <c r="L36" s="2273"/>
      <c r="M36" s="2273"/>
      <c r="N36" s="2273"/>
      <c r="O36" s="2273"/>
      <c r="P36" s="2273"/>
      <c r="Q36" s="2273"/>
    </row>
    <row r="37" spans="2:17" s="747" customFormat="1">
      <c r="B37" s="2273"/>
      <c r="C37" s="2273"/>
      <c r="D37" s="2273"/>
      <c r="H37" s="2273"/>
      <c r="I37" s="2273"/>
      <c r="J37" s="2273"/>
      <c r="K37" s="2273"/>
      <c r="L37" s="2273"/>
      <c r="M37" s="2273"/>
      <c r="N37" s="2273"/>
      <c r="O37" s="2273"/>
      <c r="P37" s="2273"/>
      <c r="Q37" s="2273"/>
    </row>
    <row r="38" spans="2:17" s="747" customFormat="1">
      <c r="B38" s="2273"/>
      <c r="C38" s="2273"/>
      <c r="D38" s="2273"/>
      <c r="E38" s="2273"/>
      <c r="F38" s="2273"/>
      <c r="G38" s="2273"/>
      <c r="H38" s="2273"/>
      <c r="I38" s="2273"/>
      <c r="J38" s="2273"/>
      <c r="K38" s="2273"/>
      <c r="L38" s="2273"/>
      <c r="M38" s="2273"/>
      <c r="N38" s="2273"/>
      <c r="O38" s="2273"/>
      <c r="P38" s="2273"/>
      <c r="Q38" s="2273"/>
    </row>
    <row r="39" spans="2:17" s="747" customFormat="1">
      <c r="B39" s="2273"/>
      <c r="C39" s="2273"/>
      <c r="D39" s="2273"/>
      <c r="E39" s="2273"/>
      <c r="F39" s="2273"/>
      <c r="G39" s="2273"/>
      <c r="H39" s="2273"/>
      <c r="I39" s="2273"/>
      <c r="J39" s="2273"/>
      <c r="K39" s="2273"/>
      <c r="L39" s="2273"/>
      <c r="M39" s="2273"/>
      <c r="N39" s="2273"/>
      <c r="O39" s="2273"/>
      <c r="P39" s="2273"/>
      <c r="Q39" s="2273"/>
    </row>
    <row r="40" spans="2:17" s="747" customFormat="1">
      <c r="B40" s="2273"/>
      <c r="C40" s="2273"/>
      <c r="D40" s="2273"/>
      <c r="E40" s="2273"/>
      <c r="F40" s="2273"/>
      <c r="G40" s="2273"/>
      <c r="H40" s="2273"/>
      <c r="I40" s="2273"/>
      <c r="J40" s="2273"/>
      <c r="K40" s="2273"/>
      <c r="L40" s="2273"/>
      <c r="M40" s="2273"/>
      <c r="N40" s="2273"/>
      <c r="O40" s="2273"/>
      <c r="P40" s="2273"/>
      <c r="Q40" s="2273"/>
    </row>
    <row r="41" spans="2:17" s="747" customFormat="1">
      <c r="B41" s="2273"/>
      <c r="C41" s="2273"/>
      <c r="D41" s="2273"/>
      <c r="E41" s="2273"/>
      <c r="F41" s="2273"/>
      <c r="G41" s="2273"/>
      <c r="H41" s="2273"/>
      <c r="I41" s="2273"/>
      <c r="J41" s="2273"/>
      <c r="K41" s="2273"/>
      <c r="L41" s="2273"/>
      <c r="M41" s="2273"/>
      <c r="N41" s="2273"/>
      <c r="O41" s="2273"/>
      <c r="P41" s="2273"/>
      <c r="Q41" s="2273"/>
    </row>
    <row r="42" spans="2:17" s="747" customFormat="1">
      <c r="B42" s="2273"/>
      <c r="C42" s="2273"/>
      <c r="D42" s="2273"/>
      <c r="E42" s="2273"/>
      <c r="F42" s="2273"/>
      <c r="G42" s="2273"/>
      <c r="H42" s="2273"/>
      <c r="I42" s="2273"/>
      <c r="J42" s="2273"/>
      <c r="K42" s="2273"/>
      <c r="L42" s="2273"/>
      <c r="M42" s="2273"/>
      <c r="N42" s="2273"/>
      <c r="O42" s="2273"/>
      <c r="P42" s="2273"/>
      <c r="Q42" s="2273"/>
    </row>
    <row r="43" spans="2:17" s="747" customFormat="1">
      <c r="B43" s="2273"/>
      <c r="C43" s="2273"/>
      <c r="D43" s="2273"/>
      <c r="E43" s="2273"/>
      <c r="F43" s="2273"/>
      <c r="G43" s="2273"/>
      <c r="H43" s="2273"/>
      <c r="I43" s="2273"/>
      <c r="J43" s="2273"/>
      <c r="K43" s="2273"/>
      <c r="L43" s="2273"/>
      <c r="M43" s="2273"/>
      <c r="N43" s="2273"/>
      <c r="O43" s="2273"/>
      <c r="P43" s="2273"/>
      <c r="Q43" s="2273"/>
    </row>
    <row r="44" spans="2:17" s="747" customFormat="1">
      <c r="B44" s="2273"/>
      <c r="C44" s="2273"/>
      <c r="D44" s="2273"/>
      <c r="E44" s="2273"/>
      <c r="F44" s="2273"/>
      <c r="G44" s="2273"/>
      <c r="H44" s="2273"/>
      <c r="I44" s="2273"/>
      <c r="J44" s="2273"/>
      <c r="K44" s="2273"/>
      <c r="L44" s="2273"/>
      <c r="M44" s="2273"/>
      <c r="N44" s="2273"/>
      <c r="O44" s="2273"/>
      <c r="P44" s="2273"/>
      <c r="Q44" s="2273"/>
    </row>
    <row r="45" spans="2:17" s="747" customFormat="1">
      <c r="B45" s="2273"/>
      <c r="C45" s="2273"/>
      <c r="D45" s="2273"/>
      <c r="E45" s="2273"/>
      <c r="F45" s="2273"/>
      <c r="G45" s="2273"/>
      <c r="H45" s="2273"/>
      <c r="I45" s="2273"/>
      <c r="J45" s="2273"/>
      <c r="K45" s="2273"/>
      <c r="L45" s="2273"/>
      <c r="M45" s="2273"/>
      <c r="N45" s="2273"/>
      <c r="O45" s="2273"/>
      <c r="P45" s="2273"/>
      <c r="Q45" s="2273"/>
    </row>
    <row r="46" spans="2:17" s="747" customFormat="1">
      <c r="B46" s="2273"/>
      <c r="C46" s="2273"/>
      <c r="D46" s="2273"/>
      <c r="E46" s="2273"/>
      <c r="F46" s="2273"/>
      <c r="G46" s="2273"/>
      <c r="H46" s="2273"/>
      <c r="I46" s="2273"/>
      <c r="J46" s="2273"/>
      <c r="K46" s="2273"/>
      <c r="L46" s="2273"/>
      <c r="M46" s="2273"/>
      <c r="N46" s="2273"/>
      <c r="O46" s="2273"/>
      <c r="P46" s="2273"/>
      <c r="Q46" s="2273"/>
    </row>
    <row r="47" spans="2:17" s="747" customFormat="1">
      <c r="B47" s="2273"/>
      <c r="C47" s="2273"/>
      <c r="D47" s="2273"/>
      <c r="E47" s="2273"/>
      <c r="F47" s="2273"/>
      <c r="G47" s="2273"/>
      <c r="H47" s="2273"/>
      <c r="I47" s="2273"/>
      <c r="J47" s="2273"/>
      <c r="K47" s="2273"/>
      <c r="L47" s="2273"/>
      <c r="M47" s="2273"/>
      <c r="N47" s="2273"/>
      <c r="O47" s="2273"/>
      <c r="P47" s="2273"/>
      <c r="Q47" s="2273"/>
    </row>
    <row r="48" spans="2:17" s="747" customFormat="1">
      <c r="B48" s="2273"/>
      <c r="C48" s="2273"/>
      <c r="D48" s="2273"/>
      <c r="E48" s="2273"/>
      <c r="F48" s="2273"/>
      <c r="G48" s="2273"/>
      <c r="H48" s="2273"/>
      <c r="I48" s="2273"/>
      <c r="J48" s="2273"/>
      <c r="K48" s="2273"/>
      <c r="L48" s="2273"/>
      <c r="M48" s="2273"/>
      <c r="N48" s="2273"/>
      <c r="O48" s="2273"/>
      <c r="P48" s="2273"/>
      <c r="Q48" s="2273"/>
    </row>
    <row r="49" spans="2:17" s="747" customFormat="1">
      <c r="B49" s="2273"/>
      <c r="C49" s="2273"/>
      <c r="D49" s="2273"/>
      <c r="E49" s="2273"/>
      <c r="F49" s="2273"/>
      <c r="G49" s="2273"/>
      <c r="H49" s="2273"/>
      <c r="I49" s="2273"/>
      <c r="J49" s="2273"/>
      <c r="K49" s="2273"/>
      <c r="L49" s="2273"/>
      <c r="M49" s="2273"/>
      <c r="N49" s="2273"/>
      <c r="O49" s="2273"/>
      <c r="P49" s="2273"/>
      <c r="Q49" s="2273"/>
    </row>
    <row r="50" spans="2:17" s="747" customFormat="1">
      <c r="B50" s="2273"/>
      <c r="C50" s="2273"/>
      <c r="D50" s="2273"/>
      <c r="E50" s="2273"/>
      <c r="F50" s="2273"/>
      <c r="G50" s="2273"/>
      <c r="H50" s="2273"/>
      <c r="I50" s="2273"/>
      <c r="J50" s="2273"/>
      <c r="K50" s="2273"/>
      <c r="L50" s="2273"/>
      <c r="M50" s="2273"/>
      <c r="N50" s="2273"/>
      <c r="O50" s="2273"/>
      <c r="P50" s="2273"/>
      <c r="Q50" s="2273"/>
    </row>
    <row r="51" spans="2:17" s="747" customFormat="1">
      <c r="B51" s="2273"/>
      <c r="C51" s="2273"/>
      <c r="D51" s="2273"/>
      <c r="E51" s="2273"/>
      <c r="F51" s="2273"/>
      <c r="G51" s="2273"/>
      <c r="H51" s="2273"/>
      <c r="I51" s="2273"/>
      <c r="J51" s="2273"/>
      <c r="K51" s="2273"/>
      <c r="L51" s="2273"/>
      <c r="M51" s="2273"/>
      <c r="N51" s="2273"/>
      <c r="O51" s="2273"/>
      <c r="P51" s="2273"/>
      <c r="Q51" s="2273"/>
    </row>
    <row r="52" spans="2:17" s="747" customFormat="1">
      <c r="B52" s="2273"/>
      <c r="C52" s="2273"/>
      <c r="D52" s="2273"/>
      <c r="E52" s="2273"/>
      <c r="F52" s="2273"/>
      <c r="G52" s="2273"/>
      <c r="H52" s="2273"/>
      <c r="I52" s="2273"/>
      <c r="J52" s="2273"/>
      <c r="K52" s="2273"/>
      <c r="L52" s="2273"/>
      <c r="M52" s="2273"/>
      <c r="N52" s="2273"/>
      <c r="O52" s="2273"/>
      <c r="P52" s="2273"/>
      <c r="Q52" s="2273"/>
    </row>
    <row r="53" spans="2:17" s="747" customFormat="1">
      <c r="B53" s="2273"/>
      <c r="C53" s="2273"/>
      <c r="D53" s="2273"/>
      <c r="E53" s="2273"/>
      <c r="F53" s="2273"/>
      <c r="G53" s="2273"/>
      <c r="H53" s="2273"/>
      <c r="I53" s="2273"/>
      <c r="J53" s="2273"/>
      <c r="K53" s="2273"/>
      <c r="L53" s="2273"/>
      <c r="M53" s="2273"/>
      <c r="N53" s="2273"/>
      <c r="O53" s="2273"/>
      <c r="P53" s="2273"/>
      <c r="Q53" s="2273"/>
    </row>
    <row r="54" spans="2:17" s="747" customFormat="1">
      <c r="B54" s="2273"/>
      <c r="C54" s="2273"/>
      <c r="D54" s="2273"/>
      <c r="E54" s="2273"/>
      <c r="F54" s="2273"/>
      <c r="G54" s="2273"/>
      <c r="H54" s="2273"/>
      <c r="I54" s="2273"/>
      <c r="J54" s="2273"/>
      <c r="K54" s="2273"/>
      <c r="L54" s="2273"/>
      <c r="M54" s="2273"/>
      <c r="N54" s="2273"/>
      <c r="O54" s="2273"/>
      <c r="P54" s="2273"/>
      <c r="Q54" s="2273"/>
    </row>
    <row r="55" spans="2:17" s="747" customFormat="1">
      <c r="B55" s="2273"/>
      <c r="C55" s="2273"/>
      <c r="D55" s="2273"/>
      <c r="E55" s="2273"/>
      <c r="F55" s="2273"/>
      <c r="G55" s="2273"/>
      <c r="H55" s="2273"/>
      <c r="I55" s="2273"/>
      <c r="J55" s="2273"/>
      <c r="K55" s="2273"/>
      <c r="L55" s="2273"/>
      <c r="M55" s="2273"/>
      <c r="N55" s="2273"/>
      <c r="O55" s="2273"/>
      <c r="P55" s="2273"/>
      <c r="Q55" s="2273"/>
    </row>
    <row r="56" spans="2:17" s="747" customFormat="1">
      <c r="B56" s="2273"/>
      <c r="C56" s="2273"/>
      <c r="D56" s="2273"/>
      <c r="E56" s="2273"/>
      <c r="F56" s="2273"/>
      <c r="G56" s="2273"/>
      <c r="H56" s="2273"/>
      <c r="I56" s="2273"/>
      <c r="J56" s="2273"/>
      <c r="K56" s="2273"/>
      <c r="L56" s="2273"/>
      <c r="M56" s="2273"/>
      <c r="N56" s="2273"/>
      <c r="O56" s="2273"/>
      <c r="P56" s="2273"/>
      <c r="Q56" s="2273"/>
    </row>
    <row r="57" spans="2:17" s="747" customFormat="1">
      <c r="B57" s="2273"/>
      <c r="C57" s="2273"/>
      <c r="D57" s="2273"/>
      <c r="E57" s="2273"/>
      <c r="F57" s="2273"/>
      <c r="G57" s="2273"/>
      <c r="H57" s="2273"/>
      <c r="I57" s="2273"/>
      <c r="J57" s="2273"/>
      <c r="K57" s="2273"/>
      <c r="L57" s="2273"/>
      <c r="M57" s="2273"/>
      <c r="N57" s="2273"/>
      <c r="O57" s="2273"/>
      <c r="P57" s="2273"/>
      <c r="Q57" s="2273"/>
    </row>
    <row r="58" spans="2:17" s="747" customFormat="1">
      <c r="B58" s="2273"/>
      <c r="C58" s="2273"/>
      <c r="D58" s="2273"/>
      <c r="E58" s="2273"/>
      <c r="F58" s="2273"/>
      <c r="G58" s="2273"/>
      <c r="H58" s="2273"/>
      <c r="I58" s="2273"/>
      <c r="J58" s="2273"/>
      <c r="K58" s="2273"/>
      <c r="L58" s="2273"/>
      <c r="M58" s="2273"/>
      <c r="N58" s="2273"/>
      <c r="O58" s="2273"/>
      <c r="P58" s="2273"/>
      <c r="Q58" s="2273"/>
    </row>
    <row r="59" spans="2:17" s="747" customFormat="1">
      <c r="B59" s="2273"/>
      <c r="C59" s="2273"/>
      <c r="D59" s="2273"/>
      <c r="E59" s="2273"/>
      <c r="F59" s="2273"/>
      <c r="G59" s="2273"/>
      <c r="H59" s="2273"/>
      <c r="I59" s="2273"/>
      <c r="J59" s="2273"/>
      <c r="K59" s="2273"/>
      <c r="L59" s="2273"/>
      <c r="M59" s="2273"/>
      <c r="N59" s="2273"/>
      <c r="O59" s="2273"/>
      <c r="P59" s="2273"/>
      <c r="Q59" s="2273"/>
    </row>
    <row r="60" spans="2:17" s="747" customFormat="1">
      <c r="B60" s="2273"/>
      <c r="C60" s="2273"/>
      <c r="D60" s="2273"/>
      <c r="E60" s="2273"/>
      <c r="F60" s="2273"/>
      <c r="G60" s="2273"/>
      <c r="H60" s="2273"/>
      <c r="I60" s="2273"/>
      <c r="J60" s="2273"/>
      <c r="K60" s="2273"/>
      <c r="L60" s="2273"/>
      <c r="M60" s="2273"/>
      <c r="N60" s="2273"/>
      <c r="O60" s="2273"/>
      <c r="P60" s="2273"/>
      <c r="Q60" s="2273"/>
    </row>
    <row r="61" spans="2:17" s="747" customFormat="1">
      <c r="B61" s="2273"/>
      <c r="C61" s="2273"/>
      <c r="D61" s="2273"/>
      <c r="E61" s="2273"/>
      <c r="F61" s="2273"/>
      <c r="G61" s="2273"/>
      <c r="H61" s="2273"/>
      <c r="I61" s="2273"/>
      <c r="J61" s="2273"/>
      <c r="K61" s="2273"/>
      <c r="L61" s="2273"/>
      <c r="M61" s="2273"/>
      <c r="N61" s="2273"/>
      <c r="O61" s="2273"/>
      <c r="P61" s="2273"/>
      <c r="Q61" s="2273"/>
    </row>
    <row r="62" spans="2:17" s="747" customFormat="1">
      <c r="B62" s="2273"/>
      <c r="C62" s="2273"/>
      <c r="D62" s="2273"/>
      <c r="E62" s="2273"/>
      <c r="F62" s="2273"/>
      <c r="G62" s="2273"/>
      <c r="H62" s="2273"/>
      <c r="I62" s="2273"/>
      <c r="J62" s="2273"/>
      <c r="K62" s="2273"/>
      <c r="L62" s="2273"/>
      <c r="M62" s="2273"/>
      <c r="N62" s="2273"/>
      <c r="O62" s="2273"/>
      <c r="P62" s="2273"/>
      <c r="Q62" s="2273"/>
    </row>
    <row r="63" spans="2:17" s="747" customFormat="1">
      <c r="B63" s="2273"/>
      <c r="C63" s="2273"/>
      <c r="D63" s="2273"/>
      <c r="E63" s="2273"/>
      <c r="F63" s="2273"/>
      <c r="G63" s="2273"/>
      <c r="H63" s="2273"/>
      <c r="I63" s="2273"/>
      <c r="J63" s="2273"/>
      <c r="K63" s="2273"/>
      <c r="L63" s="2273"/>
      <c r="M63" s="2273"/>
      <c r="N63" s="2273"/>
      <c r="O63" s="2273"/>
      <c r="P63" s="2273"/>
      <c r="Q63" s="2273"/>
    </row>
    <row r="64" spans="2:17" s="747" customFormat="1">
      <c r="B64" s="2273"/>
      <c r="C64" s="2273"/>
      <c r="D64" s="2273"/>
      <c r="E64" s="2273"/>
      <c r="F64" s="2273"/>
      <c r="G64" s="2273"/>
      <c r="H64" s="2273"/>
      <c r="I64" s="2273"/>
      <c r="J64" s="2273"/>
      <c r="K64" s="2273"/>
      <c r="L64" s="2273"/>
      <c r="M64" s="2273"/>
      <c r="N64" s="2273"/>
      <c r="O64" s="2273"/>
      <c r="P64" s="2273"/>
      <c r="Q64" s="2273"/>
    </row>
    <row r="65" spans="2:17" s="747" customFormat="1">
      <c r="B65" s="2273"/>
      <c r="C65" s="2273"/>
      <c r="D65" s="2273"/>
      <c r="E65" s="2273"/>
      <c r="F65" s="2273"/>
      <c r="G65" s="2273"/>
      <c r="H65" s="2273"/>
      <c r="I65" s="2273"/>
      <c r="J65" s="2273"/>
      <c r="K65" s="2273"/>
      <c r="L65" s="2273"/>
      <c r="M65" s="2273"/>
      <c r="N65" s="2273"/>
      <c r="O65" s="2273"/>
      <c r="P65" s="2273"/>
      <c r="Q65" s="2273"/>
    </row>
    <row r="66" spans="2:17" s="747" customFormat="1">
      <c r="B66" s="2273"/>
      <c r="C66" s="2273"/>
      <c r="D66" s="2273"/>
      <c r="E66" s="2273"/>
      <c r="F66" s="2273"/>
      <c r="G66" s="2273"/>
      <c r="H66" s="2273"/>
      <c r="I66" s="2273"/>
      <c r="J66" s="2273"/>
      <c r="K66" s="2273"/>
      <c r="L66" s="2273"/>
      <c r="M66" s="2273"/>
      <c r="N66" s="2273"/>
      <c r="O66" s="2273"/>
      <c r="P66" s="2273"/>
      <c r="Q66" s="2273"/>
    </row>
    <row r="67" spans="2:17" s="747" customFormat="1">
      <c r="B67" s="2273"/>
      <c r="C67" s="2273"/>
      <c r="D67" s="2273"/>
      <c r="E67" s="2273"/>
      <c r="F67" s="2273"/>
      <c r="G67" s="2273"/>
      <c r="H67" s="2273"/>
      <c r="I67" s="2273"/>
      <c r="J67" s="2273"/>
      <c r="K67" s="2273"/>
      <c r="L67" s="2273"/>
      <c r="M67" s="2273"/>
      <c r="N67" s="2273"/>
      <c r="O67" s="2273"/>
      <c r="P67" s="2273"/>
      <c r="Q67" s="2273"/>
    </row>
    <row r="68" spans="2:17" s="747" customFormat="1">
      <c r="B68" s="2273"/>
      <c r="C68" s="2273"/>
      <c r="D68" s="2273"/>
      <c r="E68" s="2273"/>
      <c r="F68" s="2273"/>
      <c r="G68" s="2273"/>
      <c r="H68" s="2273"/>
      <c r="I68" s="2273"/>
      <c r="J68" s="2273"/>
      <c r="K68" s="2273"/>
      <c r="L68" s="2273"/>
      <c r="M68" s="2273"/>
      <c r="N68" s="2273"/>
      <c r="O68" s="2273"/>
      <c r="P68" s="2273"/>
      <c r="Q68" s="2273"/>
    </row>
    <row r="69" spans="2:17" s="747" customFormat="1">
      <c r="B69" s="2273"/>
      <c r="C69" s="2273"/>
      <c r="D69" s="2273"/>
      <c r="E69" s="2273"/>
      <c r="F69" s="2273"/>
      <c r="G69" s="2273"/>
      <c r="H69" s="2273"/>
      <c r="I69" s="2273"/>
      <c r="J69" s="2273"/>
      <c r="K69" s="2273"/>
      <c r="L69" s="2273"/>
      <c r="M69" s="2273"/>
      <c r="N69" s="2273"/>
      <c r="O69" s="2273"/>
      <c r="P69" s="2273"/>
      <c r="Q69" s="2273"/>
    </row>
    <row r="70" spans="2:17" s="747" customFormat="1">
      <c r="B70" s="2273"/>
      <c r="C70" s="2273"/>
      <c r="D70" s="2273"/>
      <c r="E70" s="2273"/>
      <c r="F70" s="2273"/>
      <c r="G70" s="2273"/>
      <c r="H70" s="2273"/>
      <c r="I70" s="2273"/>
      <c r="J70" s="2273"/>
      <c r="K70" s="2273"/>
      <c r="L70" s="2273"/>
      <c r="M70" s="2273"/>
      <c r="N70" s="2273"/>
      <c r="O70" s="2273"/>
      <c r="P70" s="2273"/>
      <c r="Q70" s="2273"/>
    </row>
    <row r="71" spans="2:17" s="747" customFormat="1">
      <c r="B71" s="2273"/>
      <c r="C71" s="2273"/>
      <c r="D71" s="2273"/>
      <c r="E71" s="2273"/>
      <c r="F71" s="2273"/>
      <c r="G71" s="2273"/>
      <c r="H71" s="2273"/>
      <c r="I71" s="2273"/>
      <c r="J71" s="2273"/>
      <c r="K71" s="2273"/>
      <c r="L71" s="2273"/>
      <c r="M71" s="2273"/>
      <c r="N71" s="2273"/>
      <c r="O71" s="2273"/>
      <c r="P71" s="2273"/>
      <c r="Q71" s="2273"/>
    </row>
    <row r="72" spans="2:17" s="747" customFormat="1">
      <c r="B72" s="2273"/>
      <c r="C72" s="2273"/>
      <c r="D72" s="2273"/>
      <c r="E72" s="2273"/>
      <c r="F72" s="2273"/>
      <c r="G72" s="2273"/>
      <c r="H72" s="2273"/>
      <c r="I72" s="2273"/>
      <c r="J72" s="2273"/>
      <c r="K72" s="2273"/>
      <c r="L72" s="2273"/>
      <c r="M72" s="2273"/>
      <c r="N72" s="2273"/>
      <c r="O72" s="2273"/>
      <c r="P72" s="2273"/>
      <c r="Q72" s="2273"/>
    </row>
    <row r="73" spans="2:17" s="747" customFormat="1">
      <c r="B73" s="2273"/>
      <c r="C73" s="2273"/>
      <c r="D73" s="2273"/>
      <c r="E73" s="2273"/>
      <c r="F73" s="2273"/>
      <c r="G73" s="2273"/>
      <c r="H73" s="2273"/>
      <c r="I73" s="2273"/>
      <c r="J73" s="2273"/>
      <c r="K73" s="2273"/>
      <c r="L73" s="2273"/>
      <c r="M73" s="2273"/>
      <c r="N73" s="2273"/>
      <c r="O73" s="2273"/>
      <c r="P73" s="2273"/>
      <c r="Q73" s="2273"/>
    </row>
    <row r="74" spans="2:17" s="747" customFormat="1">
      <c r="B74" s="2273"/>
      <c r="C74" s="2273"/>
      <c r="D74" s="2273"/>
      <c r="E74" s="2273"/>
      <c r="F74" s="2273"/>
      <c r="G74" s="2273"/>
      <c r="H74" s="2273"/>
      <c r="I74" s="2273"/>
      <c r="J74" s="2273"/>
      <c r="K74" s="2273"/>
      <c r="L74" s="2273"/>
      <c r="M74" s="2273"/>
      <c r="N74" s="2273"/>
      <c r="O74" s="2273"/>
      <c r="P74" s="2273"/>
      <c r="Q74" s="2273"/>
    </row>
    <row r="75" spans="2:17" s="747" customFormat="1">
      <c r="B75" s="2273"/>
      <c r="C75" s="2273"/>
      <c r="D75" s="2273"/>
      <c r="E75" s="2273"/>
      <c r="F75" s="2273"/>
      <c r="G75" s="2273"/>
      <c r="H75" s="2273"/>
      <c r="I75" s="2273"/>
      <c r="J75" s="2273"/>
      <c r="K75" s="2273"/>
      <c r="L75" s="2273"/>
      <c r="M75" s="2273"/>
      <c r="N75" s="2273"/>
      <c r="O75" s="2273"/>
      <c r="P75" s="2273"/>
      <c r="Q75" s="2273"/>
    </row>
    <row r="76" spans="2:17" s="747" customFormat="1">
      <c r="B76" s="2273"/>
      <c r="C76" s="2273"/>
      <c r="D76" s="2273"/>
      <c r="E76" s="2273"/>
      <c r="F76" s="2273"/>
      <c r="G76" s="2273"/>
      <c r="H76" s="2273"/>
      <c r="I76" s="2273"/>
      <c r="J76" s="2273"/>
      <c r="K76" s="2273"/>
      <c r="L76" s="2273"/>
      <c r="M76" s="2273"/>
      <c r="N76" s="2273"/>
      <c r="O76" s="2273"/>
      <c r="P76" s="2273"/>
      <c r="Q76" s="2273"/>
    </row>
    <row r="77" spans="2:17" s="747" customFormat="1">
      <c r="B77" s="2273"/>
      <c r="C77" s="2273"/>
      <c r="D77" s="2273"/>
      <c r="E77" s="2273"/>
      <c r="F77" s="2273"/>
      <c r="G77" s="2273"/>
      <c r="H77" s="2273"/>
      <c r="I77" s="2273"/>
      <c r="J77" s="2273"/>
      <c r="K77" s="2273"/>
      <c r="L77" s="2273"/>
      <c r="M77" s="2273"/>
      <c r="N77" s="2273"/>
      <c r="O77" s="2273"/>
      <c r="P77" s="2273"/>
      <c r="Q77" s="2273"/>
    </row>
    <row r="78" spans="2:17" s="747" customFormat="1">
      <c r="B78" s="2273"/>
      <c r="C78" s="2273"/>
      <c r="D78" s="2273"/>
      <c r="E78" s="2273"/>
      <c r="F78" s="2273"/>
      <c r="G78" s="2273"/>
      <c r="H78" s="2273"/>
      <c r="I78" s="2273"/>
      <c r="J78" s="2273"/>
      <c r="K78" s="2273"/>
      <c r="L78" s="2273"/>
      <c r="M78" s="2273"/>
      <c r="N78" s="2273"/>
      <c r="O78" s="2273"/>
      <c r="P78" s="2273"/>
      <c r="Q78" s="2273"/>
    </row>
    <row r="79" spans="2:17" s="747" customFormat="1">
      <c r="B79" s="2273"/>
      <c r="C79" s="2273"/>
      <c r="D79" s="2273"/>
      <c r="E79" s="2273"/>
      <c r="F79" s="2273"/>
      <c r="G79" s="2273"/>
      <c r="H79" s="2273"/>
      <c r="I79" s="2273"/>
      <c r="J79" s="2273"/>
      <c r="K79" s="2273"/>
      <c r="L79" s="2273"/>
      <c r="M79" s="2273"/>
      <c r="N79" s="2273"/>
      <c r="O79" s="2273"/>
      <c r="P79" s="2273"/>
      <c r="Q79" s="2273"/>
    </row>
    <row r="80" spans="2:17" s="747" customFormat="1">
      <c r="B80" s="2273"/>
      <c r="C80" s="2273"/>
      <c r="D80" s="2273"/>
      <c r="E80" s="2273"/>
      <c r="F80" s="2273"/>
      <c r="G80" s="2273"/>
      <c r="H80" s="2273"/>
      <c r="I80" s="2273"/>
      <c r="J80" s="2273"/>
      <c r="K80" s="2273"/>
      <c r="L80" s="2273"/>
      <c r="M80" s="2273"/>
      <c r="N80" s="2273"/>
      <c r="O80" s="2273"/>
      <c r="P80" s="2273"/>
      <c r="Q80" s="2273"/>
    </row>
    <row r="81" spans="2:17" s="747" customFormat="1">
      <c r="B81" s="2273"/>
      <c r="C81" s="2273"/>
      <c r="D81" s="2273"/>
      <c r="E81" s="2273"/>
      <c r="F81" s="2273"/>
      <c r="G81" s="2273"/>
      <c r="H81" s="2273"/>
      <c r="I81" s="2273"/>
      <c r="J81" s="2273"/>
      <c r="K81" s="2273"/>
      <c r="L81" s="2273"/>
      <c r="M81" s="2273"/>
      <c r="N81" s="2273"/>
      <c r="O81" s="2273"/>
      <c r="P81" s="2273"/>
      <c r="Q81" s="2273"/>
    </row>
    <row r="82" spans="2:17" s="747" customFormat="1">
      <c r="B82" s="2273"/>
      <c r="C82" s="2273"/>
      <c r="D82" s="2273"/>
      <c r="E82" s="2273"/>
      <c r="F82" s="2273"/>
      <c r="G82" s="2273"/>
      <c r="H82" s="2273"/>
      <c r="I82" s="2273"/>
      <c r="J82" s="2273"/>
      <c r="K82" s="2273"/>
      <c r="L82" s="2273"/>
      <c r="M82" s="2273"/>
      <c r="N82" s="2273"/>
      <c r="O82" s="2273"/>
      <c r="P82" s="2273"/>
      <c r="Q82" s="2273"/>
    </row>
    <row r="83" spans="2:17" s="747" customFormat="1">
      <c r="B83" s="2273"/>
      <c r="C83" s="2273"/>
      <c r="D83" s="2273"/>
      <c r="E83" s="2273"/>
      <c r="F83" s="2273"/>
      <c r="G83" s="2273"/>
      <c r="H83" s="2273"/>
      <c r="I83" s="2273"/>
      <c r="J83" s="2273"/>
      <c r="K83" s="2273"/>
      <c r="L83" s="2273"/>
      <c r="M83" s="2273"/>
      <c r="N83" s="2273"/>
      <c r="O83" s="2273"/>
      <c r="P83" s="2273"/>
      <c r="Q83" s="2273"/>
    </row>
    <row r="84" spans="2:17" s="747" customFormat="1">
      <c r="B84" s="2273"/>
      <c r="C84" s="2273"/>
      <c r="D84" s="2273"/>
      <c r="E84" s="2273"/>
      <c r="F84" s="2273"/>
      <c r="G84" s="2273"/>
      <c r="H84" s="2273"/>
      <c r="I84" s="2273"/>
      <c r="J84" s="2273"/>
      <c r="K84" s="2273"/>
      <c r="L84" s="2273"/>
      <c r="M84" s="2273"/>
      <c r="N84" s="2273"/>
      <c r="O84" s="2273"/>
      <c r="P84" s="2273"/>
      <c r="Q84" s="2273"/>
    </row>
    <row r="85" spans="2:17" s="747" customFormat="1">
      <c r="B85" s="2273"/>
      <c r="C85" s="2273"/>
      <c r="D85" s="2273"/>
      <c r="E85" s="2273"/>
      <c r="F85" s="2273"/>
      <c r="G85" s="2273"/>
      <c r="H85" s="2273"/>
      <c r="I85" s="2273"/>
      <c r="J85" s="2273"/>
      <c r="K85" s="2273"/>
      <c r="L85" s="2273"/>
      <c r="M85" s="2273"/>
      <c r="N85" s="2273"/>
      <c r="O85" s="2273"/>
      <c r="P85" s="2273"/>
      <c r="Q85" s="2273"/>
    </row>
    <row r="86" spans="2:17" s="747" customFormat="1">
      <c r="B86" s="2273"/>
      <c r="C86" s="2273"/>
      <c r="D86" s="2273"/>
      <c r="E86" s="2273"/>
      <c r="F86" s="2273"/>
      <c r="G86" s="2273"/>
      <c r="H86" s="2273"/>
      <c r="I86" s="2273"/>
      <c r="J86" s="2273"/>
      <c r="K86" s="2273"/>
      <c r="L86" s="2273"/>
      <c r="M86" s="2273"/>
      <c r="N86" s="2273"/>
      <c r="O86" s="2273"/>
      <c r="P86" s="2273"/>
      <c r="Q86" s="2273"/>
    </row>
    <row r="87" spans="2:17" s="747" customFormat="1">
      <c r="B87" s="2273"/>
      <c r="C87" s="2273"/>
      <c r="D87" s="2273"/>
      <c r="E87" s="2273"/>
      <c r="F87" s="2273"/>
      <c r="G87" s="2273"/>
      <c r="H87" s="2273"/>
      <c r="I87" s="2273"/>
      <c r="J87" s="2273"/>
      <c r="K87" s="2273"/>
      <c r="L87" s="2273"/>
      <c r="M87" s="2273"/>
      <c r="N87" s="2273"/>
      <c r="O87" s="2273"/>
      <c r="P87" s="2273"/>
      <c r="Q87" s="2273"/>
    </row>
    <row r="88" spans="2:17" s="747" customFormat="1">
      <c r="B88" s="2273"/>
      <c r="C88" s="2273"/>
      <c r="D88" s="2273"/>
      <c r="E88" s="2273"/>
      <c r="F88" s="2273"/>
      <c r="G88" s="2273"/>
      <c r="H88" s="2273"/>
      <c r="I88" s="2273"/>
      <c r="J88" s="2273"/>
      <c r="K88" s="2273"/>
      <c r="L88" s="2273"/>
      <c r="M88" s="2273"/>
      <c r="N88" s="2273"/>
      <c r="O88" s="2273"/>
      <c r="P88" s="2273"/>
      <c r="Q88" s="2273"/>
    </row>
    <row r="89" spans="2:17" s="747" customFormat="1">
      <c r="B89" s="2273"/>
      <c r="C89" s="2273"/>
      <c r="D89" s="2273"/>
      <c r="E89" s="2273"/>
      <c r="F89" s="2273"/>
      <c r="G89" s="2273"/>
      <c r="H89" s="2273"/>
      <c r="I89" s="2273"/>
      <c r="J89" s="2273"/>
      <c r="K89" s="2273"/>
      <c r="L89" s="2273"/>
      <c r="M89" s="2273"/>
      <c r="N89" s="2273"/>
      <c r="O89" s="2273"/>
      <c r="P89" s="2273"/>
      <c r="Q89" s="2273"/>
    </row>
    <row r="90" spans="2:17" s="747" customFormat="1">
      <c r="B90" s="2273"/>
      <c r="C90" s="2273"/>
      <c r="D90" s="2273"/>
      <c r="E90" s="2273"/>
      <c r="F90" s="2273"/>
      <c r="G90" s="2273"/>
      <c r="H90" s="2273"/>
      <c r="I90" s="2273"/>
      <c r="J90" s="2273"/>
      <c r="K90" s="2273"/>
      <c r="L90" s="2273"/>
      <c r="M90" s="2273"/>
      <c r="N90" s="2273"/>
      <c r="O90" s="2273"/>
      <c r="P90" s="2273"/>
      <c r="Q90" s="2273"/>
    </row>
    <row r="91" spans="2:17" s="747" customFormat="1">
      <c r="B91" s="2273"/>
      <c r="C91" s="2273"/>
      <c r="D91" s="2273"/>
      <c r="E91" s="2273"/>
      <c r="F91" s="2273"/>
      <c r="G91" s="2273"/>
      <c r="H91" s="2273"/>
      <c r="I91" s="2273"/>
      <c r="J91" s="2273"/>
      <c r="K91" s="2273"/>
      <c r="L91" s="2273"/>
      <c r="M91" s="2273"/>
      <c r="N91" s="2273"/>
      <c r="O91" s="2273"/>
      <c r="P91" s="2273"/>
      <c r="Q91" s="2273"/>
    </row>
    <row r="92" spans="2:17" s="747" customFormat="1">
      <c r="B92" s="2273"/>
      <c r="C92" s="2273"/>
      <c r="D92" s="2273"/>
      <c r="E92" s="2273"/>
      <c r="F92" s="2273"/>
      <c r="G92" s="2273"/>
      <c r="H92" s="2273"/>
      <c r="I92" s="2273"/>
      <c r="J92" s="2273"/>
      <c r="K92" s="2273"/>
      <c r="L92" s="2273"/>
      <c r="M92" s="2273"/>
      <c r="N92" s="2273"/>
      <c r="O92" s="2273"/>
      <c r="P92" s="2273"/>
      <c r="Q92" s="2273"/>
    </row>
    <row r="93" spans="2:17" s="747" customFormat="1">
      <c r="B93" s="2273"/>
      <c r="C93" s="2273"/>
      <c r="D93" s="2273"/>
      <c r="E93" s="2273"/>
      <c r="F93" s="2273"/>
      <c r="G93" s="2273"/>
      <c r="H93" s="2273"/>
      <c r="I93" s="2273"/>
      <c r="J93" s="2273"/>
      <c r="K93" s="2273"/>
      <c r="L93" s="2273"/>
      <c r="M93" s="2273"/>
      <c r="N93" s="2273"/>
      <c r="O93" s="2273"/>
      <c r="P93" s="2273"/>
      <c r="Q93" s="2273"/>
    </row>
    <row r="94" spans="2:17" s="747" customFormat="1">
      <c r="B94" s="2273"/>
      <c r="C94" s="2273"/>
      <c r="D94" s="2273"/>
      <c r="E94" s="2273"/>
      <c r="F94" s="2273"/>
      <c r="G94" s="2273"/>
      <c r="H94" s="2273"/>
      <c r="I94" s="2273"/>
      <c r="J94" s="2273"/>
      <c r="K94" s="2273"/>
      <c r="L94" s="2273"/>
      <c r="M94" s="2273"/>
      <c r="N94" s="2273"/>
      <c r="O94" s="2273"/>
      <c r="P94" s="2273"/>
      <c r="Q94" s="2273"/>
    </row>
    <row r="95" spans="2:17" s="747" customFormat="1">
      <c r="B95" s="2273"/>
      <c r="C95" s="2273"/>
      <c r="D95" s="2273"/>
      <c r="E95" s="2273"/>
      <c r="F95" s="2273"/>
      <c r="G95" s="2273"/>
      <c r="H95" s="2273"/>
      <c r="I95" s="2273"/>
      <c r="J95" s="2273"/>
      <c r="K95" s="2273"/>
      <c r="L95" s="2273"/>
      <c r="M95" s="2273"/>
      <c r="N95" s="2273"/>
      <c r="O95" s="2273"/>
      <c r="P95" s="2273"/>
      <c r="Q95" s="2273"/>
    </row>
    <row r="96" spans="2:17" s="747" customFormat="1">
      <c r="B96" s="2273"/>
      <c r="C96" s="2273"/>
      <c r="D96" s="2273"/>
      <c r="E96" s="2273"/>
      <c r="F96" s="2273"/>
      <c r="G96" s="2273"/>
      <c r="H96" s="2273"/>
      <c r="I96" s="2273"/>
      <c r="J96" s="2273"/>
      <c r="K96" s="2273"/>
      <c r="L96" s="2273"/>
      <c r="M96" s="2273"/>
      <c r="N96" s="2273"/>
      <c r="O96" s="2273"/>
      <c r="P96" s="2273"/>
      <c r="Q96" s="2273"/>
    </row>
    <row r="97" spans="2:17" s="747" customFormat="1">
      <c r="B97" s="2273"/>
      <c r="C97" s="2273"/>
      <c r="D97" s="2273"/>
      <c r="E97" s="2273"/>
      <c r="F97" s="2273"/>
      <c r="G97" s="2273"/>
      <c r="H97" s="2273"/>
      <c r="I97" s="2273"/>
      <c r="J97" s="2273"/>
      <c r="K97" s="2273"/>
      <c r="L97" s="2273"/>
      <c r="M97" s="2273"/>
      <c r="N97" s="2273"/>
      <c r="O97" s="2273"/>
      <c r="P97" s="2273"/>
      <c r="Q97" s="2273"/>
    </row>
    <row r="98" spans="2:17" s="747" customFormat="1">
      <c r="B98" s="2273"/>
      <c r="C98" s="2273"/>
      <c r="D98" s="2273"/>
      <c r="E98" s="2273"/>
      <c r="F98" s="2273"/>
      <c r="G98" s="2273"/>
      <c r="H98" s="2273"/>
      <c r="I98" s="2273"/>
      <c r="J98" s="2273"/>
      <c r="K98" s="2273"/>
      <c r="L98" s="2273"/>
      <c r="M98" s="2273"/>
      <c r="N98" s="2273"/>
      <c r="O98" s="2273"/>
      <c r="P98" s="2273"/>
      <c r="Q98" s="2273"/>
    </row>
    <row r="99" spans="2:17" s="747" customFormat="1">
      <c r="B99" s="2273"/>
      <c r="C99" s="2273"/>
      <c r="D99" s="2273"/>
      <c r="E99" s="2273"/>
      <c r="F99" s="2273"/>
      <c r="G99" s="2273"/>
      <c r="H99" s="2273"/>
      <c r="I99" s="2273"/>
      <c r="J99" s="2273"/>
      <c r="K99" s="2273"/>
      <c r="L99" s="2273"/>
      <c r="M99" s="2273"/>
      <c r="N99" s="2273"/>
      <c r="O99" s="2273"/>
      <c r="P99" s="2273"/>
      <c r="Q99" s="2273"/>
    </row>
    <row r="100" spans="2:17" s="747" customFormat="1">
      <c r="B100" s="2273"/>
      <c r="C100" s="2273"/>
      <c r="D100" s="2273"/>
      <c r="E100" s="2273"/>
      <c r="F100" s="2273"/>
      <c r="G100" s="2273"/>
      <c r="H100" s="2273"/>
      <c r="I100" s="2273"/>
      <c r="J100" s="2273"/>
      <c r="K100" s="2273"/>
      <c r="L100" s="2273"/>
      <c r="M100" s="2273"/>
      <c r="N100" s="2273"/>
      <c r="O100" s="2273"/>
      <c r="P100" s="2273"/>
      <c r="Q100" s="2273"/>
    </row>
    <row r="101" spans="2:17" s="747" customFormat="1">
      <c r="B101" s="2273"/>
      <c r="C101" s="2273"/>
      <c r="D101" s="2273"/>
      <c r="E101" s="2273"/>
      <c r="F101" s="2273"/>
      <c r="G101" s="2273"/>
      <c r="H101" s="2273"/>
      <c r="I101" s="2273"/>
      <c r="J101" s="2273"/>
      <c r="K101" s="2273"/>
      <c r="L101" s="2273"/>
      <c r="M101" s="2273"/>
      <c r="N101" s="2273"/>
      <c r="O101" s="2273"/>
      <c r="P101" s="2273"/>
      <c r="Q101" s="2273"/>
    </row>
    <row r="102" spans="2:17" s="747" customFormat="1">
      <c r="B102" s="2273"/>
      <c r="C102" s="2273"/>
      <c r="D102" s="2273"/>
      <c r="E102" s="2273"/>
      <c r="F102" s="2273"/>
      <c r="G102" s="2273"/>
      <c r="H102" s="2273"/>
      <c r="I102" s="2273"/>
      <c r="J102" s="2273"/>
      <c r="K102" s="2273"/>
      <c r="L102" s="2273"/>
      <c r="M102" s="2273"/>
      <c r="N102" s="2273"/>
      <c r="O102" s="2273"/>
      <c r="P102" s="2273"/>
      <c r="Q102" s="2273"/>
    </row>
    <row r="103" spans="2:17" s="747" customFormat="1">
      <c r="B103" s="2273"/>
      <c r="C103" s="2273"/>
      <c r="D103" s="2273"/>
      <c r="E103" s="2273"/>
      <c r="F103" s="2273"/>
      <c r="G103" s="2273"/>
      <c r="H103" s="2273"/>
      <c r="I103" s="2273"/>
      <c r="J103" s="2273"/>
      <c r="K103" s="2273"/>
      <c r="L103" s="2273"/>
      <c r="M103" s="2273"/>
      <c r="N103" s="2273"/>
      <c r="O103" s="2273"/>
      <c r="P103" s="2273"/>
      <c r="Q103" s="2273"/>
    </row>
    <row r="104" spans="2:17" s="747" customFormat="1">
      <c r="B104" s="2273"/>
      <c r="C104" s="2273"/>
      <c r="D104" s="2273"/>
      <c r="E104" s="2273"/>
      <c r="F104" s="2273"/>
      <c r="G104" s="2273"/>
      <c r="H104" s="2273"/>
      <c r="I104" s="2273"/>
      <c r="J104" s="2273"/>
      <c r="K104" s="2273"/>
      <c r="L104" s="2273"/>
      <c r="M104" s="2273"/>
      <c r="N104" s="2273"/>
      <c r="O104" s="2273"/>
      <c r="P104" s="2273"/>
      <c r="Q104" s="2273"/>
    </row>
    <row r="105" spans="2:17" s="747" customFormat="1">
      <c r="B105" s="2273"/>
      <c r="C105" s="2273"/>
      <c r="D105" s="2273"/>
      <c r="E105" s="2273"/>
      <c r="F105" s="2273"/>
      <c r="G105" s="2273"/>
      <c r="H105" s="2273"/>
      <c r="I105" s="2273"/>
      <c r="J105" s="2273"/>
      <c r="K105" s="2273"/>
      <c r="L105" s="2273"/>
      <c r="M105" s="2273"/>
      <c r="N105" s="2273"/>
      <c r="O105" s="2273"/>
      <c r="P105" s="2273"/>
      <c r="Q105" s="2273"/>
    </row>
    <row r="106" spans="2:17" s="747" customFormat="1">
      <c r="B106" s="2273"/>
      <c r="C106" s="2273"/>
      <c r="D106" s="2273"/>
      <c r="E106" s="2273"/>
      <c r="F106" s="2273"/>
      <c r="G106" s="2273"/>
      <c r="H106" s="2273"/>
      <c r="I106" s="2273"/>
      <c r="J106" s="2273"/>
      <c r="K106" s="2273"/>
      <c r="L106" s="2273"/>
      <c r="M106" s="2273"/>
      <c r="N106" s="2273"/>
      <c r="O106" s="2273"/>
      <c r="P106" s="2273"/>
      <c r="Q106" s="2273"/>
    </row>
    <row r="107" spans="2:17" s="747" customFormat="1">
      <c r="B107" s="2273"/>
      <c r="C107" s="2273"/>
      <c r="D107" s="2273"/>
      <c r="E107" s="2273"/>
      <c r="F107" s="2273"/>
      <c r="G107" s="2273"/>
      <c r="H107" s="2273"/>
      <c r="I107" s="2273"/>
      <c r="J107" s="2273"/>
      <c r="K107" s="2273"/>
      <c r="L107" s="2273"/>
      <c r="M107" s="2273"/>
      <c r="N107" s="2273"/>
      <c r="O107" s="2273"/>
      <c r="P107" s="2273"/>
      <c r="Q107" s="2273"/>
    </row>
    <row r="108" spans="2:17" s="747" customFormat="1">
      <c r="B108" s="2273"/>
      <c r="C108" s="2273"/>
      <c r="D108" s="2273"/>
      <c r="E108" s="2273"/>
      <c r="F108" s="2273"/>
      <c r="G108" s="2273"/>
      <c r="H108" s="2273"/>
      <c r="I108" s="2273"/>
      <c r="J108" s="2273"/>
      <c r="K108" s="2273"/>
      <c r="L108" s="2273"/>
      <c r="M108" s="2273"/>
      <c r="N108" s="2273"/>
      <c r="O108" s="2273"/>
      <c r="P108" s="2273"/>
      <c r="Q108" s="2273"/>
    </row>
    <row r="109" spans="2:17" s="747" customFormat="1">
      <c r="B109" s="2273"/>
      <c r="C109" s="2273"/>
      <c r="D109" s="2273"/>
      <c r="E109" s="2273"/>
      <c r="F109" s="2273"/>
      <c r="G109" s="2273"/>
      <c r="H109" s="2273"/>
      <c r="I109" s="2273"/>
      <c r="J109" s="2273"/>
      <c r="K109" s="2273"/>
      <c r="L109" s="2273"/>
      <c r="M109" s="2273"/>
      <c r="N109" s="2273"/>
      <c r="O109" s="2273"/>
      <c r="P109" s="2273"/>
      <c r="Q109" s="2273"/>
    </row>
    <row r="110" spans="2:17" s="747" customFormat="1">
      <c r="B110" s="2273"/>
      <c r="C110" s="2273"/>
      <c r="D110" s="2273"/>
      <c r="E110" s="2273"/>
      <c r="F110" s="2273"/>
      <c r="G110" s="2273"/>
      <c r="H110" s="2273"/>
      <c r="I110" s="2273"/>
      <c r="J110" s="2273"/>
      <c r="K110" s="2273"/>
      <c r="L110" s="2273"/>
      <c r="M110" s="2273"/>
      <c r="N110" s="2273"/>
      <c r="O110" s="2273"/>
      <c r="P110" s="2273"/>
      <c r="Q110" s="2273"/>
    </row>
    <row r="111" spans="2:17" s="747" customFormat="1">
      <c r="B111" s="2273"/>
      <c r="C111" s="2273"/>
      <c r="D111" s="2273"/>
      <c r="E111" s="2273"/>
      <c r="F111" s="2273"/>
      <c r="G111" s="2273"/>
      <c r="H111" s="2273"/>
      <c r="I111" s="2273"/>
      <c r="J111" s="2273"/>
      <c r="K111" s="2273"/>
      <c r="L111" s="2273"/>
      <c r="M111" s="2273"/>
      <c r="N111" s="2273"/>
      <c r="O111" s="2273"/>
      <c r="P111" s="2273"/>
      <c r="Q111" s="2273"/>
    </row>
    <row r="112" spans="2:17" s="747" customFormat="1">
      <c r="B112" s="2273"/>
      <c r="C112" s="2273"/>
      <c r="D112" s="2273"/>
      <c r="E112" s="2273"/>
      <c r="F112" s="2273"/>
      <c r="G112" s="2273"/>
      <c r="H112" s="2273"/>
      <c r="I112" s="2273"/>
      <c r="J112" s="2273"/>
      <c r="K112" s="2273"/>
      <c r="L112" s="2273"/>
      <c r="M112" s="2273"/>
      <c r="N112" s="2273"/>
      <c r="O112" s="2273"/>
      <c r="P112" s="2273"/>
      <c r="Q112" s="2273"/>
    </row>
    <row r="113" spans="2:17" s="747" customFormat="1">
      <c r="B113" s="2273"/>
      <c r="C113" s="2273"/>
      <c r="D113" s="2273"/>
      <c r="E113" s="2273"/>
      <c r="F113" s="2273"/>
      <c r="G113" s="2273"/>
      <c r="H113" s="2273"/>
      <c r="I113" s="2273"/>
      <c r="J113" s="2273"/>
      <c r="K113" s="2273"/>
      <c r="L113" s="2273"/>
      <c r="M113" s="2273"/>
      <c r="N113" s="2273"/>
      <c r="O113" s="2273"/>
      <c r="P113" s="2273"/>
      <c r="Q113" s="2273"/>
    </row>
    <row r="114" spans="2:17" s="747" customFormat="1">
      <c r="B114" s="2273"/>
      <c r="C114" s="2273"/>
      <c r="D114" s="2273"/>
      <c r="E114" s="2273"/>
      <c r="F114" s="2273"/>
      <c r="G114" s="2273"/>
      <c r="H114" s="2273"/>
      <c r="I114" s="2273"/>
      <c r="J114" s="2273"/>
      <c r="K114" s="2273"/>
      <c r="L114" s="2273"/>
      <c r="M114" s="2273"/>
      <c r="N114" s="2273"/>
      <c r="O114" s="2273"/>
      <c r="P114" s="2273"/>
      <c r="Q114" s="2273"/>
    </row>
    <row r="115" spans="2:17" s="747" customFormat="1">
      <c r="B115" s="2273"/>
      <c r="C115" s="2273"/>
      <c r="D115" s="2273"/>
      <c r="E115" s="2273"/>
      <c r="F115" s="2273"/>
      <c r="G115" s="2273"/>
      <c r="H115" s="2273"/>
      <c r="I115" s="2273"/>
      <c r="J115" s="2273"/>
      <c r="K115" s="2273"/>
      <c r="L115" s="2273"/>
      <c r="M115" s="2273"/>
      <c r="N115" s="2273"/>
      <c r="O115" s="2273"/>
      <c r="P115" s="2273"/>
      <c r="Q115" s="2273"/>
    </row>
    <row r="116" spans="2:17" s="747" customFormat="1">
      <c r="B116" s="2273"/>
      <c r="C116" s="2273"/>
      <c r="D116" s="2273"/>
      <c r="E116" s="2273"/>
      <c r="F116" s="2273"/>
      <c r="G116" s="2273"/>
      <c r="H116" s="2273"/>
      <c r="I116" s="2273"/>
      <c r="J116" s="2273"/>
      <c r="K116" s="2273"/>
      <c r="L116" s="2273"/>
      <c r="M116" s="2273"/>
      <c r="N116" s="2273"/>
      <c r="O116" s="2273"/>
      <c r="P116" s="2273"/>
      <c r="Q116" s="2273"/>
    </row>
    <row r="117" spans="2:17" s="747" customFormat="1">
      <c r="B117" s="2273"/>
      <c r="C117" s="2273"/>
      <c r="D117" s="2273"/>
      <c r="E117" s="2273"/>
      <c r="F117" s="2273"/>
      <c r="G117" s="2273"/>
      <c r="H117" s="2273"/>
      <c r="I117" s="2273"/>
      <c r="J117" s="2273"/>
      <c r="K117" s="2273"/>
      <c r="L117" s="2273"/>
      <c r="M117" s="2273"/>
      <c r="N117" s="2273"/>
      <c r="O117" s="2273"/>
      <c r="P117" s="2273"/>
      <c r="Q117" s="2273"/>
    </row>
    <row r="118" spans="2:17" s="747" customFormat="1">
      <c r="B118" s="2273"/>
      <c r="C118" s="2273"/>
      <c r="D118" s="2273"/>
      <c r="E118" s="2273"/>
      <c r="F118" s="2273"/>
      <c r="G118" s="2273"/>
      <c r="H118" s="2273"/>
      <c r="I118" s="2273"/>
      <c r="J118" s="2273"/>
      <c r="K118" s="2273"/>
      <c r="L118" s="2273"/>
      <c r="M118" s="2273"/>
      <c r="N118" s="2273"/>
      <c r="O118" s="2273"/>
      <c r="P118" s="2273"/>
      <c r="Q118" s="2273"/>
    </row>
    <row r="119" spans="2:17" s="747" customFormat="1">
      <c r="B119" s="2273"/>
      <c r="C119" s="2273"/>
      <c r="D119" s="2273"/>
      <c r="E119" s="2273"/>
      <c r="F119" s="2273"/>
      <c r="G119" s="2273"/>
      <c r="H119" s="2273"/>
      <c r="I119" s="2273"/>
      <c r="J119" s="2273"/>
      <c r="K119" s="2273"/>
      <c r="L119" s="2273"/>
      <c r="M119" s="2273"/>
      <c r="N119" s="2273"/>
      <c r="O119" s="2273"/>
      <c r="P119" s="2273"/>
      <c r="Q119" s="2273"/>
    </row>
    <row r="120" spans="2:17" s="747" customFormat="1">
      <c r="B120" s="2273"/>
      <c r="C120" s="2273"/>
      <c r="D120" s="2273"/>
      <c r="E120" s="2273"/>
      <c r="F120" s="2273"/>
      <c r="G120" s="2273"/>
      <c r="H120" s="2273"/>
      <c r="I120" s="2273"/>
      <c r="J120" s="2273"/>
      <c r="K120" s="2273"/>
      <c r="L120" s="2273"/>
      <c r="M120" s="2273"/>
      <c r="N120" s="2273"/>
      <c r="O120" s="2273"/>
      <c r="P120" s="2273"/>
      <c r="Q120" s="2273"/>
    </row>
    <row r="121" spans="2:17" s="747" customFormat="1">
      <c r="B121" s="2273"/>
      <c r="C121" s="2273"/>
      <c r="D121" s="2273"/>
      <c r="E121" s="2273"/>
      <c r="F121" s="2273"/>
      <c r="G121" s="2273"/>
      <c r="H121" s="2273"/>
      <c r="I121" s="2273"/>
      <c r="J121" s="2273"/>
      <c r="K121" s="2273"/>
      <c r="L121" s="2273"/>
      <c r="M121" s="2273"/>
      <c r="N121" s="2273"/>
      <c r="O121" s="2273"/>
      <c r="P121" s="2273"/>
      <c r="Q121" s="2273"/>
    </row>
    <row r="122" spans="2:17" s="747" customFormat="1">
      <c r="B122" s="2273"/>
      <c r="C122" s="2273"/>
      <c r="D122" s="2273"/>
      <c r="E122" s="2273"/>
      <c r="F122" s="2273"/>
      <c r="G122" s="2273"/>
      <c r="H122" s="2273"/>
      <c r="I122" s="2273"/>
      <c r="J122" s="2273"/>
      <c r="K122" s="2273"/>
      <c r="L122" s="2273"/>
      <c r="M122" s="2273"/>
      <c r="N122" s="2273"/>
      <c r="O122" s="2273"/>
      <c r="P122" s="2273"/>
      <c r="Q122" s="2273"/>
    </row>
    <row r="123" spans="2:17" s="747" customFormat="1">
      <c r="B123" s="2273"/>
      <c r="C123" s="2273"/>
      <c r="D123" s="2273"/>
      <c r="E123" s="2273"/>
      <c r="F123" s="2273"/>
      <c r="G123" s="2273"/>
      <c r="H123" s="2273"/>
      <c r="I123" s="2273"/>
      <c r="J123" s="2273"/>
      <c r="K123" s="2273"/>
      <c r="L123" s="2273"/>
      <c r="M123" s="2273"/>
      <c r="N123" s="2273"/>
      <c r="O123" s="2273"/>
      <c r="P123" s="2273"/>
      <c r="Q123" s="2273"/>
    </row>
    <row r="124" spans="2:17" s="747" customFormat="1">
      <c r="B124" s="2273"/>
      <c r="C124" s="2273"/>
      <c r="D124" s="2273"/>
      <c r="E124" s="2273"/>
      <c r="F124" s="2273"/>
      <c r="G124" s="2273"/>
      <c r="H124" s="2273"/>
      <c r="I124" s="2273"/>
      <c r="J124" s="2273"/>
      <c r="K124" s="2273"/>
      <c r="L124" s="2273"/>
      <c r="M124" s="2273"/>
      <c r="N124" s="2273"/>
      <c r="O124" s="2273"/>
      <c r="P124" s="2273"/>
      <c r="Q124" s="2273"/>
    </row>
    <row r="125" spans="2:17" s="747" customFormat="1">
      <c r="B125" s="2273"/>
      <c r="C125" s="2273"/>
      <c r="D125" s="2273"/>
      <c r="E125" s="2273"/>
      <c r="F125" s="2273"/>
      <c r="G125" s="2273"/>
      <c r="H125" s="2273"/>
      <c r="I125" s="2273"/>
      <c r="J125" s="2273"/>
      <c r="K125" s="2273"/>
      <c r="L125" s="2273"/>
      <c r="M125" s="2273"/>
      <c r="N125" s="2273"/>
      <c r="O125" s="2273"/>
      <c r="P125" s="2273"/>
      <c r="Q125" s="2273"/>
    </row>
    <row r="126" spans="2:17" s="747" customFormat="1">
      <c r="B126" s="2273"/>
      <c r="C126" s="2273"/>
      <c r="D126" s="2273"/>
      <c r="E126" s="2273"/>
      <c r="F126" s="2273"/>
      <c r="G126" s="2273"/>
      <c r="H126" s="2273"/>
      <c r="I126" s="2273"/>
      <c r="J126" s="2273"/>
      <c r="K126" s="2273"/>
      <c r="L126" s="2273"/>
      <c r="M126" s="2273"/>
      <c r="N126" s="2273"/>
      <c r="O126" s="2273"/>
      <c r="P126" s="2273"/>
      <c r="Q126" s="2273"/>
    </row>
    <row r="127" spans="2:17" s="747" customFormat="1">
      <c r="B127" s="2273"/>
      <c r="C127" s="2273"/>
      <c r="D127" s="2273"/>
      <c r="E127" s="2273"/>
      <c r="F127" s="2273"/>
      <c r="G127" s="2273"/>
      <c r="H127" s="2273"/>
      <c r="I127" s="2273"/>
      <c r="J127" s="2273"/>
      <c r="K127" s="2273"/>
      <c r="L127" s="2273"/>
      <c r="M127" s="2273"/>
      <c r="N127" s="2273"/>
      <c r="O127" s="2273"/>
      <c r="P127" s="2273"/>
      <c r="Q127" s="2273"/>
    </row>
    <row r="128" spans="2:17" s="747" customFormat="1">
      <c r="B128" s="2273"/>
      <c r="C128" s="2273"/>
      <c r="D128" s="2273"/>
      <c r="E128" s="2273"/>
      <c r="F128" s="2273"/>
      <c r="G128" s="2273"/>
      <c r="H128" s="2273"/>
      <c r="I128" s="2273"/>
      <c r="J128" s="2273"/>
      <c r="K128" s="2273"/>
      <c r="L128" s="2273"/>
      <c r="M128" s="2273"/>
      <c r="N128" s="2273"/>
      <c r="O128" s="2273"/>
      <c r="P128" s="2273"/>
      <c r="Q128" s="2273"/>
    </row>
    <row r="129" spans="2:17" s="747" customFormat="1">
      <c r="B129" s="2273"/>
      <c r="C129" s="2273"/>
      <c r="D129" s="2273"/>
      <c r="E129" s="2273"/>
      <c r="F129" s="2273"/>
      <c r="G129" s="2273"/>
      <c r="H129" s="2273"/>
      <c r="I129" s="2273"/>
      <c r="J129" s="2273"/>
      <c r="K129" s="2273"/>
      <c r="L129" s="2273"/>
      <c r="M129" s="2273"/>
      <c r="N129" s="2273"/>
      <c r="O129" s="2273"/>
      <c r="P129" s="2273"/>
      <c r="Q129" s="2273"/>
    </row>
    <row r="130" spans="2:17" s="747" customFormat="1">
      <c r="B130" s="2273"/>
      <c r="C130" s="2273"/>
      <c r="D130" s="2273"/>
      <c r="E130" s="2273"/>
      <c r="F130" s="2273"/>
      <c r="G130" s="2273"/>
      <c r="H130" s="2273"/>
      <c r="I130" s="2273"/>
      <c r="J130" s="2273"/>
      <c r="K130" s="2273"/>
      <c r="L130" s="2273"/>
      <c r="M130" s="2273"/>
      <c r="N130" s="2273"/>
      <c r="O130" s="2273"/>
      <c r="P130" s="2273"/>
      <c r="Q130" s="2273"/>
    </row>
    <row r="131" spans="2:17" s="747" customFormat="1">
      <c r="B131" s="2273"/>
      <c r="C131" s="2273"/>
      <c r="D131" s="2273"/>
      <c r="E131" s="2273"/>
      <c r="F131" s="2273"/>
      <c r="G131" s="2273"/>
      <c r="H131" s="2273"/>
      <c r="I131" s="2273"/>
      <c r="J131" s="2273"/>
      <c r="K131" s="2273"/>
      <c r="L131" s="2273"/>
      <c r="M131" s="2273"/>
      <c r="N131" s="2273"/>
      <c r="O131" s="2273"/>
      <c r="P131" s="2273"/>
      <c r="Q131" s="2273"/>
    </row>
    <row r="132" spans="2:17" s="747" customFormat="1">
      <c r="B132" s="2273"/>
      <c r="C132" s="2273"/>
      <c r="D132" s="2273"/>
      <c r="E132" s="2273"/>
      <c r="F132" s="2273"/>
      <c r="G132" s="2273"/>
      <c r="H132" s="2273"/>
      <c r="I132" s="2273"/>
      <c r="J132" s="2273"/>
      <c r="K132" s="2273"/>
      <c r="L132" s="2273"/>
      <c r="M132" s="2273"/>
      <c r="N132" s="2273"/>
      <c r="O132" s="2273"/>
      <c r="P132" s="2273"/>
      <c r="Q132" s="2273"/>
    </row>
    <row r="133" spans="2:17" s="747" customFormat="1">
      <c r="B133" s="2273"/>
      <c r="C133" s="2273"/>
      <c r="D133" s="2273"/>
      <c r="E133" s="2273"/>
      <c r="F133" s="2273"/>
      <c r="G133" s="2273"/>
      <c r="H133" s="2273"/>
      <c r="I133" s="2273"/>
      <c r="J133" s="2273"/>
      <c r="K133" s="2273"/>
      <c r="L133" s="2273"/>
      <c r="M133" s="2273"/>
      <c r="N133" s="2273"/>
      <c r="O133" s="2273"/>
      <c r="P133" s="2273"/>
      <c r="Q133" s="2273"/>
    </row>
    <row r="134" spans="2:17" s="747" customFormat="1">
      <c r="B134" s="2273"/>
      <c r="C134" s="2273"/>
      <c r="D134" s="2273"/>
      <c r="E134" s="2273"/>
      <c r="F134" s="2273"/>
      <c r="G134" s="2273"/>
      <c r="H134" s="2273"/>
      <c r="I134" s="2273"/>
      <c r="J134" s="2273"/>
      <c r="K134" s="2273"/>
      <c r="L134" s="2273"/>
      <c r="M134" s="2273"/>
      <c r="N134" s="2273"/>
      <c r="O134" s="2273"/>
      <c r="P134" s="2273"/>
      <c r="Q134" s="2273"/>
    </row>
    <row r="135" spans="2:17" s="747" customFormat="1">
      <c r="B135" s="2273"/>
      <c r="C135" s="2273"/>
      <c r="D135" s="2273"/>
      <c r="E135" s="2273"/>
      <c r="F135" s="2273"/>
      <c r="G135" s="2273"/>
      <c r="H135" s="2273"/>
      <c r="I135" s="2273"/>
      <c r="J135" s="2273"/>
      <c r="K135" s="2273"/>
      <c r="L135" s="2273"/>
      <c r="M135" s="2273"/>
      <c r="N135" s="2273"/>
      <c r="O135" s="2273"/>
      <c r="P135" s="2273"/>
      <c r="Q135" s="2273"/>
    </row>
    <row r="136" spans="2:17" s="747" customFormat="1">
      <c r="B136" s="2273"/>
      <c r="C136" s="2273"/>
      <c r="D136" s="2273"/>
      <c r="E136" s="2273"/>
      <c r="F136" s="2273"/>
      <c r="G136" s="2273"/>
      <c r="H136" s="2273"/>
      <c r="I136" s="2273"/>
      <c r="J136" s="2273"/>
      <c r="K136" s="2273"/>
      <c r="L136" s="2273"/>
      <c r="M136" s="2273"/>
      <c r="N136" s="2273"/>
      <c r="O136" s="2273"/>
      <c r="P136" s="2273"/>
      <c r="Q136" s="2273"/>
    </row>
    <row r="137" spans="2:17" s="747" customFormat="1">
      <c r="B137" s="2273"/>
      <c r="C137" s="2273"/>
      <c r="D137" s="2273"/>
      <c r="E137" s="2273"/>
      <c r="F137" s="2273"/>
      <c r="G137" s="2273"/>
      <c r="H137" s="2273"/>
      <c r="I137" s="2273"/>
      <c r="J137" s="2273"/>
      <c r="K137" s="2273"/>
      <c r="L137" s="2273"/>
      <c r="M137" s="2273"/>
      <c r="N137" s="2273"/>
      <c r="O137" s="2273"/>
      <c r="P137" s="2273"/>
      <c r="Q137" s="2273"/>
    </row>
    <row r="138" spans="2:17" s="747" customFormat="1">
      <c r="B138" s="2273"/>
      <c r="C138" s="2273"/>
      <c r="D138" s="2273"/>
      <c r="E138" s="2273"/>
      <c r="F138" s="2273"/>
      <c r="G138" s="2273"/>
      <c r="H138" s="2273"/>
      <c r="I138" s="2273"/>
      <c r="J138" s="2273"/>
      <c r="K138" s="2273"/>
      <c r="L138" s="2273"/>
      <c r="M138" s="2273"/>
      <c r="N138" s="2273"/>
      <c r="O138" s="2273"/>
      <c r="P138" s="2273"/>
      <c r="Q138" s="2273"/>
    </row>
    <row r="139" spans="2:17" s="747" customFormat="1">
      <c r="B139" s="2273"/>
      <c r="C139" s="2273"/>
      <c r="D139" s="2273"/>
      <c r="E139" s="2273"/>
      <c r="F139" s="2273"/>
      <c r="G139" s="2273"/>
      <c r="H139" s="2273"/>
      <c r="I139" s="2273"/>
      <c r="J139" s="2273"/>
      <c r="K139" s="2273"/>
      <c r="L139" s="2273"/>
      <c r="M139" s="2273"/>
      <c r="N139" s="2273"/>
      <c r="O139" s="2273"/>
      <c r="P139" s="2273"/>
      <c r="Q139" s="2273"/>
    </row>
    <row r="140" spans="2:17" s="747" customFormat="1">
      <c r="B140" s="2273"/>
      <c r="C140" s="2273"/>
      <c r="D140" s="2273"/>
      <c r="E140" s="2273"/>
      <c r="F140" s="2273"/>
      <c r="G140" s="2273"/>
      <c r="H140" s="2273"/>
      <c r="I140" s="2273"/>
      <c r="J140" s="2273"/>
      <c r="K140" s="2273"/>
      <c r="L140" s="2273"/>
      <c r="M140" s="2273"/>
      <c r="N140" s="2273"/>
      <c r="O140" s="2273"/>
      <c r="P140" s="2273"/>
      <c r="Q140" s="2273"/>
    </row>
    <row r="141" spans="2:17" s="747" customFormat="1">
      <c r="B141" s="2273"/>
      <c r="C141" s="2273"/>
      <c r="D141" s="2273"/>
      <c r="E141" s="2273"/>
      <c r="F141" s="2273"/>
      <c r="G141" s="2273"/>
      <c r="H141" s="2273"/>
      <c r="I141" s="2273"/>
      <c r="J141" s="2273"/>
      <c r="K141" s="2273"/>
      <c r="L141" s="2273"/>
      <c r="M141" s="2273"/>
      <c r="N141" s="2273"/>
      <c r="O141" s="2273"/>
      <c r="P141" s="2273"/>
      <c r="Q141" s="2273"/>
    </row>
    <row r="142" spans="2:17" s="747" customFormat="1">
      <c r="B142" s="2273"/>
      <c r="C142" s="2273"/>
      <c r="D142" s="2273"/>
      <c r="E142" s="2273"/>
      <c r="F142" s="2273"/>
      <c r="G142" s="2273"/>
      <c r="H142" s="2273"/>
      <c r="I142" s="2273"/>
      <c r="J142" s="2273"/>
      <c r="K142" s="2273"/>
      <c r="L142" s="2273"/>
      <c r="M142" s="2273"/>
      <c r="N142" s="2273"/>
      <c r="O142" s="2273"/>
      <c r="P142" s="2273"/>
      <c r="Q142" s="2273"/>
    </row>
    <row r="143" spans="2:17" s="747" customFormat="1">
      <c r="B143" s="2273"/>
      <c r="C143" s="2273"/>
      <c r="D143" s="2273"/>
      <c r="E143" s="2273"/>
      <c r="F143" s="2273"/>
      <c r="G143" s="2273"/>
      <c r="H143" s="2273"/>
      <c r="I143" s="2273"/>
      <c r="J143" s="2273"/>
      <c r="K143" s="2273"/>
      <c r="L143" s="2273"/>
      <c r="M143" s="2273"/>
      <c r="N143" s="2273"/>
      <c r="O143" s="2273"/>
      <c r="P143" s="2273"/>
      <c r="Q143" s="2273"/>
    </row>
    <row r="144" spans="2:17" s="747" customFormat="1">
      <c r="B144" s="2273"/>
      <c r="C144" s="2273"/>
      <c r="D144" s="2273"/>
      <c r="E144" s="2273"/>
      <c r="F144" s="2273"/>
      <c r="G144" s="2273"/>
      <c r="H144" s="2273"/>
      <c r="I144" s="2273"/>
      <c r="J144" s="2273"/>
      <c r="K144" s="2273"/>
      <c r="L144" s="2273"/>
      <c r="M144" s="2273"/>
      <c r="N144" s="2273"/>
      <c r="O144" s="2273"/>
      <c r="P144" s="2273"/>
      <c r="Q144" s="2273"/>
    </row>
    <row r="145" spans="2:17" s="747" customFormat="1">
      <c r="B145" s="2273"/>
      <c r="C145" s="2273"/>
      <c r="D145" s="2273"/>
      <c r="E145" s="2273"/>
      <c r="F145" s="2273"/>
      <c r="G145" s="2273"/>
      <c r="H145" s="2273"/>
      <c r="I145" s="2273"/>
      <c r="J145" s="2273"/>
      <c r="K145" s="2273"/>
      <c r="L145" s="2273"/>
      <c r="M145" s="2273"/>
      <c r="N145" s="2273"/>
      <c r="O145" s="2273"/>
      <c r="P145" s="2273"/>
      <c r="Q145" s="2273"/>
    </row>
    <row r="146" spans="2:17" s="747" customFormat="1">
      <c r="B146" s="2273"/>
      <c r="C146" s="2273"/>
      <c r="D146" s="2273"/>
      <c r="E146" s="2273"/>
      <c r="F146" s="2273"/>
      <c r="G146" s="2273"/>
      <c r="H146" s="2273"/>
      <c r="I146" s="2273"/>
      <c r="J146" s="2273"/>
      <c r="K146" s="2273"/>
      <c r="L146" s="2273"/>
      <c r="M146" s="2273"/>
      <c r="N146" s="2273"/>
      <c r="O146" s="2273"/>
      <c r="P146" s="2273"/>
      <c r="Q146" s="2273"/>
    </row>
    <row r="147" spans="2:17" s="747" customFormat="1">
      <c r="B147" s="2273"/>
      <c r="C147" s="2273"/>
      <c r="D147" s="2273"/>
      <c r="E147" s="2273"/>
      <c r="F147" s="2273"/>
      <c r="G147" s="2273"/>
      <c r="H147" s="2273"/>
      <c r="I147" s="2273"/>
      <c r="J147" s="2273"/>
      <c r="K147" s="2273"/>
      <c r="L147" s="2273"/>
      <c r="M147" s="2273"/>
      <c r="N147" s="2273"/>
      <c r="O147" s="2273"/>
      <c r="P147" s="2273"/>
      <c r="Q147" s="2273"/>
    </row>
    <row r="148" spans="2:17" s="747" customFormat="1">
      <c r="B148" s="2273"/>
      <c r="C148" s="2273"/>
      <c r="D148" s="2273"/>
      <c r="E148" s="2273"/>
      <c r="F148" s="2273"/>
      <c r="G148" s="2273"/>
      <c r="H148" s="2273"/>
      <c r="I148" s="2273"/>
      <c r="J148" s="2273"/>
      <c r="K148" s="2273"/>
      <c r="L148" s="2273"/>
      <c r="M148" s="2273"/>
      <c r="N148" s="2273"/>
      <c r="O148" s="2273"/>
      <c r="P148" s="2273"/>
      <c r="Q148" s="2273"/>
    </row>
    <row r="149" spans="2:17" s="747" customFormat="1">
      <c r="B149" s="2273"/>
      <c r="C149" s="2273"/>
      <c r="D149" s="2273"/>
      <c r="E149" s="2273"/>
      <c r="F149" s="2273"/>
      <c r="G149" s="2273"/>
      <c r="H149" s="2273"/>
      <c r="I149" s="2273"/>
      <c r="J149" s="2273"/>
      <c r="K149" s="2273"/>
      <c r="L149" s="2273"/>
      <c r="M149" s="2273"/>
      <c r="N149" s="2273"/>
      <c r="O149" s="2273"/>
      <c r="P149" s="2273"/>
      <c r="Q149" s="2273"/>
    </row>
    <row r="150" spans="2:17" s="747" customFormat="1">
      <c r="B150" s="2273"/>
      <c r="C150" s="2273"/>
      <c r="D150" s="2273"/>
      <c r="E150" s="2273"/>
      <c r="F150" s="2273"/>
      <c r="G150" s="2273"/>
      <c r="H150" s="2273"/>
      <c r="I150" s="2273"/>
      <c r="J150" s="2273"/>
      <c r="K150" s="2273"/>
      <c r="L150" s="2273"/>
      <c r="M150" s="2273"/>
      <c r="N150" s="2273"/>
      <c r="O150" s="2273"/>
      <c r="P150" s="2273"/>
      <c r="Q150" s="2273"/>
    </row>
    <row r="151" spans="2:17" s="747" customFormat="1">
      <c r="B151" s="2273"/>
      <c r="C151" s="2273"/>
      <c r="D151" s="2273"/>
      <c r="E151" s="2273"/>
      <c r="F151" s="2273"/>
      <c r="G151" s="2273"/>
      <c r="H151" s="2273"/>
      <c r="I151" s="2273"/>
      <c r="J151" s="2273"/>
      <c r="K151" s="2273"/>
      <c r="L151" s="2273"/>
      <c r="M151" s="2273"/>
      <c r="N151" s="2273"/>
      <c r="O151" s="2273"/>
      <c r="P151" s="2273"/>
      <c r="Q151" s="2273"/>
    </row>
    <row r="152" spans="2:17" s="747" customFormat="1">
      <c r="B152" s="2273"/>
      <c r="C152" s="2273"/>
      <c r="D152" s="2273"/>
      <c r="E152" s="2273"/>
      <c r="F152" s="2273"/>
      <c r="G152" s="2273"/>
      <c r="H152" s="2273"/>
      <c r="I152" s="2273"/>
      <c r="J152" s="2273"/>
      <c r="K152" s="2273"/>
      <c r="L152" s="2273"/>
      <c r="M152" s="2273"/>
      <c r="N152" s="2273"/>
      <c r="O152" s="2273"/>
      <c r="P152" s="2273"/>
      <c r="Q152" s="2273"/>
    </row>
    <row r="153" spans="2:17" s="747" customFormat="1">
      <c r="B153" s="2273"/>
      <c r="C153" s="2273"/>
      <c r="D153" s="2273"/>
      <c r="E153" s="2273"/>
      <c r="F153" s="2273"/>
      <c r="G153" s="2273"/>
      <c r="H153" s="2273"/>
      <c r="I153" s="2273"/>
      <c r="J153" s="2273"/>
      <c r="K153" s="2273"/>
      <c r="L153" s="2273"/>
      <c r="M153" s="2273"/>
      <c r="N153" s="2273"/>
      <c r="O153" s="2273"/>
      <c r="P153" s="2273"/>
      <c r="Q153" s="2273"/>
    </row>
    <row r="154" spans="2:17" s="747" customFormat="1">
      <c r="B154" s="2273"/>
      <c r="C154" s="2273"/>
      <c r="D154" s="2273"/>
      <c r="E154" s="2273"/>
      <c r="F154" s="2273"/>
      <c r="G154" s="2273"/>
      <c r="H154" s="2273"/>
      <c r="I154" s="2273"/>
      <c r="J154" s="2273"/>
      <c r="K154" s="2273"/>
      <c r="L154" s="2273"/>
      <c r="M154" s="2273"/>
      <c r="N154" s="2273"/>
      <c r="O154" s="2273"/>
      <c r="P154" s="2273"/>
      <c r="Q154" s="2273"/>
    </row>
    <row r="155" spans="2:17" s="747" customFormat="1">
      <c r="B155" s="2273"/>
      <c r="C155" s="2273"/>
      <c r="D155" s="2273"/>
      <c r="E155" s="2273"/>
      <c r="F155" s="2273"/>
      <c r="G155" s="2273"/>
      <c r="H155" s="2273"/>
      <c r="I155" s="2273"/>
      <c r="J155" s="2273"/>
      <c r="K155" s="2273"/>
      <c r="L155" s="2273"/>
      <c r="M155" s="2273"/>
      <c r="N155" s="2273"/>
      <c r="O155" s="2273"/>
      <c r="P155" s="2273"/>
      <c r="Q155" s="2273"/>
    </row>
    <row r="156" spans="2:17" s="747" customFormat="1">
      <c r="B156" s="2273"/>
      <c r="C156" s="2273"/>
      <c r="D156" s="2273"/>
      <c r="E156" s="2273"/>
      <c r="F156" s="2273"/>
      <c r="G156" s="2273"/>
      <c r="H156" s="2273"/>
      <c r="I156" s="2273"/>
      <c r="J156" s="2273"/>
      <c r="K156" s="2273"/>
      <c r="L156" s="2273"/>
      <c r="M156" s="2273"/>
      <c r="N156" s="2273"/>
      <c r="O156" s="2273"/>
      <c r="P156" s="2273"/>
      <c r="Q156" s="2273"/>
    </row>
    <row r="157" spans="2:17" s="747" customFormat="1">
      <c r="B157" s="2273"/>
      <c r="C157" s="2273"/>
      <c r="D157" s="2273"/>
      <c r="E157" s="2273"/>
      <c r="F157" s="2273"/>
      <c r="G157" s="2273"/>
      <c r="H157" s="2273"/>
      <c r="I157" s="2273"/>
      <c r="J157" s="2273"/>
      <c r="K157" s="2273"/>
      <c r="L157" s="2273"/>
      <c r="M157" s="2273"/>
      <c r="N157" s="2273"/>
      <c r="O157" s="2273"/>
      <c r="P157" s="2273"/>
      <c r="Q157" s="2273"/>
    </row>
    <row r="158" spans="2:17" s="747" customFormat="1">
      <c r="B158" s="2273"/>
      <c r="C158" s="2273"/>
      <c r="D158" s="2273"/>
      <c r="E158" s="2273"/>
      <c r="F158" s="2273"/>
      <c r="G158" s="2273"/>
      <c r="H158" s="2273"/>
      <c r="I158" s="2273"/>
      <c r="J158" s="2273"/>
      <c r="K158" s="2273"/>
      <c r="L158" s="2273"/>
      <c r="M158" s="2273"/>
      <c r="N158" s="2273"/>
      <c r="O158" s="2273"/>
      <c r="P158" s="2273"/>
      <c r="Q158" s="2273"/>
    </row>
    <row r="159" spans="2:17" s="747" customFormat="1">
      <c r="B159" s="2273"/>
      <c r="C159" s="2273"/>
      <c r="D159" s="2273"/>
      <c r="E159" s="2273"/>
      <c r="F159" s="2273"/>
      <c r="G159" s="2273"/>
      <c r="H159" s="2273"/>
      <c r="I159" s="2273"/>
      <c r="J159" s="2273"/>
      <c r="K159" s="2273"/>
      <c r="L159" s="2273"/>
      <c r="M159" s="2273"/>
      <c r="N159" s="2273"/>
      <c r="O159" s="2273"/>
      <c r="P159" s="2273"/>
      <c r="Q159" s="2273"/>
    </row>
    <row r="160" spans="2:17" s="747" customFormat="1">
      <c r="B160" s="2273"/>
      <c r="C160" s="2273"/>
      <c r="D160" s="2273"/>
      <c r="E160" s="2273"/>
      <c r="F160" s="2273"/>
      <c r="G160" s="2273"/>
      <c r="H160" s="2273"/>
      <c r="I160" s="2273"/>
      <c r="J160" s="2273"/>
      <c r="K160" s="2273"/>
      <c r="L160" s="2273"/>
      <c r="M160" s="2273"/>
      <c r="N160" s="2273"/>
      <c r="O160" s="2273"/>
      <c r="P160" s="2273"/>
      <c r="Q160" s="2273"/>
    </row>
    <row r="161" spans="2:17" s="747" customFormat="1">
      <c r="B161" s="2273"/>
      <c r="C161" s="2273"/>
      <c r="D161" s="2273"/>
      <c r="E161" s="2273"/>
      <c r="F161" s="2273"/>
      <c r="G161" s="2273"/>
      <c r="H161" s="2273"/>
      <c r="I161" s="2273"/>
      <c r="J161" s="2273"/>
      <c r="K161" s="2273"/>
      <c r="L161" s="2273"/>
      <c r="M161" s="2273"/>
      <c r="N161" s="2273"/>
      <c r="O161" s="2273"/>
      <c r="P161" s="2273"/>
      <c r="Q161" s="2273"/>
    </row>
    <row r="162" spans="2:17" s="747" customFormat="1">
      <c r="B162" s="2273"/>
      <c r="C162" s="2273"/>
      <c r="D162" s="2273"/>
      <c r="E162" s="2273"/>
      <c r="F162" s="2273"/>
      <c r="G162" s="2273"/>
      <c r="H162" s="2273"/>
      <c r="I162" s="2273"/>
      <c r="J162" s="2273"/>
      <c r="K162" s="2273"/>
      <c r="L162" s="2273"/>
      <c r="M162" s="2273"/>
      <c r="N162" s="2273"/>
      <c r="O162" s="2273"/>
      <c r="P162" s="2273"/>
      <c r="Q162" s="2273"/>
    </row>
    <row r="163" spans="2:17" s="747" customFormat="1">
      <c r="B163" s="2273"/>
      <c r="C163" s="2273"/>
      <c r="D163" s="2273"/>
      <c r="E163" s="2273"/>
      <c r="F163" s="2273"/>
      <c r="G163" s="2273"/>
      <c r="H163" s="2273"/>
      <c r="I163" s="2273"/>
      <c r="J163" s="2273"/>
      <c r="K163" s="2273"/>
      <c r="L163" s="2273"/>
      <c r="M163" s="2273"/>
      <c r="N163" s="2273"/>
      <c r="O163" s="2273"/>
      <c r="P163" s="2273"/>
      <c r="Q163" s="2273"/>
    </row>
    <row r="164" spans="2:17" s="747" customFormat="1">
      <c r="B164" s="2273"/>
      <c r="C164" s="2273"/>
      <c r="D164" s="2273"/>
      <c r="E164" s="2273"/>
      <c r="F164" s="2273"/>
      <c r="G164" s="2273"/>
      <c r="H164" s="2273"/>
      <c r="I164" s="2273"/>
      <c r="J164" s="2273"/>
      <c r="K164" s="2273"/>
      <c r="L164" s="2273"/>
      <c r="M164" s="2273"/>
      <c r="N164" s="2273"/>
      <c r="O164" s="2273"/>
      <c r="P164" s="2273"/>
      <c r="Q164" s="2273"/>
    </row>
    <row r="165" spans="2:17" s="747" customFormat="1">
      <c r="B165" s="2273"/>
      <c r="C165" s="2273"/>
      <c r="D165" s="2273"/>
      <c r="E165" s="2273"/>
      <c r="F165" s="2273"/>
      <c r="G165" s="2273"/>
      <c r="H165" s="2273"/>
      <c r="I165" s="2273"/>
      <c r="J165" s="2273"/>
      <c r="K165" s="2273"/>
      <c r="L165" s="2273"/>
      <c r="M165" s="2273"/>
      <c r="N165" s="2273"/>
      <c r="O165" s="2273"/>
      <c r="P165" s="2273"/>
      <c r="Q165" s="2273"/>
    </row>
    <row r="166" spans="2:17" s="747" customFormat="1">
      <c r="B166" s="2273"/>
      <c r="C166" s="2273"/>
      <c r="D166" s="2273"/>
      <c r="E166" s="2273"/>
      <c r="F166" s="2273"/>
      <c r="G166" s="2273"/>
      <c r="H166" s="2273"/>
      <c r="I166" s="2273"/>
      <c r="J166" s="2273"/>
      <c r="K166" s="2273"/>
      <c r="L166" s="2273"/>
      <c r="M166" s="2273"/>
      <c r="N166" s="2273"/>
      <c r="O166" s="2273"/>
      <c r="P166" s="2273"/>
      <c r="Q166" s="2273"/>
    </row>
    <row r="167" spans="2:17" s="747" customFormat="1">
      <c r="B167" s="2273"/>
      <c r="C167" s="2273"/>
      <c r="D167" s="2273"/>
      <c r="E167" s="2273"/>
      <c r="F167" s="2273"/>
      <c r="G167" s="2273"/>
      <c r="H167" s="2273"/>
      <c r="I167" s="2273"/>
      <c r="J167" s="2273"/>
      <c r="K167" s="2273"/>
      <c r="L167" s="2273"/>
      <c r="M167" s="2273"/>
      <c r="N167" s="2273"/>
      <c r="O167" s="2273"/>
      <c r="P167" s="2273"/>
      <c r="Q167" s="2273"/>
    </row>
    <row r="168" spans="2:17" s="747" customFormat="1">
      <c r="B168" s="2273"/>
      <c r="C168" s="2273"/>
      <c r="D168" s="2273"/>
      <c r="E168" s="2273"/>
      <c r="F168" s="2273"/>
      <c r="G168" s="2273"/>
      <c r="H168" s="2273"/>
      <c r="I168" s="2273"/>
      <c r="J168" s="2273"/>
      <c r="K168" s="2273"/>
      <c r="L168" s="2273"/>
      <c r="M168" s="2273"/>
      <c r="N168" s="2273"/>
      <c r="O168" s="2273"/>
      <c r="P168" s="2273"/>
      <c r="Q168" s="2273"/>
    </row>
    <row r="169" spans="2:17" s="747" customFormat="1">
      <c r="B169" s="2273"/>
      <c r="C169" s="2273"/>
      <c r="D169" s="2273"/>
      <c r="E169" s="2273"/>
      <c r="F169" s="2273"/>
      <c r="G169" s="2273"/>
      <c r="H169" s="2273"/>
      <c r="I169" s="2273"/>
      <c r="J169" s="2273"/>
      <c r="K169" s="2273"/>
      <c r="L169" s="2273"/>
      <c r="M169" s="2273"/>
      <c r="N169" s="2273"/>
      <c r="O169" s="2273"/>
      <c r="P169" s="2273"/>
      <c r="Q169" s="2273"/>
    </row>
    <row r="170" spans="2:17" s="747" customFormat="1">
      <c r="B170" s="2273"/>
      <c r="C170" s="2273"/>
      <c r="D170" s="2273"/>
      <c r="E170" s="2273"/>
      <c r="F170" s="2273"/>
      <c r="G170" s="2273"/>
      <c r="H170" s="2273"/>
      <c r="I170" s="2273"/>
      <c r="J170" s="2273"/>
      <c r="K170" s="2273"/>
      <c r="L170" s="2273"/>
      <c r="M170" s="2273"/>
      <c r="N170" s="2273"/>
      <c r="O170" s="2273"/>
      <c r="P170" s="2273"/>
      <c r="Q170" s="2273"/>
    </row>
    <row r="171" spans="2:17" s="747" customFormat="1">
      <c r="B171" s="2273"/>
      <c r="C171" s="2273"/>
      <c r="D171" s="2273"/>
      <c r="E171" s="2273"/>
      <c r="F171" s="2273"/>
      <c r="G171" s="2273"/>
      <c r="H171" s="2273"/>
      <c r="I171" s="2273"/>
      <c r="J171" s="2273"/>
      <c r="K171" s="2273"/>
      <c r="L171" s="2273"/>
      <c r="M171" s="2273"/>
      <c r="N171" s="2273"/>
      <c r="O171" s="2273"/>
      <c r="P171" s="2273"/>
      <c r="Q171" s="2273"/>
    </row>
    <row r="172" spans="2:17" s="747" customFormat="1">
      <c r="B172" s="2273"/>
      <c r="C172" s="2273"/>
      <c r="D172" s="2273"/>
      <c r="E172" s="2273"/>
      <c r="F172" s="2273"/>
      <c r="G172" s="2273"/>
      <c r="H172" s="2273"/>
      <c r="I172" s="2273"/>
      <c r="J172" s="2273"/>
      <c r="K172" s="2273"/>
      <c r="L172" s="2273"/>
      <c r="M172" s="2273"/>
      <c r="N172" s="2273"/>
      <c r="O172" s="2273"/>
      <c r="P172" s="2273"/>
      <c r="Q172" s="2273"/>
    </row>
    <row r="173" spans="2:17" s="747" customFormat="1">
      <c r="B173" s="2273"/>
      <c r="C173" s="2273"/>
      <c r="D173" s="2273"/>
      <c r="E173" s="2273"/>
      <c r="F173" s="2273"/>
      <c r="G173" s="2273"/>
      <c r="H173" s="2273"/>
      <c r="I173" s="2273"/>
      <c r="J173" s="2273"/>
      <c r="K173" s="2273"/>
      <c r="L173" s="2273"/>
      <c r="M173" s="2273"/>
      <c r="N173" s="2273"/>
      <c r="O173" s="2273"/>
      <c r="P173" s="2273"/>
      <c r="Q173" s="2273"/>
    </row>
    <row r="174" spans="2:17" s="747" customFormat="1">
      <c r="B174" s="2273"/>
      <c r="C174" s="2273"/>
      <c r="D174" s="2273"/>
      <c r="E174" s="2273"/>
      <c r="F174" s="2273"/>
      <c r="G174" s="2273"/>
      <c r="H174" s="2273"/>
      <c r="I174" s="2273"/>
      <c r="J174" s="2273"/>
      <c r="K174" s="2273"/>
      <c r="L174" s="2273"/>
      <c r="M174" s="2273"/>
      <c r="N174" s="2273"/>
      <c r="O174" s="2273"/>
      <c r="P174" s="2273"/>
      <c r="Q174" s="2273"/>
    </row>
    <row r="175" spans="2:17" s="747" customFormat="1">
      <c r="B175" s="2273"/>
      <c r="C175" s="2273"/>
      <c r="D175" s="2273"/>
      <c r="E175" s="2273"/>
      <c r="F175" s="2273"/>
      <c r="G175" s="2273"/>
      <c r="H175" s="2273"/>
      <c r="I175" s="2273"/>
      <c r="J175" s="2273"/>
      <c r="K175" s="2273"/>
      <c r="L175" s="2273"/>
      <c r="M175" s="2273"/>
      <c r="N175" s="2273"/>
      <c r="O175" s="2273"/>
      <c r="P175" s="2273"/>
      <c r="Q175" s="2273"/>
    </row>
    <row r="176" spans="2:17" s="747" customFormat="1">
      <c r="B176" s="2273"/>
      <c r="C176" s="2273"/>
      <c r="D176" s="2273"/>
      <c r="E176" s="2273"/>
      <c r="F176" s="2273"/>
      <c r="G176" s="2273"/>
      <c r="H176" s="2273"/>
      <c r="I176" s="2273"/>
      <c r="J176" s="2273"/>
      <c r="K176" s="2273"/>
      <c r="L176" s="2273"/>
      <c r="M176" s="2273"/>
      <c r="N176" s="2273"/>
      <c r="O176" s="2273"/>
      <c r="P176" s="2273"/>
      <c r="Q176" s="2273"/>
    </row>
    <row r="177" spans="1:17" s="747" customFormat="1">
      <c r="B177" s="2273"/>
      <c r="C177" s="2273"/>
      <c r="D177" s="2273"/>
      <c r="E177" s="2273"/>
      <c r="F177" s="2273"/>
      <c r="G177" s="2273"/>
      <c r="H177" s="2273"/>
      <c r="I177" s="2273"/>
      <c r="J177" s="2273"/>
      <c r="K177" s="2273"/>
      <c r="L177" s="2273"/>
      <c r="M177" s="2273"/>
      <c r="N177" s="2273"/>
      <c r="O177" s="2273"/>
      <c r="P177" s="2273"/>
      <c r="Q177" s="2273"/>
    </row>
    <row r="178" spans="1:17" s="747" customFormat="1">
      <c r="B178" s="2273"/>
      <c r="C178" s="2273"/>
      <c r="D178" s="2273"/>
      <c r="E178" s="2273"/>
      <c r="F178" s="2273"/>
      <c r="G178" s="2273"/>
      <c r="H178" s="2273"/>
      <c r="I178" s="2273"/>
      <c r="J178" s="2273"/>
      <c r="K178" s="2273"/>
      <c r="L178" s="2273"/>
      <c r="M178" s="2273"/>
      <c r="N178" s="2273"/>
      <c r="O178" s="2273"/>
      <c r="P178" s="2273"/>
      <c r="Q178" s="2273"/>
    </row>
    <row r="179" spans="1:17" s="747" customFormat="1">
      <c r="B179" s="2273"/>
      <c r="C179" s="2273"/>
      <c r="D179" s="2273"/>
      <c r="E179" s="2273"/>
      <c r="F179" s="2273"/>
      <c r="G179" s="2273"/>
      <c r="H179" s="2273"/>
      <c r="I179" s="2273"/>
      <c r="J179" s="2273"/>
      <c r="K179" s="2273"/>
      <c r="L179" s="2273"/>
      <c r="M179" s="2273"/>
      <c r="N179" s="2273"/>
      <c r="O179" s="2273"/>
      <c r="P179" s="2273"/>
      <c r="Q179" s="2273"/>
    </row>
    <row r="180" spans="1:17" s="747" customFormat="1">
      <c r="B180" s="2273"/>
      <c r="C180" s="2273"/>
      <c r="D180" s="2273"/>
      <c r="E180" s="2273"/>
      <c r="F180" s="2273"/>
      <c r="G180" s="2273"/>
      <c r="H180" s="2273"/>
      <c r="I180" s="2273"/>
      <c r="J180" s="2273"/>
      <c r="K180" s="2273"/>
      <c r="L180" s="2273"/>
      <c r="M180" s="2273"/>
      <c r="N180" s="2273"/>
      <c r="O180" s="2273"/>
      <c r="P180" s="2273"/>
      <c r="Q180" s="2273"/>
    </row>
    <row r="181" spans="1:17" s="747" customFormat="1">
      <c r="B181" s="2273"/>
      <c r="C181" s="2273"/>
      <c r="D181" s="2273"/>
      <c r="E181" s="2273"/>
      <c r="F181" s="2273"/>
      <c r="G181" s="2273"/>
      <c r="H181" s="2273"/>
      <c r="I181" s="2273"/>
      <c r="J181" s="2273"/>
      <c r="K181" s="2273"/>
      <c r="L181" s="2273"/>
      <c r="M181" s="2273"/>
      <c r="N181" s="2273"/>
      <c r="O181" s="2273"/>
      <c r="P181" s="2273"/>
      <c r="Q181" s="2273"/>
    </row>
    <row r="182" spans="1:17" s="747" customFormat="1">
      <c r="B182" s="2273"/>
      <c r="C182" s="2273"/>
      <c r="D182" s="2273"/>
      <c r="E182" s="2273"/>
      <c r="F182" s="2273"/>
      <c r="G182" s="2273"/>
      <c r="H182" s="2273"/>
      <c r="I182" s="2273"/>
      <c r="J182" s="2273"/>
      <c r="K182" s="2273"/>
      <c r="L182" s="2273"/>
      <c r="M182" s="2273"/>
      <c r="N182" s="2273"/>
      <c r="O182" s="2273"/>
      <c r="P182" s="2273"/>
      <c r="Q182" s="2273"/>
    </row>
    <row r="183" spans="1:17" s="747" customFormat="1">
      <c r="B183" s="2273"/>
      <c r="C183" s="2273"/>
      <c r="D183" s="2273"/>
      <c r="E183" s="2273"/>
      <c r="F183" s="2273"/>
      <c r="G183" s="2273"/>
      <c r="H183" s="2273"/>
      <c r="I183" s="2273"/>
      <c r="J183" s="2273"/>
      <c r="K183" s="2273"/>
      <c r="L183" s="2273"/>
      <c r="M183" s="2273"/>
      <c r="N183" s="2273"/>
      <c r="O183" s="2273"/>
      <c r="P183" s="2273"/>
      <c r="Q183" s="2273"/>
    </row>
    <row r="184" spans="1:17" s="747" customFormat="1">
      <c r="B184" s="2273"/>
      <c r="C184" s="2273"/>
      <c r="D184" s="2273"/>
      <c r="E184" s="2273"/>
      <c r="F184" s="2273"/>
      <c r="G184" s="2273"/>
      <c r="H184" s="2273"/>
      <c r="I184" s="2273"/>
      <c r="J184" s="2273"/>
      <c r="K184" s="2273"/>
      <c r="L184" s="2273"/>
      <c r="M184" s="2273"/>
      <c r="N184" s="2273"/>
      <c r="O184" s="2273"/>
      <c r="P184" s="2273"/>
      <c r="Q184" s="2273"/>
    </row>
    <row r="185" spans="1:17" s="747" customFormat="1">
      <c r="B185" s="2273"/>
      <c r="C185" s="2273"/>
      <c r="D185" s="2273"/>
      <c r="E185" s="2273"/>
      <c r="F185" s="2273"/>
      <c r="G185" s="2273"/>
      <c r="H185" s="2273"/>
      <c r="I185" s="2273"/>
      <c r="J185" s="2273"/>
      <c r="K185" s="2273"/>
      <c r="L185" s="2273"/>
      <c r="M185" s="2273"/>
      <c r="N185" s="2273"/>
      <c r="O185" s="2273"/>
      <c r="P185" s="2273"/>
      <c r="Q185" s="2273"/>
    </row>
    <row r="186" spans="1:17">
      <c r="A186" s="747"/>
      <c r="B186" s="2273"/>
      <c r="C186" s="2273"/>
      <c r="E186" s="2273"/>
      <c r="F186" s="2273"/>
      <c r="G186" s="2273"/>
    </row>
    <row r="187" spans="1:17">
      <c r="A187" s="747"/>
      <c r="B187" s="2273"/>
      <c r="C187" s="2273"/>
      <c r="E187" s="2273"/>
      <c r="F187" s="2273"/>
      <c r="G187" s="22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7"/>
  <sheetViews>
    <sheetView tabSelected="1" view="pageBreakPreview" topLeftCell="A6" zoomScale="80" zoomScaleNormal="80" zoomScaleSheetLayoutView="80" workbookViewId="0">
      <selection activeCell="C27" sqref="C27:D27"/>
    </sheetView>
  </sheetViews>
  <sheetFormatPr defaultColWidth="9" defaultRowHeight="14"/>
  <cols>
    <col min="1" max="1" width="25" style="2297" customWidth="1"/>
    <col min="2" max="9" width="15.7265625" style="2297" customWidth="1"/>
    <col min="10" max="16384" width="9" style="2297"/>
  </cols>
  <sheetData>
    <row r="1" spans="1:11" ht="16.5">
      <c r="A1" s="2296" t="s">
        <v>663</v>
      </c>
      <c r="B1" s="2296">
        <f>SUM(B14:B23)</f>
        <v>52989.270000000019</v>
      </c>
      <c r="C1" s="2457"/>
      <c r="D1" s="2457"/>
      <c r="E1" s="2457"/>
      <c r="F1" s="2457"/>
      <c r="G1" s="2458"/>
      <c r="H1" s="2458"/>
      <c r="I1" s="2458"/>
      <c r="J1" s="2458"/>
      <c r="K1" s="2458"/>
    </row>
    <row r="2" spans="1:11" ht="16.5">
      <c r="A2" s="2296" t="s">
        <v>651</v>
      </c>
      <c r="B2" s="2296">
        <f>SUM(C14:C23)</f>
        <v>0</v>
      </c>
      <c r="C2" s="2457"/>
      <c r="D2" s="2457"/>
      <c r="E2" s="2457"/>
      <c r="F2" s="2457"/>
      <c r="G2" s="2458"/>
      <c r="H2" s="2458"/>
      <c r="I2" s="2458"/>
      <c r="J2" s="2458"/>
      <c r="K2" s="2458"/>
    </row>
    <row r="3" spans="1:11" ht="16.5">
      <c r="A3" s="2296" t="s">
        <v>660</v>
      </c>
      <c r="B3" s="2298">
        <f>项目基本情况!D3</f>
        <v>45478</v>
      </c>
      <c r="C3" s="2457"/>
      <c r="D3" s="2457"/>
      <c r="E3" s="2457"/>
      <c r="F3" s="2457"/>
      <c r="G3" s="2458"/>
      <c r="H3" s="2458"/>
      <c r="I3" s="2458"/>
      <c r="J3" s="2458"/>
      <c r="K3" s="2458"/>
    </row>
    <row r="4" spans="1:11" ht="33">
      <c r="A4" s="2296" t="s">
        <v>659</v>
      </c>
      <c r="B4" s="2296" t="s">
        <v>658</v>
      </c>
      <c r="C4" s="2296" t="s">
        <v>657</v>
      </c>
      <c r="D4" s="2296" t="s">
        <v>656</v>
      </c>
      <c r="E4" s="2457"/>
      <c r="F4" s="2458"/>
      <c r="G4" s="2458"/>
      <c r="H4" s="2458"/>
      <c r="I4" s="2458"/>
      <c r="J4" s="2458"/>
      <c r="K4" s="2458"/>
    </row>
    <row r="5" spans="1:11" ht="16.5">
      <c r="A5" s="2296" t="s">
        <v>655</v>
      </c>
      <c r="B5" s="2296">
        <f ca="1">SUM(D14:D23)</f>
        <v>106486</v>
      </c>
      <c r="C5" s="2296">
        <f ca="1">IF(B5=D14,结果表!H102,ROUND(B5*10000/$B$1,0))</f>
        <v>20096</v>
      </c>
      <c r="D5" s="2296" t="e">
        <f ca="1">ROUND(B5*10000/$B$2,0)</f>
        <v>#DIV/0!</v>
      </c>
      <c r="E5" s="2457"/>
      <c r="F5" s="2458"/>
      <c r="G5" s="2458"/>
      <c r="H5" s="2458"/>
      <c r="I5" s="2458"/>
      <c r="J5" s="2458"/>
      <c r="K5" s="2458"/>
    </row>
    <row r="6" spans="1:11" ht="16.5">
      <c r="A6" s="2296" t="s">
        <v>654</v>
      </c>
      <c r="B6" s="2296">
        <f ca="1">SUM(G14:G23)</f>
        <v>106486</v>
      </c>
      <c r="C6" s="2296">
        <f ca="1">IF(B6=G14,结果表!H108,ROUND(B6*10000/$B$1,0))</f>
        <v>20096</v>
      </c>
      <c r="D6" s="2296" t="e">
        <f ca="1">ROUND(B6*10000/$B$2,0)</f>
        <v>#DIV/0!</v>
      </c>
      <c r="E6" s="2457"/>
      <c r="F6" s="2458"/>
      <c r="G6" s="2458"/>
      <c r="H6" s="2458"/>
      <c r="I6" s="2458"/>
      <c r="J6" s="2458"/>
      <c r="K6" s="2458"/>
    </row>
    <row r="7" spans="1:11" ht="16.5">
      <c r="A7" s="2296" t="s">
        <v>662</v>
      </c>
      <c r="B7" s="2296">
        <f ca="1">SUM(H14:H23)</f>
        <v>106486</v>
      </c>
      <c r="C7" s="2296">
        <f ca="1">IF(B7=H14,结果表!H110,ROUND(B7*10000/$B$1,0))</f>
        <v>20096</v>
      </c>
      <c r="D7" s="2296" t="e">
        <f ca="1">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653</v>
      </c>
      <c r="B9" s="1240"/>
      <c r="C9" s="2457"/>
      <c r="D9" s="2457"/>
      <c r="E9" s="2457"/>
      <c r="F9" s="2458"/>
      <c r="G9" s="2458"/>
      <c r="H9" s="2458"/>
      <c r="I9" s="2458"/>
      <c r="J9" s="2458"/>
      <c r="K9" s="2458"/>
    </row>
    <row r="10" spans="1:11" ht="16.5">
      <c r="A10" s="2296" t="s">
        <v>652</v>
      </c>
      <c r="B10" s="2296">
        <f>IF(E10="",0,ROUND(B1*(E10*365/G10)/10000,0))</f>
        <v>0</v>
      </c>
      <c r="C10" s="2296" t="s">
        <v>3353</v>
      </c>
      <c r="D10" s="2296" t="s">
        <v>3354</v>
      </c>
      <c r="E10" s="3131"/>
      <c r="F10" s="3135" t="s">
        <v>3355</v>
      </c>
      <c r="G10" s="3132"/>
      <c r="H10" s="2458"/>
      <c r="I10" s="2458"/>
      <c r="J10" s="2458"/>
      <c r="K10" s="2458"/>
    </row>
    <row r="11" spans="1:11" ht="16.5">
      <c r="A11" s="2296" t="s">
        <v>668</v>
      </c>
      <c r="B11" s="1240"/>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667</v>
      </c>
      <c r="B13" s="2300" t="s">
        <v>664</v>
      </c>
      <c r="C13" s="2300" t="s">
        <v>666</v>
      </c>
      <c r="D13" s="2300" t="s">
        <v>665</v>
      </c>
      <c r="E13" s="2296" t="s">
        <v>657</v>
      </c>
      <c r="F13" s="2296" t="s">
        <v>656</v>
      </c>
      <c r="G13" s="2300" t="s">
        <v>650</v>
      </c>
      <c r="H13" s="2300" t="s">
        <v>661</v>
      </c>
      <c r="I13" s="2300" t="s">
        <v>649</v>
      </c>
      <c r="J13" s="2458"/>
      <c r="K13" s="2458"/>
    </row>
    <row r="14" spans="1:11" ht="16.5">
      <c r="A14" s="2301" t="s">
        <v>3492</v>
      </c>
      <c r="B14" s="2302">
        <f>结果表!B118</f>
        <v>26917.520000000128</v>
      </c>
      <c r="C14" s="2302">
        <f>结果表!C118</f>
        <v>0</v>
      </c>
      <c r="D14" s="2302">
        <f ca="1">结果表!H118</f>
        <v>51311</v>
      </c>
      <c r="E14" s="2302">
        <f ca="1">ROUND(D14*10000/B14,0)</f>
        <v>19062</v>
      </c>
      <c r="F14" s="2302" t="e">
        <f ca="1">ROUND(D14*10000/C14,0)</f>
        <v>#DIV/0!</v>
      </c>
      <c r="G14" s="2302">
        <f ca="1">D14</f>
        <v>51311</v>
      </c>
      <c r="H14" s="2302">
        <f ca="1">G14</f>
        <v>51311</v>
      </c>
      <c r="I14" s="2302"/>
      <c r="J14" s="2458"/>
      <c r="K14" s="2458"/>
    </row>
    <row r="15" spans="1:11" ht="16.5">
      <c r="A15" s="2301" t="s">
        <v>3493</v>
      </c>
      <c r="B15" s="2303">
        <f>[5]系统读取表!$B$14</f>
        <v>26071.749999999887</v>
      </c>
      <c r="C15" s="2303"/>
      <c r="D15" s="2303">
        <f ca="1">[5]系统读取表!$D$14</f>
        <v>55175</v>
      </c>
      <c r="E15" s="2302">
        <f t="shared" ref="E15:E23" ca="1" si="0">ROUND(D15*10000/B15,0)</f>
        <v>21163</v>
      </c>
      <c r="F15" s="2302" t="e">
        <f t="shared" ref="F15:F23" ca="1" si="1">ROUND(D15*10000/C15,0)</f>
        <v>#DIV/0!</v>
      </c>
      <c r="G15" s="1240">
        <f ca="1">D15</f>
        <v>55175</v>
      </c>
      <c r="H15" s="1240">
        <f ca="1">G15</f>
        <v>55175</v>
      </c>
      <c r="I15" s="2303"/>
      <c r="J15" s="2458"/>
      <c r="K15" s="2458"/>
    </row>
    <row r="16" spans="1:11" ht="16.5">
      <c r="A16" s="2301" t="s">
        <v>648</v>
      </c>
      <c r="B16" s="2303"/>
      <c r="C16" s="2303"/>
      <c r="D16" s="2303"/>
      <c r="E16" s="2302" t="e">
        <f t="shared" si="0"/>
        <v>#DIV/0!</v>
      </c>
      <c r="F16" s="2302" t="e">
        <f t="shared" si="1"/>
        <v>#DIV/0!</v>
      </c>
      <c r="G16" s="1240"/>
      <c r="H16" s="1240"/>
      <c r="I16" s="2303"/>
      <c r="J16" s="2458"/>
      <c r="K16" s="2458"/>
    </row>
    <row r="17" spans="1:11" ht="16.5">
      <c r="A17" s="2301" t="s">
        <v>647</v>
      </c>
      <c r="B17" s="2303"/>
      <c r="C17" s="2303"/>
      <c r="D17" s="2303"/>
      <c r="E17" s="2302" t="e">
        <f t="shared" si="0"/>
        <v>#DIV/0!</v>
      </c>
      <c r="F17" s="2302" t="e">
        <f t="shared" si="1"/>
        <v>#DIV/0!</v>
      </c>
      <c r="G17" s="1240"/>
      <c r="H17" s="1240"/>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0" t="e">
        <f t="shared" si="0"/>
        <v>#DIV/0!</v>
      </c>
      <c r="F23" s="1240"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row r="27" spans="1:11">
      <c r="C27" s="3534" t="str">
        <f ca="1">NUMBERSTRING(INT(B7*10000),2)&amp;"元整"</f>
        <v>壹拾亿陆仟肆佰捌拾陆万元整</v>
      </c>
      <c r="D27" s="3535"/>
    </row>
  </sheetData>
  <sheetProtection password="CEE9" sheet="1" objects="1" scenarios="1" formatCells="0" formatColumns="0" formatRows="0"/>
  <mergeCells count="1">
    <mergeCell ref="C27:D27"/>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89" customWidth="1"/>
    <col min="2" max="9" width="10" style="789" customWidth="1"/>
    <col min="10" max="16384" width="9" style="789"/>
  </cols>
  <sheetData>
    <row r="36" spans="1:9">
      <c r="A36" s="788" t="s">
        <v>371</v>
      </c>
      <c r="B36" s="788" t="s">
        <v>372</v>
      </c>
    </row>
    <row r="37" spans="1:9" ht="27.75" customHeight="1">
      <c r="A37" s="788"/>
      <c r="B37" s="3199" t="str">
        <f>项目基本情况!B1</f>
        <v>房地产抵押价值预评估</v>
      </c>
      <c r="C37" s="3199"/>
      <c r="D37" s="3199"/>
      <c r="E37" s="3199"/>
      <c r="F37" s="3199"/>
      <c r="G37" s="3199"/>
      <c r="H37" s="3199"/>
      <c r="I37" s="3199"/>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3.5">
      <c r="B46" s="1374" t="str">
        <f ca="1">项目基本情况!K4</f>
        <v>郑燚（注册号：1120070131)、崔锴（注册号：1120100036)</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5" zoomScaleNormal="100" zoomScaleSheetLayoutView="100" zoomScalePageLayoutView="80" workbookViewId="0">
      <selection activeCell="D119" sqref="D119:E119"/>
    </sheetView>
  </sheetViews>
  <sheetFormatPr defaultColWidth="12.6328125" defaultRowHeight="21.75" customHeight="1"/>
  <cols>
    <col min="1" max="2" width="12.6328125" style="1557"/>
    <col min="3" max="4" width="12.6328125" style="1557" customWidth="1"/>
    <col min="5" max="9" width="12.6328125" style="1557"/>
    <col min="10" max="11" width="12.6328125" style="684" customWidth="1"/>
    <col min="12" max="12" width="12.6328125" style="684"/>
    <col min="13" max="13" width="14.08984375" style="684" bestFit="1" customWidth="1"/>
    <col min="14" max="26" width="12.6328125" style="684"/>
    <col min="27" max="35" width="12.6328125" style="1619"/>
    <col min="36" max="16384" width="12.6328125" style="1557"/>
  </cols>
  <sheetData>
    <row r="1" spans="1:12" ht="21.75" customHeight="1" thickBot="1">
      <c r="A1" s="1517" t="s">
        <v>1260</v>
      </c>
      <c r="B1" s="646"/>
      <c r="C1" s="1616"/>
      <c r="D1" s="646"/>
      <c r="E1" s="646"/>
      <c r="F1" s="1617" t="s">
        <v>1261</v>
      </c>
      <c r="G1" s="1449" t="s">
        <v>3388</v>
      </c>
      <c r="H1" s="1617" t="str">
        <f>IF(G1="现房","——","估价对象范围")</f>
        <v>——</v>
      </c>
      <c r="I1" s="1618" t="s">
        <v>3430</v>
      </c>
    </row>
    <row r="2" spans="1:12" ht="21.75" customHeight="1" thickBot="1">
      <c r="A2" s="3354" t="str">
        <f>项目基本情况!S2</f>
        <v>房地产</v>
      </c>
      <c r="B2" s="3355"/>
      <c r="C2" s="3355"/>
      <c r="D2" s="3355"/>
      <c r="E2" s="3355"/>
      <c r="F2" s="3355"/>
      <c r="G2" s="3355"/>
      <c r="H2" s="3355"/>
      <c r="I2" s="3356"/>
    </row>
    <row r="3" spans="1:12" ht="13">
      <c r="A3" s="3358" t="s">
        <v>1262</v>
      </c>
      <c r="B3" s="3359"/>
      <c r="C3" s="3359"/>
      <c r="D3" s="3359"/>
      <c r="E3" s="3359"/>
      <c r="F3" s="3359"/>
      <c r="G3" s="3359"/>
      <c r="H3" s="3359"/>
      <c r="I3" s="3359"/>
    </row>
    <row r="4" spans="1:12" ht="14">
      <c r="A4" s="1620" t="s">
        <v>1263</v>
      </c>
      <c r="B4" s="1621" t="s">
        <v>1264</v>
      </c>
      <c r="C4" s="1622" t="s">
        <v>3431</v>
      </c>
      <c r="D4" s="1622" t="s">
        <v>3432</v>
      </c>
      <c r="E4" s="3363" t="s">
        <v>1265</v>
      </c>
      <c r="F4" s="3364"/>
      <c r="G4" s="3364"/>
      <c r="H4" s="3364"/>
      <c r="I4" s="336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302" t="s">
        <v>1266</v>
      </c>
      <c r="B5" s="3357">
        <v>25</v>
      </c>
      <c r="C5" s="3360"/>
      <c r="D5" s="3348"/>
      <c r="E5" s="123" t="s">
        <v>1267</v>
      </c>
      <c r="F5" s="1623"/>
      <c r="G5" s="1623"/>
      <c r="H5" s="1623"/>
      <c r="I5" s="1277"/>
    </row>
    <row r="6" spans="1:12" ht="13">
      <c r="A6" s="3302"/>
      <c r="B6" s="3357"/>
      <c r="C6" s="3362"/>
      <c r="D6" s="3348"/>
      <c r="E6" s="123" t="s">
        <v>1268</v>
      </c>
      <c r="F6" s="1623"/>
      <c r="G6" s="1623"/>
      <c r="H6" s="1623"/>
      <c r="I6" s="1277"/>
    </row>
    <row r="7" spans="1:12" ht="13">
      <c r="A7" s="3302"/>
      <c r="B7" s="3357"/>
      <c r="C7" s="3361"/>
      <c r="D7" s="3348"/>
      <c r="E7" s="123" t="s">
        <v>1269</v>
      </c>
      <c r="F7" s="1623"/>
      <c r="G7" s="1623"/>
      <c r="H7" s="1623"/>
      <c r="I7" s="1277"/>
    </row>
    <row r="8" spans="1:12" ht="13">
      <c r="A8" s="3302" t="s">
        <v>1270</v>
      </c>
      <c r="B8" s="3357">
        <v>15</v>
      </c>
      <c r="C8" s="3360"/>
      <c r="D8" s="3348"/>
      <c r="E8" s="123" t="s">
        <v>1271</v>
      </c>
      <c r="F8" s="1623"/>
      <c r="G8" s="1623"/>
      <c r="H8" s="1623"/>
      <c r="I8" s="1277"/>
    </row>
    <row r="9" spans="1:12" ht="13">
      <c r="A9" s="3302"/>
      <c r="B9" s="3357"/>
      <c r="C9" s="3361"/>
      <c r="D9" s="3348"/>
      <c r="E9" s="123" t="s">
        <v>1272</v>
      </c>
      <c r="F9" s="1623"/>
      <c r="G9" s="1623"/>
      <c r="H9" s="1623"/>
      <c r="I9" s="1277"/>
    </row>
    <row r="10" spans="1:12" ht="13">
      <c r="A10" s="3302" t="s">
        <v>1273</v>
      </c>
      <c r="B10" s="3357">
        <v>15</v>
      </c>
      <c r="C10" s="3360"/>
      <c r="D10" s="3348"/>
      <c r="E10" s="123" t="s">
        <v>1274</v>
      </c>
      <c r="F10" s="1623"/>
      <c r="G10" s="1623"/>
      <c r="H10" s="1623"/>
      <c r="I10" s="1277"/>
    </row>
    <row r="11" spans="1:12" ht="13">
      <c r="A11" s="3302"/>
      <c r="B11" s="3357"/>
      <c r="C11" s="3361"/>
      <c r="D11" s="3348"/>
      <c r="E11" s="123" t="s">
        <v>1275</v>
      </c>
      <c r="F11" s="1623"/>
      <c r="G11" s="1623"/>
      <c r="H11" s="1623"/>
      <c r="I11" s="1277"/>
    </row>
    <row r="12" spans="1:12" ht="13">
      <c r="A12" s="3302" t="s">
        <v>1276</v>
      </c>
      <c r="B12" s="3357">
        <v>15</v>
      </c>
      <c r="C12" s="3360"/>
      <c r="D12" s="3348"/>
      <c r="E12" s="123" t="s">
        <v>1277</v>
      </c>
      <c r="F12" s="1623"/>
      <c r="G12" s="1623"/>
      <c r="H12" s="1623"/>
      <c r="I12" s="1277"/>
    </row>
    <row r="13" spans="1:12" ht="13">
      <c r="A13" s="3302"/>
      <c r="B13" s="3357"/>
      <c r="C13" s="3361"/>
      <c r="D13" s="3348"/>
      <c r="E13" s="123" t="s">
        <v>1278</v>
      </c>
      <c r="F13" s="1623"/>
      <c r="G13" s="1623"/>
      <c r="H13" s="1623"/>
      <c r="I13" s="1277"/>
    </row>
    <row r="14" spans="1:12" ht="13">
      <c r="A14" s="3302" t="s">
        <v>1279</v>
      </c>
      <c r="B14" s="3357">
        <v>30</v>
      </c>
      <c r="C14" s="3360">
        <v>6</v>
      </c>
      <c r="D14" s="3348">
        <v>4</v>
      </c>
      <c r="E14" s="123" t="s">
        <v>1280</v>
      </c>
      <c r="F14" s="1623"/>
      <c r="G14" s="1623"/>
      <c r="H14" s="1623"/>
      <c r="I14" s="1277"/>
    </row>
    <row r="15" spans="1:12" ht="13">
      <c r="A15" s="3302"/>
      <c r="B15" s="3357"/>
      <c r="C15" s="3362"/>
      <c r="D15" s="3348"/>
      <c r="E15" s="123" t="s">
        <v>1281</v>
      </c>
      <c r="F15" s="1623"/>
      <c r="G15" s="1623"/>
      <c r="H15" s="1623"/>
      <c r="I15" s="1277"/>
    </row>
    <row r="16" spans="1:12" ht="13">
      <c r="A16" s="3302"/>
      <c r="B16" s="3357"/>
      <c r="C16" s="3361"/>
      <c r="D16" s="3348"/>
      <c r="E16" s="123" t="s">
        <v>1282</v>
      </c>
      <c r="F16" s="1623"/>
      <c r="G16" s="1623"/>
      <c r="H16" s="1623"/>
      <c r="I16" s="1277"/>
    </row>
    <row r="17" spans="1:36" ht="14">
      <c r="A17" s="1624" t="s">
        <v>1283</v>
      </c>
      <c r="B17" s="54"/>
      <c r="C17" s="124">
        <f>SUM(C5:C16)</f>
        <v>6</v>
      </c>
      <c r="D17" s="124">
        <f>SUM(D5:D16)</f>
        <v>4</v>
      </c>
      <c r="E17" s="121"/>
      <c r="F17" s="121"/>
      <c r="G17" s="121"/>
      <c r="H17" s="121"/>
      <c r="I17" s="121"/>
      <c r="K17" s="294"/>
      <c r="L17" s="294" t="s">
        <v>1284</v>
      </c>
      <c r="M17" s="294" t="s">
        <v>1285</v>
      </c>
    </row>
    <row r="18" spans="1:36" ht="31.9" customHeight="1" thickBot="1">
      <c r="A18" s="1625" t="s">
        <v>1286</v>
      </c>
      <c r="B18" s="1538"/>
      <c r="C18" s="125">
        <f>ROUND(C17/SUM(C17:D17),2)</f>
        <v>0.6</v>
      </c>
      <c r="D18" s="125">
        <f>1-C18</f>
        <v>0.4</v>
      </c>
      <c r="E18" s="3379" t="s">
        <v>2129</v>
      </c>
      <c r="F18" s="3380"/>
      <c r="G18" s="3380"/>
      <c r="H18" s="3380"/>
      <c r="I18" s="3380"/>
      <c r="K18" s="294" t="s">
        <v>1287</v>
      </c>
      <c r="L18" s="294">
        <f>IF(C1="",'数据-汇总表'!E3,SUMIF(项目类型,C1,'数据-汇总表'!E17:E26)+SUMIF(项目类型,C1,'数据-汇总表'!I17:I26))</f>
        <v>26917.520000000128</v>
      </c>
      <c r="M18" s="294">
        <f>IF(C1="",'数据-汇总表'!E3,SUMIF(项目类型,C1,'数据-汇总表'!E17:E26))</f>
        <v>26917.520000000128</v>
      </c>
    </row>
    <row r="19" spans="1:36" ht="14">
      <c r="A19" s="1626" t="s">
        <v>1288</v>
      </c>
      <c r="B19" s="1627" t="s">
        <v>1289</v>
      </c>
      <c r="C19" s="126">
        <f ca="1">SUMIF(INDIRECT("'"&amp;C4&amp;"'"&amp;"!A:A"),结果表!B19,INDIRECT("'"&amp;C4&amp;"'"&amp;"!B:B"))</f>
        <v>67354</v>
      </c>
      <c r="D19" s="127">
        <f ca="1">SUMIF(INDIRECT("'"&amp;D4&amp;"'"&amp;"!A:A"),结果表!B19,INDIRECT("'"&amp;D4&amp;"'"&amp;"!B:B"))</f>
        <v>27246</v>
      </c>
      <c r="E19" s="1626" t="s">
        <v>1290</v>
      </c>
      <c r="F19" s="1627" t="s">
        <v>1289</v>
      </c>
      <c r="G19" s="128">
        <f ca="1">ROUND(C19*$C$18+D19*$D$18,0)</f>
        <v>51311</v>
      </c>
      <c r="H19" s="1628" t="s">
        <v>1291</v>
      </c>
      <c r="I19" s="121"/>
      <c r="K19" s="294" t="s">
        <v>1292</v>
      </c>
      <c r="L19" s="294">
        <f>IF(C1="",'数据-汇总表'!D3,SUMIF(项目类型,C1,'数据-汇总表'!D17:D26)+SUMIF(项目类型,C1,'数据-汇总表'!H17:H27))</f>
        <v>0</v>
      </c>
      <c r="M19" s="294">
        <f>IF(C1="",'数据-汇总表'!D3,SUMIF(项目类型,C1,'数据-汇总表'!D17:D26))</f>
        <v>0</v>
      </c>
    </row>
    <row r="20" spans="1:36" ht="14">
      <c r="A20" s="1629"/>
      <c r="B20" s="43" t="s">
        <v>1293</v>
      </c>
      <c r="C20" s="129">
        <f ca="1">SUMIF(INDIRECT("'"&amp;C4&amp;"'"&amp;"!A:A"),结果表!B20,INDIRECT("'"&amp;C4&amp;"'"&amp;"!B:B"))</f>
        <v>25022</v>
      </c>
      <c r="D20" s="130">
        <f ca="1">SUMIF(INDIRECT("'"&amp;D4&amp;"'"&amp;"!A:A"),结果表!B20,INDIRECT("'"&amp;D4&amp;"'"&amp;"!B:B"))</f>
        <v>10122</v>
      </c>
      <c r="E20" s="1629"/>
      <c r="F20" s="43" t="s">
        <v>1293</v>
      </c>
      <c r="G20" s="131">
        <f ca="1">ROUND(C20*$C$18+D20*$D$18,0)</f>
        <v>19062</v>
      </c>
      <c r="H20" s="756"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0" t="s">
        <v>1294</v>
      </c>
      <c r="I21" s="121"/>
    </row>
    <row r="22" spans="1:36" ht="14.5" thickBot="1">
      <c r="A22" s="1560" t="s">
        <v>1296</v>
      </c>
      <c r="B22" s="1631"/>
      <c r="C22" s="1632"/>
      <c r="D22" s="680">
        <f ca="1">IF(C19&lt;D19,D19/C19-1,C19/D19-1)</f>
        <v>1.4720692945753506</v>
      </c>
      <c r="E22" s="121"/>
      <c r="F22" s="121"/>
      <c r="G22" s="121"/>
      <c r="H22" s="121"/>
      <c r="I22" s="121"/>
    </row>
    <row r="23" spans="1:36" ht="13" thickBot="1">
      <c r="A23" s="646"/>
      <c r="B23" s="646"/>
      <c r="C23" s="646"/>
      <c r="D23" s="646"/>
      <c r="E23" s="121"/>
      <c r="F23" s="121"/>
      <c r="G23" s="121"/>
      <c r="H23" s="121"/>
      <c r="I23" s="121"/>
    </row>
    <row r="24" spans="1:36" ht="14">
      <c r="A24" s="3372" t="s">
        <v>1297</v>
      </c>
      <c r="B24" s="1627" t="s">
        <v>1289</v>
      </c>
      <c r="C24" s="128">
        <f>IF(B30=0,0,D30)</f>
        <v>0</v>
      </c>
      <c r="D24" s="1633"/>
      <c r="E24" s="121"/>
      <c r="F24" s="121"/>
      <c r="G24" s="121"/>
      <c r="H24" s="121"/>
      <c r="I24" s="121"/>
    </row>
    <row r="25" spans="1:36" ht="14">
      <c r="A25" s="3373"/>
      <c r="B25" s="43" t="s">
        <v>1293</v>
      </c>
      <c r="C25" s="133">
        <f>IF(B30=0,0,C30)</f>
        <v>0</v>
      </c>
      <c r="D25" s="1634"/>
      <c r="E25" s="121"/>
      <c r="F25" s="121"/>
      <c r="G25" s="121"/>
      <c r="H25" s="121"/>
      <c r="I25" s="121"/>
    </row>
    <row r="26" spans="1:36" ht="13.5" customHeight="1">
      <c r="A26" s="1635" t="s">
        <v>1298</v>
      </c>
      <c r="B26" s="134" t="s">
        <v>1299</v>
      </c>
      <c r="C26" s="134" t="s">
        <v>1300</v>
      </c>
      <c r="D26" s="135" t="s">
        <v>1301</v>
      </c>
      <c r="E26" s="121"/>
      <c r="F26" s="121"/>
      <c r="G26" s="121"/>
      <c r="H26" s="121"/>
      <c r="I26" s="121"/>
    </row>
    <row r="27" spans="1:36" ht="14">
      <c r="A27" s="1635"/>
      <c r="B27" s="134">
        <v>0</v>
      </c>
      <c r="C27" s="134">
        <v>0</v>
      </c>
      <c r="D27" s="135">
        <f>ROUND(C27*B27/10000,0)</f>
        <v>0</v>
      </c>
      <c r="E27" s="121"/>
      <c r="F27" s="121"/>
      <c r="G27" s="121"/>
      <c r="H27" s="121"/>
      <c r="I27" s="121"/>
    </row>
    <row r="28" spans="1:36" ht="14">
      <c r="A28" s="1635"/>
      <c r="B28" s="134"/>
      <c r="C28" s="134"/>
      <c r="D28" s="135"/>
      <c r="E28" s="121"/>
      <c r="F28" s="121"/>
      <c r="G28" s="121"/>
      <c r="H28" s="121"/>
      <c r="I28" s="121"/>
    </row>
    <row r="29" spans="1:36" ht="14">
      <c r="A29" s="1635"/>
      <c r="B29" s="134"/>
      <c r="C29" s="134"/>
      <c r="D29" s="135"/>
      <c r="E29" s="121"/>
      <c r="F29" s="121"/>
      <c r="G29" s="121"/>
      <c r="H29" s="121"/>
      <c r="I29" s="121"/>
    </row>
    <row r="30" spans="1:36" ht="14.5" thickBot="1">
      <c r="A30" s="134" t="s">
        <v>1302</v>
      </c>
      <c r="B30" s="134"/>
      <c r="C30" s="134"/>
      <c r="D30" s="134"/>
      <c r="E30" s="2123" t="s">
        <v>2130</v>
      </c>
      <c r="F30" s="121"/>
      <c r="G30" s="121"/>
      <c r="H30" s="121"/>
      <c r="I30" s="121"/>
    </row>
    <row r="31" spans="1:36" s="2129" customFormat="1" ht="26.5" customHeight="1" thickTop="1" thickBot="1">
      <c r="A31" s="2124"/>
      <c r="B31" s="2125"/>
      <c r="C31" s="2125"/>
      <c r="D31" s="2125"/>
      <c r="E31" s="2125"/>
      <c r="F31" s="2125"/>
      <c r="G31" s="2125"/>
      <c r="H31" s="2125"/>
      <c r="I31" s="2126" t="s">
        <v>2131</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 thickTop="1" thickBot="1">
      <c r="A32" s="1636" t="s">
        <v>1303</v>
      </c>
      <c r="B32" s="1531"/>
      <c r="C32" s="136">
        <f ca="1">IF(D32="总价",G19-C24,G20-C25)</f>
        <v>51311</v>
      </c>
      <c r="D32" s="1637" t="s">
        <v>3445</v>
      </c>
      <c r="E32" s="121"/>
      <c r="F32" s="121"/>
      <c r="G32" s="121"/>
      <c r="H32" s="121"/>
      <c r="I32" s="121"/>
    </row>
    <row r="33" spans="1:15" ht="14">
      <c r="A33" s="736" t="s">
        <v>1304</v>
      </c>
      <c r="B33" s="123"/>
      <c r="C33" s="1638" t="s">
        <v>3444</v>
      </c>
      <c r="D33" s="1639" t="s">
        <v>3431</v>
      </c>
      <c r="E33" s="1640" t="s">
        <v>1305</v>
      </c>
      <c r="F33" s="1641" t="str">
        <f>IF(D32="楼面单价","取值（单价）","取值（总价）")</f>
        <v>取值（总价）</v>
      </c>
      <c r="G33" s="121"/>
      <c r="H33" s="121"/>
      <c r="I33" s="121"/>
    </row>
    <row r="34" spans="1:15" ht="14">
      <c r="A34" s="1642"/>
      <c r="B34" s="1643" t="s">
        <v>1306</v>
      </c>
      <c r="C34" s="140">
        <f ca="1">IF(C33="自定义",F34,C32-C35)</f>
        <v>35302</v>
      </c>
      <c r="D34" s="804">
        <f ca="1">IF(C33="自定义",ROUND(C34/C32,3),IF(C33="收益比率",SUMIF(INDIRECT("'"&amp;D33&amp;"'"&amp;"!b:b"),"土地收益比率",INDIRECT("'"&amp;D33&amp;"'"&amp;"!c:c")),SUMIF(INDIRECT("'"&amp;D33&amp;"'"&amp;"!b:b"),"土地成本比率",INDIRECT("'"&amp;D33&amp;"'"&amp;"!c:c"))))</f>
        <v>0.68799999999999994</v>
      </c>
      <c r="E34" s="1644" t="s">
        <v>1307</v>
      </c>
      <c r="F34" s="1239"/>
      <c r="G34" s="121"/>
      <c r="H34" s="121"/>
      <c r="I34" s="121"/>
    </row>
    <row r="35" spans="1:15" ht="14.5" thickBot="1">
      <c r="A35" s="1645"/>
      <c r="B35" s="1646" t="s">
        <v>1308</v>
      </c>
      <c r="C35" s="1086">
        <f ca="1">IF(C33="自定义",F35,ROUND(C32*D35,0))</f>
        <v>16009</v>
      </c>
      <c r="D35" s="1087">
        <f ca="1">IF(C33="自定义",ROUND(C35/C32,3),IF(C33="收益比率",SUMIF(INDIRECT("'"&amp;D33&amp;"'"&amp;"!b:b"),"建筑物收益比率",INDIRECT("'"&amp;D33&amp;"'"&amp;"!c:c")),SUMIF(INDIRECT("'"&amp;D33&amp;"'"&amp;"!b:b"),"建筑物成本比率",INDIRECT("'"&amp;D33&amp;"'"&amp;"!c:c"))))</f>
        <v>0.312</v>
      </c>
      <c r="E35" s="1647" t="s">
        <v>1309</v>
      </c>
      <c r="F35" s="146"/>
      <c r="G35" s="121"/>
      <c r="H35" s="121"/>
      <c r="I35" s="121"/>
    </row>
    <row r="36" spans="1:15" ht="14.5" thickBot="1">
      <c r="A36" s="3349" t="s">
        <v>1310</v>
      </c>
      <c r="B36" s="1648" t="s">
        <v>1311</v>
      </c>
      <c r="C36" s="137"/>
      <c r="D36" s="1649"/>
      <c r="E36" s="1563"/>
      <c r="F36" s="1650"/>
      <c r="G36" s="121"/>
      <c r="H36" s="121"/>
      <c r="I36" s="121"/>
    </row>
    <row r="37" spans="1:15" ht="14.5" thickBot="1">
      <c r="A37" s="3350"/>
      <c r="B37" s="1551" t="s">
        <v>1312</v>
      </c>
      <c r="C37" s="139"/>
      <c r="D37" s="1067"/>
      <c r="E37" s="1067"/>
      <c r="F37" s="1650"/>
      <c r="G37" s="121"/>
      <c r="H37" s="121"/>
      <c r="I37" s="121"/>
    </row>
    <row r="38" spans="1:15" ht="14.5" thickBot="1">
      <c r="A38" s="3351"/>
      <c r="B38" s="1651" t="s">
        <v>1313</v>
      </c>
      <c r="C38" s="641"/>
      <c r="D38" s="1652" t="s">
        <v>1314</v>
      </c>
      <c r="E38" s="1067"/>
      <c r="F38" s="1650"/>
      <c r="G38" s="121"/>
      <c r="H38" s="121"/>
      <c r="I38" s="121"/>
    </row>
    <row r="39" spans="1:15" ht="14">
      <c r="A39" s="1629" t="s">
        <v>1315</v>
      </c>
      <c r="B39" s="1653" t="s">
        <v>1316</v>
      </c>
      <c r="C39" s="1654" t="s">
        <v>1317</v>
      </c>
      <c r="D39" s="1654" t="s">
        <v>1318</v>
      </c>
      <c r="E39" s="1655" t="s">
        <v>1319</v>
      </c>
      <c r="F39" s="1650"/>
      <c r="G39" s="121"/>
      <c r="H39" s="121"/>
      <c r="I39" s="121"/>
    </row>
    <row r="40" spans="1:15" ht="14">
      <c r="A40" s="1656" t="s">
        <v>1320</v>
      </c>
      <c r="B40" s="141"/>
      <c r="C40" s="142"/>
      <c r="D40" s="142"/>
      <c r="E40" s="143"/>
      <c r="F40" s="1650"/>
      <c r="G40" s="121"/>
      <c r="H40" s="121"/>
      <c r="I40" s="121"/>
    </row>
    <row r="41" spans="1:15" ht="14">
      <c r="A41" s="1656" t="s">
        <v>1321</v>
      </c>
      <c r="B41" s="141"/>
      <c r="C41" s="142"/>
      <c r="D41" s="142"/>
      <c r="E41" s="143"/>
      <c r="F41" s="1650"/>
      <c r="G41" s="121"/>
      <c r="H41" s="121"/>
      <c r="I41" s="121"/>
    </row>
    <row r="42" spans="1:15" ht="14.5" thickBot="1">
      <c r="A42" s="1657"/>
      <c r="B42" s="144"/>
      <c r="C42" s="145"/>
      <c r="D42" s="145"/>
      <c r="E42" s="146"/>
      <c r="F42" s="1650"/>
      <c r="G42" s="121"/>
      <c r="H42" s="121"/>
      <c r="I42" s="121"/>
    </row>
    <row r="43" spans="1:15" ht="12.5">
      <c r="A43" s="1463"/>
      <c r="B43" s="1463"/>
      <c r="C43" s="1463"/>
      <c r="D43" s="1463"/>
      <c r="E43" s="1463"/>
      <c r="F43" s="1658"/>
      <c r="G43" s="1658"/>
      <c r="H43" s="1658"/>
      <c r="I43" s="1659"/>
    </row>
    <row r="44" spans="1:15" ht="18">
      <c r="A44" s="1460" t="s">
        <v>1322</v>
      </c>
      <c r="B44" s="1660"/>
      <c r="C44" s="1660"/>
      <c r="D44" s="1661"/>
      <c r="E44" s="1661"/>
      <c r="F44" s="1662"/>
      <c r="G44" s="1662"/>
      <c r="H44" s="1662"/>
      <c r="I44" s="1662"/>
      <c r="J44" s="1663" t="s">
        <v>1323</v>
      </c>
      <c r="K44" s="4"/>
      <c r="L44" s="4"/>
      <c r="M44" s="4"/>
      <c r="N44" s="4"/>
      <c r="O44" s="4"/>
    </row>
    <row r="45" spans="1:15" ht="14.25" customHeight="1" thickBot="1">
      <c r="A45" s="3369" t="s">
        <v>1324</v>
      </c>
      <c r="B45" s="3370"/>
      <c r="C45" s="3371"/>
      <c r="D45" s="147">
        <f ca="1">ROUND(H101*F45,0)</f>
        <v>51311</v>
      </c>
      <c r="E45" s="148" t="s">
        <v>1325</v>
      </c>
      <c r="F45" s="149">
        <v>1</v>
      </c>
      <c r="G45" s="150" t="s">
        <v>1326</v>
      </c>
      <c r="H45" s="121"/>
      <c r="I45" s="121"/>
      <c r="J45" s="3289" t="s">
        <v>1327</v>
      </c>
      <c r="K45" s="3289"/>
      <c r="L45" s="3289"/>
      <c r="M45" s="3289"/>
      <c r="N45" s="3289"/>
      <c r="O45" s="3289"/>
    </row>
    <row r="46" spans="1:15" ht="14.25" customHeight="1">
      <c r="A46" s="3366" t="s">
        <v>1328</v>
      </c>
      <c r="B46" s="3367"/>
      <c r="C46" s="3367"/>
      <c r="D46" s="3367"/>
      <c r="E46" s="3367"/>
      <c r="F46" s="3367"/>
      <c r="G46" s="3368"/>
      <c r="H46" s="1664"/>
      <c r="I46" s="151"/>
      <c r="J46" s="2306">
        <v>1</v>
      </c>
      <c r="K46" s="3290" t="s">
        <v>1329</v>
      </c>
      <c r="L46" s="3290"/>
      <c r="M46" s="3291"/>
      <c r="N46" s="3291"/>
      <c r="O46" s="3291"/>
    </row>
    <row r="47" spans="1:15" ht="12" customHeight="1">
      <c r="A47" s="152" t="s">
        <v>1330</v>
      </c>
      <c r="B47" s="153"/>
      <c r="C47" s="154"/>
      <c r="D47" s="1020" t="s">
        <v>1331</v>
      </c>
      <c r="E47" s="294" t="s">
        <v>1332</v>
      </c>
      <c r="F47" s="155" t="s">
        <v>1333</v>
      </c>
      <c r="G47" s="2329" t="s">
        <v>1334</v>
      </c>
      <c r="H47" s="2330"/>
      <c r="I47" s="151"/>
      <c r="J47" s="2306">
        <v>2</v>
      </c>
      <c r="K47" s="3290" t="s">
        <v>1335</v>
      </c>
      <c r="L47" s="3290"/>
      <c r="M47" s="3292">
        <f>'数据-取费表'!B2</f>
        <v>45478</v>
      </c>
      <c r="N47" s="3292"/>
      <c r="O47" s="3292"/>
    </row>
    <row r="48" spans="1:15" ht="26">
      <c r="A48" s="3352" t="s">
        <v>1336</v>
      </c>
      <c r="B48" s="3353"/>
      <c r="C48" s="3353"/>
      <c r="D48" s="12" t="b">
        <f>IF(H48="情况1",0,IF(H48="情况2",D52,IF(H48="情况3",D53,IF(H48="情况4",D54))))</f>
        <v>0</v>
      </c>
      <c r="E48" s="1252" t="str">
        <f>IF(H48="情况4","(销售额-原购置价)×税（费）率","销售额×税（费）率")</f>
        <v>销售额×税（费）率</v>
      </c>
      <c r="F48" s="2331">
        <f>IF(H48="情况1","免征",'数据-取费表'!B41)</f>
        <v>5.6000000000000001E-2</v>
      </c>
      <c r="G48" s="2332" t="s">
        <v>1337</v>
      </c>
      <c r="H48" s="2333"/>
      <c r="I48" s="1664"/>
      <c r="J48" s="2306">
        <v>3</v>
      </c>
      <c r="K48" s="3290" t="s">
        <v>1338</v>
      </c>
      <c r="L48" s="3290"/>
      <c r="M48" s="3293">
        <f ca="1">H101</f>
        <v>51311</v>
      </c>
      <c r="N48" s="3293"/>
      <c r="O48" s="3293"/>
    </row>
    <row r="49" spans="1:35" ht="25.5" customHeight="1">
      <c r="A49" s="2148" t="s">
        <v>1339</v>
      </c>
      <c r="B49" s="3338" t="s">
        <v>1340</v>
      </c>
      <c r="C49" s="3338"/>
      <c r="D49" s="1474">
        <v>0</v>
      </c>
      <c r="E49" s="316" t="s">
        <v>1341</v>
      </c>
      <c r="F49" s="2229" t="s">
        <v>28</v>
      </c>
      <c r="G49" s="3321"/>
      <c r="H49" s="2130" t="s">
        <v>2132</v>
      </c>
      <c r="I49" s="2131"/>
      <c r="J49" s="2306">
        <v>4</v>
      </c>
      <c r="K49" s="3290" t="str">
        <f>IF(项目基本情况!E8="房地产抵押价值","房地产抵押价值","抵押担保权已注销时的房地产抵押价值")</f>
        <v>抵押担保权已注销时的房地产抵押价值</v>
      </c>
      <c r="L49" s="3290"/>
      <c r="M49" s="3293">
        <f ca="1">IF(项目基本情况!E8="房地产抵押价值",H107,H109)</f>
        <v>51311</v>
      </c>
      <c r="N49" s="3293"/>
      <c r="O49" s="3293"/>
    </row>
    <row r="50" spans="1:35" ht="25.5" customHeight="1">
      <c r="A50" s="2334"/>
      <c r="B50" s="3338" t="s">
        <v>1342</v>
      </c>
      <c r="C50" s="3338"/>
      <c r="D50" s="2185"/>
      <c r="E50" s="323"/>
      <c r="F50" s="2229"/>
      <c r="G50" s="3322"/>
      <c r="H50" s="2132" t="s">
        <v>2133</v>
      </c>
      <c r="I50" s="2131"/>
      <c r="J50" s="3289" t="s">
        <v>1343</v>
      </c>
      <c r="K50" s="3289"/>
      <c r="L50" s="3289"/>
      <c r="M50" s="3289"/>
      <c r="N50" s="3289"/>
      <c r="O50" s="3289"/>
    </row>
    <row r="51" spans="1:35" ht="20.5" customHeight="1">
      <c r="A51" s="2335"/>
      <c r="B51" s="3338" t="s">
        <v>1344</v>
      </c>
      <c r="C51" s="3338"/>
      <c r="D51" s="1020"/>
      <c r="E51" s="319"/>
      <c r="F51" s="2229"/>
      <c r="G51" s="3323"/>
      <c r="H51" s="2132" t="s">
        <v>2134</v>
      </c>
      <c r="I51" s="2131"/>
      <c r="J51" s="2307" t="s">
        <v>1345</v>
      </c>
      <c r="K51" s="3290" t="s">
        <v>1346</v>
      </c>
      <c r="L51" s="3290"/>
      <c r="M51" s="2307" t="s">
        <v>1347</v>
      </c>
      <c r="N51" s="2307" t="s">
        <v>1348</v>
      </c>
      <c r="O51" s="2307" t="s">
        <v>1349</v>
      </c>
    </row>
    <row r="52" spans="1:35" ht="24" customHeight="1">
      <c r="A52" s="2149" t="s">
        <v>1350</v>
      </c>
      <c r="B52" s="3338" t="s">
        <v>1351</v>
      </c>
      <c r="C52" s="3338"/>
      <c r="D52" s="1020">
        <f ca="1">ROUND(D45*'数据-取费表'!B41/(1+'数据-取费表'!C42),0)</f>
        <v>2737</v>
      </c>
      <c r="E52" s="1252" t="s">
        <v>1352</v>
      </c>
      <c r="F52" s="2336">
        <f>'数据-取费表'!B41</f>
        <v>5.6000000000000001E-2</v>
      </c>
      <c r="G52" s="2337"/>
      <c r="H52" s="2327"/>
      <c r="I52" s="1665"/>
      <c r="J52" s="2306">
        <v>1</v>
      </c>
      <c r="K52" s="3315" t="s">
        <v>1353</v>
      </c>
      <c r="L52" s="3315"/>
      <c r="M52" s="2308" t="b">
        <f>D48</f>
        <v>0</v>
      </c>
      <c r="N52" s="2306" t="str">
        <f>E48</f>
        <v>销售额×税（费）率</v>
      </c>
      <c r="O52" s="2309">
        <f>F48</f>
        <v>5.6000000000000001E-2</v>
      </c>
    </row>
    <row r="53" spans="1:35" ht="12" customHeight="1">
      <c r="A53" s="2149" t="s">
        <v>1354</v>
      </c>
      <c r="B53" s="3339" t="s">
        <v>2285</v>
      </c>
      <c r="C53" s="3340"/>
      <c r="D53" s="1020">
        <f ca="1">ROUND(D45*'数据-取费表'!B41/(1+'数据-取费表'!C42),0)</f>
        <v>2737</v>
      </c>
      <c r="E53" s="1252" t="s">
        <v>1352</v>
      </c>
      <c r="F53" s="2336">
        <f>'数据-取费表'!B41</f>
        <v>5.6000000000000001E-2</v>
      </c>
      <c r="G53" s="2337"/>
      <c r="H53" s="2327"/>
      <c r="I53" s="1665"/>
      <c r="J53" s="2306">
        <v>2</v>
      </c>
      <c r="K53" s="3315" t="s">
        <v>1355</v>
      </c>
      <c r="L53" s="3315"/>
      <c r="M53" s="2308">
        <f t="shared" ref="M53:O54" ca="1" si="0">D55</f>
        <v>26</v>
      </c>
      <c r="N53" s="2306" t="str">
        <f t="shared" si="0"/>
        <v>销售额×税（费）率</v>
      </c>
      <c r="O53" s="2309" t="str">
        <f t="shared" si="0"/>
        <v>免征</v>
      </c>
    </row>
    <row r="54" spans="1:35" ht="12" customHeight="1">
      <c r="A54" s="2149" t="s">
        <v>1356</v>
      </c>
      <c r="B54" s="3339" t="s">
        <v>2286</v>
      </c>
      <c r="C54" s="3340"/>
      <c r="D54" s="1020">
        <f ca="1">C68</f>
        <v>2737</v>
      </c>
      <c r="E54" s="319" t="s">
        <v>1357</v>
      </c>
      <c r="F54" s="2336">
        <f>'数据-取费表'!B41</f>
        <v>5.6000000000000001E-2</v>
      </c>
      <c r="G54" s="2337"/>
      <c r="H54" s="2338"/>
      <c r="I54" s="1665"/>
      <c r="J54" s="2306">
        <v>3</v>
      </c>
      <c r="K54" s="3315" t="s">
        <v>1358</v>
      </c>
      <c r="L54" s="3315"/>
      <c r="M54" s="2308">
        <f t="shared" ca="1" si="0"/>
        <v>29042</v>
      </c>
      <c r="N54" s="2306" t="str">
        <f t="shared" si="0"/>
        <v>增值额×税（费）率</v>
      </c>
      <c r="O54" s="2310" t="str">
        <f t="shared" si="0"/>
        <v>免征</v>
      </c>
    </row>
    <row r="55" spans="1:35" ht="24" customHeight="1">
      <c r="A55" s="3375" t="s">
        <v>1359</v>
      </c>
      <c r="B55" s="3353"/>
      <c r="C55" s="3353"/>
      <c r="D55" s="12">
        <f ca="1">IF(H55="个人住宅",0,ROUND(D45*I55,0))</f>
        <v>26</v>
      </c>
      <c r="E55" s="1252" t="s">
        <v>1360</v>
      </c>
      <c r="F55" s="2336" t="str">
        <f>IF(H55="正常",I55,"免征")</f>
        <v>免征</v>
      </c>
      <c r="G55" s="2337"/>
      <c r="H55" s="2333"/>
      <c r="I55" s="157">
        <f>'数据-取费表'!B49</f>
        <v>5.0000000000000001E-4</v>
      </c>
      <c r="J55" s="2306">
        <f>IF(H59="非个人房产","",4)</f>
        <v>4</v>
      </c>
      <c r="K55" s="3315" t="str">
        <f>IF(H59="非个人房产","——","个人所得税")</f>
        <v>个人所得税</v>
      </c>
      <c r="L55" s="3315"/>
      <c r="M55" s="2311">
        <f ca="1">D59</f>
        <v>489</v>
      </c>
      <c r="N55" s="1879" t="str">
        <f>E59</f>
        <v>差额计税</v>
      </c>
      <c r="O55" s="2312">
        <f>F59</f>
        <v>0.01</v>
      </c>
    </row>
    <row r="56" spans="1:35" ht="26">
      <c r="A56" s="3375" t="s">
        <v>1361</v>
      </c>
      <c r="B56" s="3353"/>
      <c r="C56" s="3353"/>
      <c r="D56" s="12">
        <f ca="1">IF(H56="个人住宅",D57,D58)</f>
        <v>29042</v>
      </c>
      <c r="E56" s="1252" t="s">
        <v>1362</v>
      </c>
      <c r="F56" s="2336" t="str">
        <f>IF(H56="正常",F58,"免征")</f>
        <v>免征</v>
      </c>
      <c r="G56" s="2339" t="s">
        <v>1363</v>
      </c>
      <c r="H56" s="2340"/>
      <c r="I56" s="1666"/>
      <c r="J56" s="2306" t="str">
        <f>IF(项目基本情况!K6="上海银行",IF(J55="",4,J55+1),"")</f>
        <v/>
      </c>
      <c r="K56" s="3296" t="str">
        <f>IF(项目基本情况!K6="上海银行","其他处置费用","")</f>
        <v/>
      </c>
      <c r="L56" s="3297"/>
      <c r="M56" s="2308" t="str">
        <f>IF(项目基本情况!K6="上海银行",M69,"")</f>
        <v/>
      </c>
      <c r="N56" s="3296" t="str">
        <f>IF(项目基本情况!K6="上海银行","包含处置中涉及的律师、诉讼、拍卖、评估等费用","")</f>
        <v/>
      </c>
      <c r="O56" s="3299"/>
    </row>
    <row r="57" spans="1:35" ht="13">
      <c r="A57" s="2149" t="s">
        <v>1339</v>
      </c>
      <c r="B57" s="3339" t="s">
        <v>1364</v>
      </c>
      <c r="C57" s="3340"/>
      <c r="D57" s="1474">
        <v>0</v>
      </c>
      <c r="E57" s="316" t="s">
        <v>1341</v>
      </c>
      <c r="F57" s="294"/>
      <c r="G57" s="2337"/>
      <c r="H57" s="2341"/>
      <c r="I57" s="1666"/>
      <c r="J57" s="3315">
        <f>IF(AND(J55="",J56=""),4,IF(项目基本情况!K6="上海银行",结果表!J56+1,结果表!J55+1))</f>
        <v>5</v>
      </c>
      <c r="K57" s="3315" t="s">
        <v>1365</v>
      </c>
      <c r="L57" s="2313" t="s">
        <v>1366</v>
      </c>
      <c r="M57" s="2314"/>
      <c r="N57" s="2315">
        <f ca="1">SUMIF(M52:M56,"&lt;9e307")</f>
        <v>29557</v>
      </c>
      <c r="O57" s="2316"/>
      <c r="P57" s="2460">
        <f ca="1">N57/M49</f>
        <v>0.57603632749313016</v>
      </c>
    </row>
    <row r="58" spans="1:35" ht="26">
      <c r="A58" s="2149" t="s">
        <v>1350</v>
      </c>
      <c r="B58" s="3339" t="s">
        <v>1367</v>
      </c>
      <c r="C58" s="3338"/>
      <c r="D58" s="12">
        <f ca="1">IF(H58="转让取得",C81,C97)</f>
        <v>29042</v>
      </c>
      <c r="E58" s="1252" t="s">
        <v>1362</v>
      </c>
      <c r="F58" s="294" t="s">
        <v>28</v>
      </c>
      <c r="G58" s="2337"/>
      <c r="H58" s="2340"/>
      <c r="I58" s="1666"/>
      <c r="J58" s="3315"/>
      <c r="K58" s="3315"/>
      <c r="L58" s="2313" t="s">
        <v>1368</v>
      </c>
      <c r="M58" s="2317"/>
      <c r="N58" s="2318" t="str">
        <f ca="1">NUMBERSTRING(INT(N57*10000),2)&amp;"元整"</f>
        <v>贰亿玖仟伍佰伍拾柒万元整</v>
      </c>
      <c r="O58" s="2319"/>
    </row>
    <row r="59" spans="1:35" ht="26.5" thickBot="1">
      <c r="A59" s="3319" t="s">
        <v>1369</v>
      </c>
      <c r="B59" s="3320"/>
      <c r="C59" s="3320"/>
      <c r="D59" s="2342">
        <f ca="1">IF(H59="非个人房产","——",IF(H59="个人住宅（满五唯一有凭证）",0,IF(H59="个人其他（无凭证）",ROUND(D45*F59,0),ROUND(C67*F59,0))))</f>
        <v>489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1363</v>
      </c>
      <c r="H59" s="2134"/>
      <c r="I59" s="2133" t="s">
        <v>2135</v>
      </c>
      <c r="J59" s="3317">
        <f>J57+1</f>
        <v>6</v>
      </c>
      <c r="K59" s="3315" t="s">
        <v>1370</v>
      </c>
      <c r="L59" s="2306" t="s">
        <v>1366</v>
      </c>
      <c r="M59" s="2320"/>
      <c r="N59" s="2321">
        <f ca="1">M49-N57</f>
        <v>21754</v>
      </c>
      <c r="O59" s="2322"/>
    </row>
    <row r="60" spans="1:35" ht="12" customHeight="1">
      <c r="A60" s="1667"/>
      <c r="B60" s="646"/>
      <c r="C60" s="646"/>
      <c r="D60" s="646"/>
      <c r="E60" s="1462"/>
      <c r="F60" s="1666"/>
      <c r="G60" s="1666"/>
      <c r="H60" s="151"/>
      <c r="I60" s="121"/>
      <c r="J60" s="3318"/>
      <c r="K60" s="3315"/>
      <c r="L60" s="2313" t="s">
        <v>1368</v>
      </c>
      <c r="M60" s="2317"/>
      <c r="N60" s="2318" t="str">
        <f ca="1">NUMBERSTRING(INT(N59*10000),2)&amp;"元整"</f>
        <v>贰亿壹仟柒佰伍拾肆万元整</v>
      </c>
      <c r="O60" s="2319"/>
    </row>
    <row r="61" spans="1:35" ht="13.5" thickBot="1">
      <c r="A61" s="3374" t="s">
        <v>1371</v>
      </c>
      <c r="B61" s="3374"/>
      <c r="C61" s="3374"/>
      <c r="D61" s="3374"/>
      <c r="E61" s="3374"/>
      <c r="F61" s="1666"/>
      <c r="G61" s="1666"/>
      <c r="H61" s="151"/>
      <c r="I61" s="121"/>
      <c r="J61" s="2306">
        <f>J59+1</f>
        <v>7</v>
      </c>
      <c r="K61" s="3315" t="s">
        <v>1372</v>
      </c>
      <c r="L61" s="3315"/>
      <c r="M61" s="2323"/>
      <c r="N61" s="2324">
        <f ca="1">ROUND(N59*10000/'数据-汇总表'!E3,0)</f>
        <v>8082</v>
      </c>
      <c r="O61" s="2325"/>
    </row>
    <row r="62" spans="1:35" ht="13">
      <c r="A62" s="3334" t="s">
        <v>1373</v>
      </c>
      <c r="B62" s="3335"/>
      <c r="C62" s="1861"/>
      <c r="D62" s="1861" t="s">
        <v>1374</v>
      </c>
      <c r="E62" s="158" t="s">
        <v>1375</v>
      </c>
      <c r="F62" s="1666"/>
      <c r="G62" s="1666"/>
      <c r="H62" s="151"/>
      <c r="I62" s="121"/>
    </row>
    <row r="63" spans="1:35" ht="13">
      <c r="A63" s="165" t="s">
        <v>330</v>
      </c>
      <c r="B63" s="159" t="s">
        <v>1376</v>
      </c>
      <c r="C63" s="2346">
        <f ca="1">ROUND((C64+C65)/(1+'数据-取费表'!C42),0)</f>
        <v>48868</v>
      </c>
      <c r="D63" s="159"/>
      <c r="E63" s="160"/>
      <c r="F63" s="1666"/>
      <c r="G63" s="1666"/>
      <c r="H63" s="151"/>
      <c r="I63" s="121"/>
      <c r="J63" s="3298" t="s">
        <v>1377</v>
      </c>
      <c r="K63" s="1241" t="s">
        <v>1378</v>
      </c>
      <c r="L63" s="1241">
        <f ca="1">IF(M49&gt;10000,M49*0.5%,IF(AND(M49&gt;1000,M49&lt;=10000),M49*1%,IF(AND(M49&gt;100,M49&lt;=1000),M49*3%,IF(AND(M49&gt;10,M49&lt;=100),M49*5%,M49*8%))))</f>
        <v>256.55500000000001</v>
      </c>
      <c r="M63" s="294">
        <f ca="1">ROUND(L63,1)</f>
        <v>256.60000000000002</v>
      </c>
      <c r="N63" s="2326"/>
      <c r="Z63" s="1619"/>
      <c r="AI63" s="1557"/>
    </row>
    <row r="64" spans="1:35" ht="14.25" customHeight="1">
      <c r="A64" s="161" t="s">
        <v>325</v>
      </c>
      <c r="B64" s="162" t="s">
        <v>1379</v>
      </c>
      <c r="C64" s="2347">
        <f ca="1">D45</f>
        <v>51311</v>
      </c>
      <c r="D64" s="162" t="s">
        <v>26</v>
      </c>
      <c r="E64" s="164"/>
      <c r="F64" s="1666"/>
      <c r="G64" s="1666"/>
      <c r="H64" s="151"/>
      <c r="I64" s="121"/>
      <c r="J64" s="3298"/>
      <c r="K64" s="1241" t="s">
        <v>1380</v>
      </c>
      <c r="L64" s="1241">
        <f ca="1">IF(M49&gt;2000,M49*0.5%,IF(AND(M49&gt;1000,M49&lt;=2000),M49*0.6%,IF(AND(M49&gt;500,M49&lt;=1000),M49*0.7%,IF(AND(M49&gt;200,M49&lt;=500),M49*0.8%,IF(AND(M49&gt;100,M49&lt;=200),M49*0.9%,IF(AND(M49&gt;50,M49&lt;=100),M49*1%,IF(AND(M49&gt;20,M49&lt;=50),M49*1.5%,IF(AND(M49&gt;10,M49&lt;=20),M49*2%,IF(AND(M49&gt;1,M49&lt;=10),M49*2.5%)))))))))</f>
        <v>256.55500000000001</v>
      </c>
      <c r="M64" s="294">
        <f t="shared" ref="M64:M65" ca="1" si="1">ROUND(L64,1)</f>
        <v>256.60000000000002</v>
      </c>
      <c r="N64" s="2327" t="s">
        <v>1381</v>
      </c>
      <c r="Z64" s="1619"/>
      <c r="AI64" s="1557"/>
    </row>
    <row r="65" spans="1:35" ht="14.25" customHeight="1">
      <c r="A65" s="161" t="s">
        <v>326</v>
      </c>
      <c r="B65" s="162" t="s">
        <v>1382</v>
      </c>
      <c r="C65" s="2348"/>
      <c r="D65" s="162"/>
      <c r="E65" s="164"/>
      <c r="F65" s="1666"/>
      <c r="G65" s="1666"/>
      <c r="H65" s="151"/>
      <c r="I65" s="121"/>
      <c r="J65" s="3298"/>
      <c r="K65" s="1241" t="s">
        <v>1383</v>
      </c>
      <c r="L65" s="1241">
        <f ca="1">IF(M49&gt;1000,M49*0.1%,IF(AND(M49&gt;500,M49&lt;=1000),M49*0.5%,IF(AND(M49&gt;50,M49&lt;=500),M49*1%,IF(AND(M49&gt;1,M49&lt;=50),M49*1.5%))))</f>
        <v>51.311</v>
      </c>
      <c r="M65" s="294">
        <f t="shared" ca="1" si="1"/>
        <v>51.3</v>
      </c>
      <c r="N65" s="2327" t="s">
        <v>1381</v>
      </c>
      <c r="Z65" s="1619"/>
      <c r="AI65" s="1557"/>
    </row>
    <row r="66" spans="1:35" ht="14.25" customHeight="1">
      <c r="A66" s="165" t="s">
        <v>327</v>
      </c>
      <c r="B66" s="166" t="s">
        <v>1384</v>
      </c>
      <c r="C66" s="2349"/>
      <c r="D66" s="166" t="s">
        <v>26</v>
      </c>
      <c r="E66" s="1247" t="s">
        <v>669</v>
      </c>
      <c r="F66" s="1666"/>
      <c r="G66" s="1666"/>
      <c r="H66" s="151"/>
      <c r="I66" s="121"/>
      <c r="J66" s="3298"/>
      <c r="K66" s="1241" t="s">
        <v>1385</v>
      </c>
      <c r="L66" s="1241">
        <f ca="1">M49*0.5%</f>
        <v>256.55500000000001</v>
      </c>
      <c r="M66" s="294">
        <f ca="1">IF(L66&gt;0.5,0.5,ROUND(L66,0))</f>
        <v>0.5</v>
      </c>
      <c r="N66" s="2327" t="s">
        <v>1386</v>
      </c>
      <c r="Z66" s="1619"/>
      <c r="AI66" s="1557"/>
    </row>
    <row r="67" spans="1:35" ht="14.25" customHeight="1">
      <c r="A67" s="165" t="s">
        <v>328</v>
      </c>
      <c r="B67" s="166" t="s">
        <v>1387</v>
      </c>
      <c r="C67" s="2350">
        <f ca="1">C63-C66</f>
        <v>48868</v>
      </c>
      <c r="D67" s="162" t="s">
        <v>26</v>
      </c>
      <c r="E67" s="164"/>
      <c r="F67" s="1666"/>
      <c r="G67" s="1666"/>
      <c r="H67" s="151"/>
      <c r="I67" s="121"/>
      <c r="J67" s="3298"/>
      <c r="K67" s="1241" t="s">
        <v>1388</v>
      </c>
      <c r="L67" s="1241">
        <f ca="1">IF(M49&gt;=10000,(8.25+(M49-10000)*0.01%),IF(AND(M49&gt;=8000,M49&lt;10000),(7.85+(M49-8000)*0.02%),IF(AND(M49&gt;=5000,M49&lt;8000),(6.65+(M49-5000)*0.04%),IF(AND(M49&gt;=2000,M49&lt;5000),(4.25+(PM49-2000)*0.08%),IF(AND(M49&gt;=1000,M49&lt;2000),(2.75+(M49-1000)*0.15%),IF(AND(M49&gt;=100,M49&lt;1000),(0.5+(M49-100)*0.25%),IF(AND(M49&gt;0,M49&lt;100),M49*0.5%)))))))</f>
        <v>12.3811</v>
      </c>
      <c r="M67" s="294">
        <f ca="1">ROUND(L67*0.9,1)</f>
        <v>11.1</v>
      </c>
      <c r="N67" s="2326"/>
      <c r="Z67" s="1619"/>
      <c r="AI67" s="1557"/>
    </row>
    <row r="68" spans="1:35" ht="14.25" customHeight="1" thickBot="1">
      <c r="A68" s="168" t="s">
        <v>329</v>
      </c>
      <c r="B68" s="169" t="s">
        <v>1389</v>
      </c>
      <c r="C68" s="2351">
        <f ca="1">IF(C67&lt;=0,0,ROUND(C67*D68,0))</f>
        <v>2737</v>
      </c>
      <c r="D68" s="2352">
        <f>'数据-取费表'!B41</f>
        <v>5.6000000000000001E-2</v>
      </c>
      <c r="E68" s="170"/>
      <c r="F68" s="1666"/>
      <c r="G68" s="1666"/>
      <c r="H68" s="151"/>
      <c r="I68" s="121"/>
      <c r="J68" s="3298"/>
      <c r="K68" s="1241" t="s">
        <v>1390</v>
      </c>
      <c r="L68" s="1241">
        <f ca="1">IF(M49&gt;10000,M49*0.5%,IF(AND(M49&gt;5000,M49&lt;=10000),M49*1%,IF(AND(M49&gt;1000,M49&lt;=5000),M49*2%,IF(AND(M49&gt;200,M49&lt;=1000),M49*3%,M49*5%))))</f>
        <v>256.55500000000001</v>
      </c>
      <c r="M68" s="294">
        <f ca="1">ROUND(L68,1)</f>
        <v>256.60000000000002</v>
      </c>
      <c r="N68" s="2326"/>
      <c r="Z68" s="1619"/>
      <c r="AI68" s="1557"/>
    </row>
    <row r="69" spans="1:35" ht="16.5" customHeight="1">
      <c r="A69" s="1668"/>
      <c r="B69" s="1669"/>
      <c r="C69" s="1670"/>
      <c r="D69" s="1671"/>
      <c r="E69" s="1672"/>
      <c r="F69" s="1462"/>
      <c r="G69" s="1462"/>
      <c r="H69" s="1463"/>
      <c r="I69" s="646"/>
      <c r="J69" s="3298"/>
      <c r="K69" s="1241" t="s">
        <v>1391</v>
      </c>
      <c r="L69" s="1241"/>
      <c r="M69" s="294">
        <f ca="1">ROUND(SUM(M63:M68),0)</f>
        <v>833</v>
      </c>
      <c r="N69" s="2328">
        <f ca="1">M69/M49</f>
        <v>1.6234335717487478E-2</v>
      </c>
      <c r="Z69" s="1619"/>
      <c r="AI69" s="1557"/>
    </row>
    <row r="70" spans="1:35" s="642" customFormat="1" ht="14.5" thickBot="1">
      <c r="A70" s="3342" t="s">
        <v>1392</v>
      </c>
      <c r="B70" s="3343"/>
      <c r="C70" s="3343"/>
      <c r="D70" s="3343"/>
      <c r="E70" s="3343"/>
      <c r="F70" s="3343"/>
      <c r="G70" s="3343"/>
      <c r="H70" s="3343"/>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
      <c r="A71" s="3334" t="s">
        <v>1373</v>
      </c>
      <c r="B71" s="3335"/>
      <c r="C71" s="1861"/>
      <c r="D71" s="1861" t="s">
        <v>1374</v>
      </c>
      <c r="E71" s="171" t="s">
        <v>1375</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
      <c r="A72" s="165" t="s">
        <v>330</v>
      </c>
      <c r="B72" s="166" t="s">
        <v>1393</v>
      </c>
      <c r="C72" s="2350">
        <f ca="1">ROUND(D45/(1+'数据-取费表'!C42),0)</f>
        <v>48868</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
      <c r="A73" s="165" t="s">
        <v>327</v>
      </c>
      <c r="B73" s="155" t="s">
        <v>1394</v>
      </c>
      <c r="C73" s="2350">
        <f ca="1">C74+C78</f>
        <v>293</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6">
      <c r="A74" s="161" t="s">
        <v>325</v>
      </c>
      <c r="B74" s="162" t="s">
        <v>1395</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
      <c r="A75" s="161" t="s">
        <v>331</v>
      </c>
      <c r="B75" s="162" t="s">
        <v>1396</v>
      </c>
      <c r="C75" s="2353"/>
      <c r="D75" s="162" t="s">
        <v>26</v>
      </c>
      <c r="E75" s="176" t="s">
        <v>1397</v>
      </c>
      <c r="F75" s="2354"/>
      <c r="G75" s="176" t="s">
        <v>1398</v>
      </c>
      <c r="H75" s="2355"/>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1399</v>
      </c>
      <c r="C76" s="162">
        <f>IF(F75="购房发票",ROUND(C75*H75*D76,0),0)</f>
        <v>0</v>
      </c>
      <c r="D76" s="2356">
        <v>0.05</v>
      </c>
      <c r="E76" s="3339" t="s">
        <v>1400</v>
      </c>
      <c r="F76" s="3338"/>
      <c r="G76" s="3338"/>
      <c r="H76" s="3341"/>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1401</v>
      </c>
      <c r="C77" s="162">
        <f>ROUND(IF(G77="个人住宅",0,IF(G77="2016年5月1日前购买",C75*D77,C75*D77/(1+'数据-取费表'!C42))),0)</f>
        <v>0</v>
      </c>
      <c r="D77" s="2357">
        <f>'数据-取费表'!B48+'数据-取费表'!B49</f>
        <v>3.0499999999999999E-2</v>
      </c>
      <c r="E77" s="12" t="s">
        <v>1402</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1403</v>
      </c>
      <c r="C78" s="2358">
        <f ca="1">ROUND(D45*D78/(1+'数据-取费表'!C42),0)</f>
        <v>293</v>
      </c>
      <c r="D78" s="2359">
        <f>'数据-取费表'!B43</f>
        <v>6.000000000000001E-3</v>
      </c>
      <c r="E78" s="3331" t="s">
        <v>1404</v>
      </c>
      <c r="F78" s="3332"/>
      <c r="G78" s="3332"/>
      <c r="H78" s="3333"/>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
      <c r="A79" s="165" t="s">
        <v>334</v>
      </c>
      <c r="B79" s="166" t="s">
        <v>1405</v>
      </c>
      <c r="C79" s="2350">
        <f ca="1">C72-C73</f>
        <v>48575</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6">
      <c r="A80" s="165" t="s">
        <v>335</v>
      </c>
      <c r="B80" s="166" t="s">
        <v>1406</v>
      </c>
      <c r="C80" s="2360">
        <f ca="1">IF(C79&lt;=0,0,C79/C73)</f>
        <v>165.78498293515358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6.5" thickBot="1">
      <c r="A81" s="168" t="s">
        <v>336</v>
      </c>
      <c r="B81" s="169" t="s">
        <v>1407</v>
      </c>
      <c r="C81" s="2361">
        <f ca="1">ROUND(IF(C79&lt;=0,0,IF(C80&gt;=200%,C79*60%-C73*35%,IF(C80&gt;=100%,C79*50%-C73*15%,IF(C80&gt;=50%,C79*40%-C73*5%,IF(C80&lt;50%,C79*30%,0))))),0)</f>
        <v>29042</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4.5" thickBot="1">
      <c r="A83" s="3342" t="s">
        <v>1408</v>
      </c>
      <c r="B83" s="3343"/>
      <c r="C83" s="3343"/>
      <c r="D83" s="3343"/>
      <c r="E83" s="3343"/>
      <c r="F83" s="3343"/>
      <c r="G83" s="3343"/>
      <c r="H83" s="3343"/>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
      <c r="A84" s="3334" t="s">
        <v>1373</v>
      </c>
      <c r="B84" s="3335"/>
      <c r="C84" s="1861"/>
      <c r="D84" s="1861" t="s">
        <v>1374</v>
      </c>
      <c r="E84" s="171" t="s">
        <v>1375</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
      <c r="A85" s="165" t="s">
        <v>330</v>
      </c>
      <c r="B85" s="166" t="s">
        <v>1393</v>
      </c>
      <c r="C85" s="2350">
        <f ca="1">ROUND(D45/(1+'数据-取费表'!C42),0)</f>
        <v>48868</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
      <c r="A86" s="165" t="s">
        <v>327</v>
      </c>
      <c r="B86" s="155" t="s">
        <v>1394</v>
      </c>
      <c r="C86" s="2350">
        <f ca="1">IF(H88="仅含出让金",C87+C90+C91+C92+C93+C94,C87+C91+C92+C93+C94)</f>
        <v>293</v>
      </c>
      <c r="D86" s="2363"/>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
      <c r="A87" s="161" t="s">
        <v>325</v>
      </c>
      <c r="B87" s="162" t="s">
        <v>1409</v>
      </c>
      <c r="C87" s="2358">
        <f>C88+C89</f>
        <v>0</v>
      </c>
      <c r="D87" s="2359"/>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
      <c r="A88" s="161" t="s">
        <v>331</v>
      </c>
      <c r="B88" s="162" t="s">
        <v>1410</v>
      </c>
      <c r="C88" s="2364"/>
      <c r="D88" s="2359"/>
      <c r="E88" s="185" t="s">
        <v>1411</v>
      </c>
      <c r="F88" s="2144"/>
      <c r="G88" s="186" t="s">
        <v>1412</v>
      </c>
      <c r="H88" s="1680"/>
      <c r="I88" s="1677"/>
      <c r="J88" s="2304"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
      <c r="A89" s="161" t="s">
        <v>332</v>
      </c>
      <c r="B89" s="162" t="s">
        <v>1401</v>
      </c>
      <c r="C89" s="2358">
        <f>ROUND(C88*D89,0)</f>
        <v>0</v>
      </c>
      <c r="D89" s="2359">
        <f>'数据-取费表'!B48+'数据-取费表'!B49</f>
        <v>3.0499999999999999E-2</v>
      </c>
      <c r="E89" s="185" t="s">
        <v>1413</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
      <c r="A90" s="161" t="s">
        <v>326</v>
      </c>
      <c r="B90" s="162" t="s">
        <v>1414</v>
      </c>
      <c r="C90" s="2364"/>
      <c r="D90" s="2359"/>
      <c r="E90" s="185" t="str">
        <f>IF(H88="-","土地取得成本中已包含该笔费用"," ")</f>
        <v xml:space="preserve"> </v>
      </c>
      <c r="F90" s="2144"/>
      <c r="G90" s="3300" t="s">
        <v>2127</v>
      </c>
      <c r="H90" s="3301"/>
      <c r="I90" s="1677"/>
      <c r="J90" s="2304"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1415</v>
      </c>
      <c r="B91" s="162" t="s">
        <v>1416</v>
      </c>
      <c r="C91" s="2358">
        <f>IF(H91="——",成本法!C33,I91)</f>
        <v>0</v>
      </c>
      <c r="D91" s="2359"/>
      <c r="E91" s="3331" t="s">
        <v>1417</v>
      </c>
      <c r="F91" s="3332"/>
      <c r="G91" s="3332"/>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1418</v>
      </c>
      <c r="B92" s="162" t="s">
        <v>1419</v>
      </c>
      <c r="C92" s="2358">
        <f>ROUND((C87+C90+C91)*D92,0)</f>
        <v>0</v>
      </c>
      <c r="D92" s="2365"/>
      <c r="E92" s="3331" t="s">
        <v>1420</v>
      </c>
      <c r="F92" s="3332"/>
      <c r="G92" s="3332"/>
      <c r="H92" s="3333"/>
      <c r="I92" s="1677"/>
      <c r="J92" s="2305"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1421</v>
      </c>
      <c r="B93" s="162" t="s">
        <v>1403</v>
      </c>
      <c r="C93" s="2358">
        <f ca="1">ROUND(D45*D93/(1+'数据-取费表'!C42),0)</f>
        <v>293</v>
      </c>
      <c r="D93" s="2359">
        <f>'数据-取费表'!B43</f>
        <v>6.000000000000001E-3</v>
      </c>
      <c r="E93" s="3331" t="s">
        <v>1404</v>
      </c>
      <c r="F93" s="3332"/>
      <c r="G93" s="3332"/>
      <c r="H93" s="3333"/>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1422</v>
      </c>
      <c r="B94" s="162" t="s">
        <v>1423</v>
      </c>
      <c r="C94" s="2364">
        <f>ROUND((C87+C90+C91)*D94,0)</f>
        <v>0</v>
      </c>
      <c r="D94" s="2359">
        <v>0.2</v>
      </c>
      <c r="E94" s="3376" t="s">
        <v>1424</v>
      </c>
      <c r="F94" s="3377"/>
      <c r="G94" s="3377"/>
      <c r="H94" s="337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
      <c r="A95" s="165" t="s">
        <v>334</v>
      </c>
      <c r="B95" s="166" t="s">
        <v>1405</v>
      </c>
      <c r="C95" s="2350">
        <f ca="1">ROUND(C85-C86,0)</f>
        <v>48575</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6">
      <c r="A96" s="165" t="s">
        <v>335</v>
      </c>
      <c r="B96" s="166" t="s">
        <v>1406</v>
      </c>
      <c r="C96" s="2360">
        <f ca="1">IF(C95&lt;=0,0,C95/C86)</f>
        <v>165.78498293515358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6.5" thickBot="1">
      <c r="A97" s="168" t="s">
        <v>336</v>
      </c>
      <c r="B97" s="169" t="s">
        <v>1407</v>
      </c>
      <c r="C97" s="2361">
        <f ca="1">ROUND(IF(C95&lt;=0,0,IF(C96&gt;=200%,C95*60%-C86*35%,IF(C96&gt;=100%,C95*50%-C86*15%,IF(C96&gt;=50%,C95*40%-C86*5%,IF(C96&lt;50%,C95*30%,0))))),0)</f>
        <v>29042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1425</v>
      </c>
      <c r="B99" s="646"/>
      <c r="C99" s="646"/>
      <c r="D99" s="646"/>
      <c r="E99" s="1462"/>
      <c r="F99" s="1462"/>
      <c r="G99" s="1462"/>
      <c r="H99" s="1463"/>
      <c r="I99" s="121"/>
    </row>
    <row r="100" spans="1:35" ht="18.75" customHeight="1">
      <c r="A100" s="3281" t="s">
        <v>1426</v>
      </c>
      <c r="B100" s="3282"/>
      <c r="C100" s="3282"/>
      <c r="D100" s="3316"/>
      <c r="E100" s="3282" t="s">
        <v>1427</v>
      </c>
      <c r="F100" s="3282"/>
      <c r="G100" s="3282"/>
      <c r="H100" s="3316"/>
      <c r="I100" s="121"/>
    </row>
    <row r="101" spans="1:35" ht="18.75" customHeight="1">
      <c r="A101" s="3324" t="s">
        <v>1428</v>
      </c>
      <c r="B101" s="3325"/>
      <c r="C101" s="2367" t="str">
        <f>C4</f>
        <v>成本法</v>
      </c>
      <c r="D101" s="2368" t="str">
        <f>D4</f>
        <v>收益法（汇总）</v>
      </c>
      <c r="E101" s="3294" t="s">
        <v>1429</v>
      </c>
      <c r="F101" s="3295"/>
      <c r="G101" s="1683" t="s">
        <v>1430</v>
      </c>
      <c r="H101" s="2377">
        <f ca="1">H118</f>
        <v>51311</v>
      </c>
      <c r="I101" s="121"/>
    </row>
    <row r="102" spans="1:35" ht="18.75" customHeight="1">
      <c r="A102" s="3326" t="s">
        <v>1431</v>
      </c>
      <c r="B102" s="2366" t="s">
        <v>1430</v>
      </c>
      <c r="C102" s="2367">
        <f ca="1">IF(D32="楼面单价",ROUND(C19,0),C19)</f>
        <v>67354</v>
      </c>
      <c r="D102" s="2368">
        <f ca="1">IF(D32="楼面单价",ROUND(D19,0),D19)</f>
        <v>27246</v>
      </c>
      <c r="E102" s="3294"/>
      <c r="F102" s="3295"/>
      <c r="G102" s="1683" t="s">
        <v>1432</v>
      </c>
      <c r="H102" s="2337">
        <f ca="1">I118</f>
        <v>19062</v>
      </c>
      <c r="I102" s="121"/>
    </row>
    <row r="103" spans="1:35" ht="42.75" customHeight="1">
      <c r="A103" s="3326"/>
      <c r="B103" s="2366" t="s">
        <v>1432</v>
      </c>
      <c r="C103" s="2369">
        <f ca="1">C20</f>
        <v>25022</v>
      </c>
      <c r="D103" s="2370">
        <f ca="1">D20</f>
        <v>10122</v>
      </c>
      <c r="E103" s="3287" t="s">
        <v>1433</v>
      </c>
      <c r="F103" s="3288"/>
      <c r="G103" s="1684" t="s">
        <v>1434</v>
      </c>
      <c r="H103" s="2377">
        <f>IF(D36="正常操作",H104+H105+H106,H105+H106)</f>
        <v>0</v>
      </c>
      <c r="I103" s="121"/>
    </row>
    <row r="104" spans="1:35" ht="18.75" customHeight="1">
      <c r="A104" s="3326" t="s">
        <v>1435</v>
      </c>
      <c r="B104" s="2371" t="s">
        <v>1430</v>
      </c>
      <c r="C104" s="2372">
        <f ca="1">H118</f>
        <v>51311</v>
      </c>
      <c r="D104" s="2373"/>
      <c r="E104" s="1551" t="s">
        <v>1436</v>
      </c>
      <c r="F104" s="1544"/>
      <c r="G104" s="1684" t="s">
        <v>1434</v>
      </c>
      <c r="H104" s="2378">
        <f>IF(D36="同一抵押权人同一抵押物续贷",C36&amp;"（续贷，未扣减，详见特别提示）",C36)</f>
        <v>0</v>
      </c>
      <c r="I104" s="121"/>
    </row>
    <row r="105" spans="1:35" ht="18.75" customHeight="1" thickBot="1">
      <c r="A105" s="3336"/>
      <c r="B105" s="2374" t="s">
        <v>1432</v>
      </c>
      <c r="C105" s="2375">
        <f ca="1">I118</f>
        <v>19062</v>
      </c>
      <c r="D105" s="2376"/>
      <c r="E105" s="1551" t="s">
        <v>1437</v>
      </c>
      <c r="F105" s="1544"/>
      <c r="G105" s="1684" t="s">
        <v>1434</v>
      </c>
      <c r="H105" s="2379">
        <f>C37</f>
        <v>0</v>
      </c>
      <c r="I105" s="121"/>
    </row>
    <row r="106" spans="1:35" ht="18.75" customHeight="1">
      <c r="A106" s="646" t="s">
        <v>1438</v>
      </c>
      <c r="B106" s="646"/>
      <c r="C106" s="646"/>
      <c r="D106" s="646"/>
      <c r="E106" s="1685" t="s">
        <v>1439</v>
      </c>
      <c r="F106" s="1544"/>
      <c r="G106" s="1684" t="s">
        <v>1434</v>
      </c>
      <c r="H106" s="2379">
        <f>C38</f>
        <v>0</v>
      </c>
      <c r="I106" s="121"/>
    </row>
    <row r="107" spans="1:35" ht="18.75" customHeight="1">
      <c r="A107" s="121"/>
      <c r="B107" s="121"/>
      <c r="C107" s="121"/>
      <c r="D107" s="121"/>
      <c r="E107" s="3327" t="str">
        <f>IF(项目基本情况!E8="已注销","——","3.房地产抵押价值")</f>
        <v>——</v>
      </c>
      <c r="F107" s="3295"/>
      <c r="G107" s="1683" t="s">
        <v>1430</v>
      </c>
      <c r="H107" s="2377" t="str">
        <f>IF(E107="——","——",H101-H103)</f>
        <v>——</v>
      </c>
      <c r="I107" s="121"/>
    </row>
    <row r="108" spans="1:35" ht="18.75" customHeight="1">
      <c r="A108" s="121"/>
      <c r="B108" s="121"/>
      <c r="C108" s="121"/>
      <c r="D108" s="121"/>
      <c r="E108" s="3327"/>
      <c r="F108" s="3295"/>
      <c r="G108" s="1683" t="s">
        <v>1432</v>
      </c>
      <c r="H108" s="2337" t="e">
        <f ca="1">IF(H107=H101,H102,ROUND(H107*10000/'数据-汇总表'!E3,0))</f>
        <v>#VALUE!</v>
      </c>
      <c r="I108" s="121"/>
    </row>
    <row r="109" spans="1:35" ht="18.75" customHeight="1">
      <c r="A109" s="121"/>
      <c r="B109" s="121"/>
      <c r="C109" s="121"/>
      <c r="D109" s="121"/>
      <c r="E109" s="3327" t="str">
        <f>IF(项目基本情况!E8="已注销及未注销","4.抵押担保权已注销时的房地产抵押价值",IF(项目基本情况!E8="已注销","3.抵押担保权已注销时的房地产抵押价值","——"))</f>
        <v>3.抵押担保权已注销时的房地产抵押价值</v>
      </c>
      <c r="F109" s="3295"/>
      <c r="G109" s="1683" t="s">
        <v>1430</v>
      </c>
      <c r="H109" s="2380">
        <f ca="1">IF(E109="——","——",H101-H105-H106)</f>
        <v>51311</v>
      </c>
      <c r="I109" s="121"/>
    </row>
    <row r="110" spans="1:35" ht="18.75" customHeight="1">
      <c r="A110" s="121"/>
      <c r="B110" s="121"/>
      <c r="C110" s="121"/>
      <c r="D110" s="121"/>
      <c r="E110" s="3327"/>
      <c r="F110" s="3295"/>
      <c r="G110" s="1683" t="s">
        <v>1432</v>
      </c>
      <c r="H110" s="2337">
        <f ca="1">IF(H109="——","——",ROUND(H109*10000/'数据-汇总表'!E3,0))</f>
        <v>19062</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314"/>
      <c r="G111" s="1683" t="s">
        <v>1430</v>
      </c>
      <c r="H111" s="2377" t="str">
        <f>IF(E111="——","——",N59)</f>
        <v>——</v>
      </c>
      <c r="I111" s="121"/>
    </row>
    <row r="112" spans="1:35" ht="18.75" customHeight="1" thickBot="1">
      <c r="A112" s="121"/>
      <c r="B112" s="121"/>
      <c r="C112" s="121"/>
      <c r="D112" s="121"/>
      <c r="E112" s="3329"/>
      <c r="F112" s="3330"/>
      <c r="G112" s="1686" t="s">
        <v>1432</v>
      </c>
      <c r="H112" s="2381" t="str">
        <f>IF(E111="——","——",N61)</f>
        <v>——</v>
      </c>
      <c r="I112" s="121"/>
    </row>
    <row r="113" spans="1:27" ht="18.75" customHeight="1">
      <c r="A113" s="121"/>
      <c r="B113" s="121"/>
      <c r="C113" s="121"/>
      <c r="D113" s="121"/>
      <c r="E113" s="3337" t="s">
        <v>1438</v>
      </c>
      <c r="F113" s="3337"/>
      <c r="G113" s="3337"/>
      <c r="H113" s="3337"/>
      <c r="I113" s="121"/>
    </row>
    <row r="114" spans="1:27" ht="3.75" customHeight="1">
      <c r="A114" s="646"/>
      <c r="B114" s="646"/>
      <c r="C114" s="646"/>
      <c r="D114" s="646"/>
      <c r="E114" s="1667"/>
      <c r="F114" s="1667"/>
      <c r="G114" s="1667"/>
      <c r="H114" s="1667"/>
      <c r="I114" s="646"/>
    </row>
    <row r="115" spans="1:27" ht="18.75" customHeight="1">
      <c r="A115" s="3345" t="s">
        <v>1440</v>
      </c>
      <c r="B115" s="3346"/>
      <c r="C115" s="3346"/>
      <c r="D115" s="3346"/>
      <c r="E115" s="3346"/>
      <c r="F115" s="3346"/>
      <c r="G115" s="3346"/>
      <c r="H115" s="3346"/>
      <c r="I115" s="3347"/>
    </row>
    <row r="116" spans="1:27" ht="27" customHeight="1">
      <c r="A116" s="3302" t="s">
        <v>1441</v>
      </c>
      <c r="B116" s="3306" t="s">
        <v>1442</v>
      </c>
      <c r="C116" s="3306" t="s">
        <v>1443</v>
      </c>
      <c r="D116" s="3312" t="s">
        <v>1444</v>
      </c>
      <c r="E116" s="3313"/>
      <c r="F116" s="3344" t="s">
        <v>1445</v>
      </c>
      <c r="G116" s="3344"/>
      <c r="H116" s="3302" t="s">
        <v>1446</v>
      </c>
      <c r="I116" s="3302"/>
    </row>
    <row r="117" spans="1:27" ht="18.75" customHeight="1">
      <c r="A117" s="3302"/>
      <c r="B117" s="3307"/>
      <c r="C117" s="3307"/>
      <c r="D117" s="2146" t="s">
        <v>1447</v>
      </c>
      <c r="E117" s="2146" t="s">
        <v>1448</v>
      </c>
      <c r="F117" s="2146" t="s">
        <v>1447</v>
      </c>
      <c r="G117" s="2146" t="s">
        <v>1449</v>
      </c>
      <c r="H117" s="2146" t="s">
        <v>1447</v>
      </c>
      <c r="I117" s="2146" t="s">
        <v>1449</v>
      </c>
    </row>
    <row r="118" spans="1:27" ht="24.75" customHeight="1">
      <c r="A118" s="2382" t="str">
        <f>项目基本情况!S2</f>
        <v>房地产</v>
      </c>
      <c r="B118" s="2146">
        <f>M18</f>
        <v>26917.520000000128</v>
      </c>
      <c r="C118" s="2146">
        <f>M19</f>
        <v>0</v>
      </c>
      <c r="D118" s="2146">
        <f ca="1">ROUND(IF(D32="总价",C34,E118*B118/10000),0)</f>
        <v>35302</v>
      </c>
      <c r="E118" s="2146">
        <f ca="1">ROUND(IF(C33="自定义",IF(D32="楼面单价",C34,D118*10000/B118),I118-G118),0)</f>
        <v>13115</v>
      </c>
      <c r="F118" s="2146">
        <f ca="1">ROUND(IF(D32="总价",C35,G118*B118/10000),0)</f>
        <v>16009</v>
      </c>
      <c r="G118" s="2146">
        <f ca="1">ROUND(IF(D32="楼面单价",C35,F118*10000/B118),0)</f>
        <v>5947</v>
      </c>
      <c r="H118" s="2146">
        <f ca="1">ROUND(IF(D32="总价",C32,I118*B118/10000),0)</f>
        <v>51311</v>
      </c>
      <c r="I118" s="2146">
        <f ca="1">ROUND(IF(D32="楼面单价",C32,H118*10000/B118),0)</f>
        <v>19062</v>
      </c>
    </row>
    <row r="119" spans="1:27" ht="18.75" customHeight="1">
      <c r="A119" s="3302" t="s">
        <v>1450</v>
      </c>
      <c r="B119" s="3302"/>
      <c r="C119" s="3302"/>
      <c r="D119" s="3308" t="str">
        <f ca="1">NUMBERSTRING(INT(D118*10000),2)&amp;"元整"</f>
        <v>叁亿伍仟叁佰零贰万元整</v>
      </c>
      <c r="E119" s="3309"/>
      <c r="F119" s="3308" t="str">
        <f ca="1">NUMBERSTRING(INT(F118*10000),2)&amp;"元整"</f>
        <v>壹亿陆仟零玖万元整</v>
      </c>
      <c r="G119" s="3309"/>
      <c r="H119" s="3308" t="str">
        <f ca="1">NUMBERSTRING(INT(H118*10000),2)&amp;"元整"</f>
        <v>伍亿壹仟叁佰壹拾壹万元整</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08" t="s">
        <v>1450</v>
      </c>
      <c r="B121" s="3310"/>
      <c r="C121" s="3309"/>
      <c r="D121" s="3308" t="str">
        <f>IF(D120=0,"零元整",NUMBERSTRING(INT(D120*10000),2)&amp;"元整")</f>
        <v>零元整</v>
      </c>
      <c r="E121" s="3310"/>
      <c r="F121" s="3310"/>
      <c r="G121" s="3310"/>
      <c r="H121" s="3310"/>
      <c r="I121" s="3309"/>
      <c r="AA121" s="684"/>
    </row>
    <row r="122" spans="1:27" ht="18.75" customHeight="1">
      <c r="A122" s="3314" t="str">
        <f>IF(项目基本情况!B9="房地产市场价值","",MID(E107,3,LEN(E107)-2))</f>
        <v/>
      </c>
      <c r="B122" s="3314"/>
      <c r="C122" s="3314"/>
      <c r="D122" s="3303" t="str">
        <f>H107</f>
        <v>——</v>
      </c>
      <c r="E122" s="3304"/>
      <c r="F122" s="3304"/>
      <c r="G122" s="3304"/>
      <c r="H122" s="3304"/>
      <c r="I122" s="3305"/>
      <c r="AA122" s="684"/>
    </row>
    <row r="123" spans="1:27" ht="18.75" customHeight="1">
      <c r="A123" s="3302" t="s">
        <v>1450</v>
      </c>
      <c r="B123" s="3302"/>
      <c r="C123" s="3302"/>
      <c r="D123" s="3308" t="e">
        <f>NUMBERSTRING(INT(D122*10000),2)&amp;"元整"</f>
        <v>#VALUE!</v>
      </c>
      <c r="E123" s="3310"/>
      <c r="F123" s="3310"/>
      <c r="G123" s="3310"/>
      <c r="H123" s="3310"/>
      <c r="I123" s="3309"/>
      <c r="AA123" s="684"/>
    </row>
    <row r="124" spans="1:27" ht="18.75" customHeight="1">
      <c r="A124" s="3314" t="str">
        <f>IF(项目基本情况!B9="房地产市场价值","",MID(E109,3,LEN(E109)-2))</f>
        <v>抵押担保权已注销时的房地产抵押价值</v>
      </c>
      <c r="B124" s="3314"/>
      <c r="C124" s="3314"/>
      <c r="D124" s="3303">
        <f ca="1">H109</f>
        <v>51311</v>
      </c>
      <c r="E124" s="3304"/>
      <c r="F124" s="3304"/>
      <c r="G124" s="3304"/>
      <c r="H124" s="3304"/>
      <c r="I124" s="3305"/>
      <c r="AA124" s="684"/>
    </row>
    <row r="125" spans="1:27" ht="18.75" customHeight="1">
      <c r="A125" s="3302" t="s">
        <v>1450</v>
      </c>
      <c r="B125" s="3302"/>
      <c r="C125" s="3302"/>
      <c r="D125" s="3308" t="str">
        <f ca="1">NUMBERSTRING(INT(D124*10000),2)&amp;"元整"</f>
        <v>伍亿壹仟叁佰壹拾壹万元整</v>
      </c>
      <c r="E125" s="3310"/>
      <c r="F125" s="3310"/>
      <c r="G125" s="3310"/>
      <c r="H125" s="3310"/>
      <c r="I125" s="3309"/>
      <c r="AA125" s="684"/>
    </row>
    <row r="126" spans="1:27" ht="18.75" customHeight="1">
      <c r="A126" s="3314" t="str">
        <f>IF(项目基本情况!B9="房地产市场价值","",MID(E111,3,LEN(E111)-2))</f>
        <v/>
      </c>
      <c r="B126" s="3314"/>
      <c r="C126" s="3314"/>
      <c r="D126" s="3303" t="str">
        <f>H111</f>
        <v>——</v>
      </c>
      <c r="E126" s="3304"/>
      <c r="F126" s="3304"/>
      <c r="G126" s="3304"/>
      <c r="H126" s="3304"/>
      <c r="I126" s="3305"/>
      <c r="AA126" s="684"/>
    </row>
    <row r="127" spans="1:27" ht="18.75" customHeight="1">
      <c r="A127" s="3302" t="s">
        <v>1450</v>
      </c>
      <c r="B127" s="3302"/>
      <c r="C127" s="3302"/>
      <c r="D127" s="3308" t="e">
        <f>NUMBERSTRING(INT(D126*10000),2)&amp;"元整"</f>
        <v>#VALUE!</v>
      </c>
      <c r="E127" s="3310"/>
      <c r="F127" s="3310"/>
      <c r="G127" s="3310"/>
      <c r="H127" s="3310"/>
      <c r="I127" s="3309"/>
      <c r="AA127" s="684"/>
    </row>
    <row r="128" spans="1:27" ht="21.75" customHeight="1">
      <c r="A128" s="3311" t="s">
        <v>1451</v>
      </c>
      <c r="B128" s="3311"/>
      <c r="C128" s="3311"/>
      <c r="D128" s="3311"/>
      <c r="E128" s="3311"/>
      <c r="F128" s="3311"/>
      <c r="G128" s="3311"/>
      <c r="H128" s="3311"/>
      <c r="I128" s="3311"/>
      <c r="AA128" s="684"/>
    </row>
    <row r="129" spans="1:35" ht="21.75" customHeight="1">
      <c r="A129" s="1687" t="s">
        <v>1452</v>
      </c>
      <c r="B129" s="1688"/>
      <c r="C129" s="1689" t="s">
        <v>1453</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1454</v>
      </c>
      <c r="G135" s="1702"/>
      <c r="H135" s="1702"/>
      <c r="I135" s="1703" t="s">
        <v>1455</v>
      </c>
    </row>
    <row r="136" spans="1:35" ht="21.75" customHeight="1">
      <c r="A136" s="684"/>
      <c r="B136" s="1704"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1457</v>
      </c>
    </row>
    <row r="139" spans="1:35" ht="21.75" customHeight="1">
      <c r="A139" s="684"/>
      <c r="B139" s="1704" t="s">
        <v>1458</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1457</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M8" zoomScale="115" zoomScaleNormal="80" zoomScaleSheetLayoutView="115" workbookViewId="0">
      <selection activeCell="W16" sqref="W16"/>
    </sheetView>
  </sheetViews>
  <sheetFormatPr defaultColWidth="12" defaultRowHeight="12.5"/>
  <cols>
    <col min="1" max="1" width="9.7265625" style="1891" customWidth="1"/>
    <col min="2" max="2" width="22.453125" style="1979" customWidth="1"/>
    <col min="3" max="3" width="12" style="1841"/>
    <col min="4" max="4" width="14.90625" style="1841" customWidth="1"/>
    <col min="5" max="5" width="14.6328125" style="1841" customWidth="1"/>
    <col min="6" max="8" width="12" style="1841"/>
    <col min="9" max="9" width="12.26953125" style="1841" bestFit="1" customWidth="1"/>
    <col min="10" max="10" width="12" style="1841"/>
    <col min="11" max="11" width="8.08984375" style="1887" customWidth="1"/>
    <col min="12" max="12" width="19.453125" style="1841" customWidth="1"/>
    <col min="13" max="13" width="8.453125" style="1841" customWidth="1"/>
    <col min="14" max="14" width="9.7265625" style="1841" customWidth="1"/>
    <col min="15" max="25" width="12" style="1841"/>
    <col min="26" max="26" width="9.36328125" style="1891" customWidth="1"/>
    <col min="27" max="32" width="9.36328125" style="1054" customWidth="1"/>
    <col min="33" max="36" width="9.36328125" style="1891" customWidth="1"/>
    <col min="37" max="38" width="9.36328125" style="1841" customWidth="1"/>
    <col min="39" max="16384" width="12" style="1841"/>
  </cols>
  <sheetData>
    <row r="1" spans="1:36" ht="30">
      <c r="A1" s="188" t="s">
        <v>1924</v>
      </c>
      <c r="B1" s="189"/>
      <c r="C1" s="193" t="s">
        <v>1925</v>
      </c>
      <c r="D1" s="333">
        <f>SUM(D33:D34,D37:D42)</f>
        <v>20633.450000000128</v>
      </c>
      <c r="E1" s="1838"/>
      <c r="F1" s="1838"/>
      <c r="G1" s="1838"/>
      <c r="H1" s="1838"/>
      <c r="I1" s="1838"/>
      <c r="J1" s="1838"/>
      <c r="K1" s="1052"/>
      <c r="L1" s="1839" t="s">
        <v>1926</v>
      </c>
      <c r="M1" s="806">
        <f>SUMPRODUCT((区片价!B5:B9=I2)*(区片价!C3:G3=E2)*(区片价!C5:G9))</f>
        <v>32630</v>
      </c>
      <c r="N1" s="809">
        <f>SUMPRODUCT((因素修正幅度!B5:B9=I2)*(因素修正幅度!C3:G3=E2)*(因素修正幅度!C5:G9))</f>
        <v>8.1000000000000003E-2</v>
      </c>
      <c r="O1" s="1840"/>
      <c r="P1" s="1840"/>
      <c r="Q1" s="1052"/>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5">
      <c r="A2" s="193" t="s">
        <v>1932</v>
      </c>
      <c r="B2" s="196">
        <f>C30</f>
        <v>30580</v>
      </c>
      <c r="C2" s="1842" t="s">
        <v>1933</v>
      </c>
      <c r="D2" s="162" t="s">
        <v>1934</v>
      </c>
      <c r="E2" s="3116" t="s">
        <v>671</v>
      </c>
      <c r="F2" s="162" t="s">
        <v>1935</v>
      </c>
      <c r="G2" s="163" t="str">
        <f>IF(E2="商业",项目基本情况!B37,IF(E2="办公",项目基本情况!C37,IF(E2="住宅",项目基本情况!D37,IF(E2="工业",项目基本情况!E37,项目基本情况!F37))))</f>
        <v>一级</v>
      </c>
      <c r="H2" s="162" t="s">
        <v>1936</v>
      </c>
      <c r="I2" s="163" t="str">
        <f>IF(E2="商业",项目基本情况!B38,IF(E2="办公",项目基本情况!C38,IF(E2="住宅",项目基本情况!D38,IF(E2="工业",项目基本情况!E38,项目基本情况!F38))))</f>
        <v>Ⅰ—04</v>
      </c>
      <c r="J2" s="1838"/>
      <c r="K2" s="1052"/>
      <c r="L2" s="1843" t="s">
        <v>1937</v>
      </c>
      <c r="M2" s="807">
        <f>SUMPRODUCT((区片价!B10:B29=I2)*(区片价!C3:G3=E2)*(区片价!C10:G29))</f>
        <v>0</v>
      </c>
      <c r="N2" s="809">
        <f>SUMPRODUCT((因素修正幅度!B10:B29=I2)*(因素修正幅度!C3:G3=E2)*(因素修正幅度!C10:G29))</f>
        <v>0</v>
      </c>
      <c r="O2" s="1052"/>
      <c r="P2" s="1052"/>
      <c r="Q2" s="1052"/>
      <c r="R2" s="1125">
        <v>1</v>
      </c>
      <c r="S2" s="3059">
        <f>ROUND(SUMPRODUCT((B106:B110=R2)*(C105:N105=G2)*(C106:N110)),4)</f>
        <v>1.5206</v>
      </c>
      <c r="T2" s="3059">
        <f t="shared" ref="T2:T16" si="0">ROUND($C$5*$C$22*$C$23*$C$24*S2*$C$28,0)</f>
        <v>37323</v>
      </c>
      <c r="U2" s="3163"/>
      <c r="V2" s="3059">
        <f>ROUND(T2*U2/10000,0)</f>
        <v>0</v>
      </c>
      <c r="W2" s="1129"/>
      <c r="X2" s="1129"/>
      <c r="Y2" s="1129"/>
      <c r="Z2" s="1129"/>
      <c r="AA2" s="1129"/>
      <c r="AB2" s="1129"/>
      <c r="AC2" s="1130"/>
      <c r="AD2" s="1131"/>
      <c r="AE2" s="1131"/>
      <c r="AF2" s="1131"/>
      <c r="AG2" s="1131"/>
      <c r="AH2" s="1131"/>
      <c r="AI2" s="1131"/>
      <c r="AJ2" s="1132"/>
    </row>
    <row r="3" spans="1:36" ht="15.5">
      <c r="A3" s="195" t="s">
        <v>1938</v>
      </c>
      <c r="B3" s="196">
        <f>ROUND(B2*10000/D1,0)</f>
        <v>14821</v>
      </c>
      <c r="C3" s="1842" t="s">
        <v>1939</v>
      </c>
      <c r="D3" s="162" t="s">
        <v>1940</v>
      </c>
      <c r="E3" s="3114" t="s">
        <v>2437</v>
      </c>
      <c r="F3" s="1844" t="s">
        <v>3418</v>
      </c>
      <c r="G3" s="704">
        <f>IF(F3="宗地容积率",'数据-汇总表'!I4,IF(F3="估价对象容积率",'数据-汇总表'!I6,'数据-汇总表'!I7))</f>
        <v>2.5</v>
      </c>
      <c r="H3" s="162" t="s">
        <v>1941</v>
      </c>
      <c r="I3" s="725">
        <v>1</v>
      </c>
      <c r="J3" s="1838" t="s">
        <v>1942</v>
      </c>
      <c r="K3" s="1052"/>
      <c r="L3" s="1843" t="s">
        <v>1943</v>
      </c>
      <c r="M3" s="807">
        <f>SUMPRODUCT((区片价!B30:B54=I2)*(区片价!C3:G3=E2)*(区片价!C30:G54))</f>
        <v>0</v>
      </c>
      <c r="N3" s="809">
        <f>SUMPRODUCT((因素修正幅度!B30:B54=I2)*(因素修正幅度!C3:G3=E2)*(因素修正幅度!C30:G54))</f>
        <v>0</v>
      </c>
      <c r="O3" s="1052"/>
      <c r="P3" s="1052"/>
      <c r="Q3" s="1052"/>
      <c r="R3" s="1125">
        <v>2</v>
      </c>
      <c r="S3" s="3059">
        <f>ROUND(SUMPRODUCT((B106:B110=R3)*(C105:N105=G2)*(C106:N110)),4)</f>
        <v>1.2072000000000001</v>
      </c>
      <c r="T3" s="3059">
        <f t="shared" si="0"/>
        <v>29631</v>
      </c>
      <c r="U3" s="3163"/>
      <c r="V3" s="3059">
        <f t="shared" ref="V3:V16" si="1">ROUND(T3*U3/10000,0)</f>
        <v>0</v>
      </c>
      <c r="W3" s="1129"/>
      <c r="X3" s="1129"/>
      <c r="Y3" s="1129"/>
      <c r="Z3" s="1129"/>
      <c r="AA3" s="1129"/>
      <c r="AB3" s="1129"/>
      <c r="AC3" s="1130"/>
      <c r="AD3" s="1131"/>
      <c r="AE3" s="1131"/>
      <c r="AF3" s="1131"/>
      <c r="AG3" s="1131"/>
      <c r="AH3" s="1131"/>
      <c r="AI3" s="1131"/>
      <c r="AJ3" s="1132"/>
    </row>
    <row r="4" spans="1:36" ht="15.5">
      <c r="A4" s="3388"/>
      <c r="B4" s="3389"/>
      <c r="C4" s="3389"/>
      <c r="D4" s="3390"/>
      <c r="E4" s="3390"/>
      <c r="F4" s="3390"/>
      <c r="G4" s="3390"/>
      <c r="H4" s="3390"/>
      <c r="I4" s="3390"/>
      <c r="J4" s="3391"/>
      <c r="K4" s="1052"/>
      <c r="L4" s="1843" t="s">
        <v>1944</v>
      </c>
      <c r="M4" s="807">
        <f>SUMPRODUCT((区片价!B55:B86=I2)*(区片价!C3:G3=E2)*(区片价!C55:G86))</f>
        <v>0</v>
      </c>
      <c r="N4" s="809">
        <f>SUMPRODUCT((因素修正幅度!B55:B86=I2)*(因素修正幅度!C3:G3=E2)*(因素修正幅度!C55:G86))</f>
        <v>0</v>
      </c>
      <c r="O4" s="1052"/>
      <c r="P4" s="1052"/>
      <c r="Q4" s="1052"/>
      <c r="R4" s="1125">
        <v>3</v>
      </c>
      <c r="S4" s="3059">
        <f>ROUND(SUMPRODUCT((B106:B110=R4)*(C105:N105=G2)*(C106:N110)),4)</f>
        <v>1.0430999999999999</v>
      </c>
      <c r="T4" s="3059">
        <f t="shared" si="0"/>
        <v>25603</v>
      </c>
      <c r="U4" s="3163"/>
      <c r="V4" s="3059">
        <f t="shared" si="1"/>
        <v>0</v>
      </c>
      <c r="W4" s="1129"/>
      <c r="X4" s="1129"/>
      <c r="Y4" s="1129"/>
      <c r="Z4" s="1129"/>
      <c r="AA4" s="1129"/>
      <c r="AB4" s="1129"/>
      <c r="AC4" s="1130"/>
      <c r="AD4" s="1131"/>
      <c r="AE4" s="1131"/>
      <c r="AF4" s="1131"/>
      <c r="AG4" s="1131"/>
      <c r="AH4" s="1131"/>
      <c r="AI4" s="1131"/>
      <c r="AJ4" s="1132"/>
    </row>
    <row r="5" spans="1:36" s="1854" customFormat="1" ht="16" thickBot="1">
      <c r="A5" s="1845" t="s">
        <v>362</v>
      </c>
      <c r="B5" s="1846" t="s">
        <v>1945</v>
      </c>
      <c r="C5" s="705">
        <f>ROUND(IF(E2="商业",C6*C7*C17+C20,(IF(E2="住宅",C6*C13*C17+C20,IF(E2="办公",C6*C12*C17+C20,C6+C20)))),0)</f>
        <v>32630</v>
      </c>
      <c r="D5" s="1248">
        <f>ROUND(C6*C17+C20,0)</f>
        <v>32630</v>
      </c>
      <c r="E5" s="1248"/>
      <c r="F5" s="1847"/>
      <c r="G5" s="1848"/>
      <c r="H5" s="1848"/>
      <c r="I5" s="1848"/>
      <c r="J5" s="1849"/>
      <c r="K5" s="1850"/>
      <c r="L5" s="1843" t="s">
        <v>1946</v>
      </c>
      <c r="M5" s="807">
        <f>SUMPRODUCT((区片价!B87:B126=I2)*(区片价!C3:G3=E2)*(区片价!C87:G126))</f>
        <v>0</v>
      </c>
      <c r="N5" s="809">
        <f>SUMPRODUCT((因素修正幅度!B87:B126=I2)*(因素修正幅度!C3:G3=E2)*(因素修正幅度!C87:G126))</f>
        <v>0</v>
      </c>
      <c r="O5" s="1052"/>
      <c r="P5" s="1052"/>
      <c r="Q5" s="1052"/>
      <c r="R5" s="1125">
        <v>4</v>
      </c>
      <c r="S5" s="3059">
        <f>ROUND(SUMPRODUCT((B106:B110=R5)*(C105:N105=G2)*(C106:N110)),4)</f>
        <v>0.94389999999999996</v>
      </c>
      <c r="T5" s="3059">
        <f t="shared" si="0"/>
        <v>23168</v>
      </c>
      <c r="U5" s="3163"/>
      <c r="V5" s="3059">
        <f t="shared" si="1"/>
        <v>0</v>
      </c>
      <c r="W5" s="1129"/>
      <c r="X5" s="1129"/>
      <c r="Y5" s="1129"/>
      <c r="Z5" s="1129"/>
      <c r="AA5" s="1129"/>
      <c r="AB5" s="1129"/>
      <c r="AC5" s="1851"/>
      <c r="AD5" s="1852"/>
      <c r="AE5" s="1852"/>
      <c r="AF5" s="1852"/>
      <c r="AG5" s="1852"/>
      <c r="AH5" s="1852"/>
      <c r="AI5" s="1852"/>
      <c r="AJ5" s="1853"/>
    </row>
    <row r="6" spans="1:36" ht="16" thickBot="1">
      <c r="A6" s="1855" t="s">
        <v>1947</v>
      </c>
      <c r="B6" s="1856" t="s">
        <v>1948</v>
      </c>
      <c r="C6" s="706">
        <f>SUMIF(L1:L12,G2,M1:M12)</f>
        <v>32630</v>
      </c>
      <c r="D6" s="1857"/>
      <c r="E6" s="1858"/>
      <c r="F6" s="1858"/>
      <c r="G6" s="1859"/>
      <c r="H6" s="1859"/>
      <c r="I6" s="1859"/>
      <c r="J6" s="1860"/>
      <c r="K6" s="1288"/>
      <c r="L6" s="1843" t="s">
        <v>1949</v>
      </c>
      <c r="M6" s="807">
        <f>SUMPRODUCT((区片价!B127:B189=I2)*(区片价!C3:G3=E2)*(区片价!C127:G189))</f>
        <v>0</v>
      </c>
      <c r="N6" s="809">
        <f>SUMPRODUCT((因素修正幅度!B127:B189=I2)*(因素修正幅度!C3:G3=E2)*(因素修正幅度!C127:G189))</f>
        <v>0</v>
      </c>
      <c r="O6" s="1052"/>
      <c r="P6" s="1052"/>
      <c r="Q6" s="1052"/>
      <c r="R6" s="1125">
        <v>5</v>
      </c>
      <c r="S6" s="3059">
        <f>ROUND(SUMPRODUCT((B106:B110=R6)*(C105:N105=G2)*(C106:N110)),4)</f>
        <v>0.89959999999999996</v>
      </c>
      <c r="T6" s="3059">
        <f t="shared" si="0"/>
        <v>22081</v>
      </c>
      <c r="U6" s="1126">
        <f>面积清单!H31+面积清单!H30+面积清单!H29</f>
        <v>2638.48</v>
      </c>
      <c r="V6" s="3059">
        <f t="shared" si="1"/>
        <v>5826</v>
      </c>
      <c r="W6" s="1129"/>
      <c r="X6" s="1129"/>
      <c r="Y6" s="1129"/>
      <c r="Z6" s="1129"/>
      <c r="AA6" s="1129"/>
      <c r="AB6" s="1129"/>
      <c r="AC6" s="1851"/>
      <c r="AD6" s="1852"/>
      <c r="AE6" s="1852"/>
      <c r="AF6" s="1852"/>
      <c r="AG6" s="1852"/>
      <c r="AH6" s="1852"/>
      <c r="AI6" s="1852"/>
      <c r="AJ6" s="1853"/>
    </row>
    <row r="7" spans="1:36" ht="26.5" thickBot="1">
      <c r="A7" s="3008" t="s">
        <v>3235</v>
      </c>
      <c r="B7" s="1861" t="s">
        <v>1950</v>
      </c>
      <c r="C7" s="707">
        <f>IF(C8="不临65条商业街",1,ROUND(1+(1.6*E8+1.2*E9+0.8*E10+0.4*E11)*C9,4))</f>
        <v>1</v>
      </c>
      <c r="D7" s="1862" t="s">
        <v>1951</v>
      </c>
      <c r="E7" s="726"/>
      <c r="F7" s="1863"/>
      <c r="G7" s="1864"/>
      <c r="H7" s="1864"/>
      <c r="I7" s="1864"/>
      <c r="J7" s="1865"/>
      <c r="K7" s="1288"/>
      <c r="L7" s="1843" t="s">
        <v>1952</v>
      </c>
      <c r="M7" s="807">
        <f>SUMPRODUCT((区片价!B190:B233=I2)*(区片价!C3:G3=E2)*(区片价!C190:G233))</f>
        <v>0</v>
      </c>
      <c r="N7" s="809">
        <f>SUMPRODUCT((因素修正幅度!B190:B233=I2)*(因素修正幅度!C3:G3=E2)*(因素修正幅度!C190:G233))</f>
        <v>0</v>
      </c>
      <c r="O7" s="1052"/>
      <c r="P7" s="1052"/>
      <c r="Q7" s="1052"/>
      <c r="R7" s="1125">
        <v>6</v>
      </c>
      <c r="S7" s="3113">
        <v>0.89219999999999999</v>
      </c>
      <c r="T7" s="3059">
        <f t="shared" si="0"/>
        <v>21899</v>
      </c>
      <c r="U7" s="1126"/>
      <c r="V7" s="3059">
        <f t="shared" si="1"/>
        <v>0</v>
      </c>
      <c r="W7" s="1263" t="s">
        <v>1953</v>
      </c>
      <c r="X7" s="1127" t="str">
        <f>G2</f>
        <v>一级</v>
      </c>
      <c r="Y7" s="1127" t="s">
        <v>1954</v>
      </c>
      <c r="Z7" s="1128">
        <f>G3</f>
        <v>2.5</v>
      </c>
      <c r="AA7" s="1129"/>
      <c r="AB7" s="1129"/>
      <c r="AC7" s="1130"/>
      <c r="AD7" s="1131"/>
      <c r="AE7" s="1131"/>
      <c r="AF7" s="1131"/>
      <c r="AG7" s="1131"/>
      <c r="AH7" s="1131"/>
      <c r="AI7" s="1131"/>
      <c r="AJ7" s="1132"/>
    </row>
    <row r="8" spans="1:36" ht="25">
      <c r="A8" s="3005"/>
      <c r="B8" s="162" t="s">
        <v>1955</v>
      </c>
      <c r="C8" s="1866" t="s">
        <v>3419</v>
      </c>
      <c r="D8" s="708" t="s">
        <v>112</v>
      </c>
      <c r="E8" s="709" t="e">
        <f>ROUND(C11/E7,4)</f>
        <v>#DIV/0!</v>
      </c>
      <c r="F8" s="1867" t="s">
        <v>1956</v>
      </c>
      <c r="G8" s="1868"/>
      <c r="H8" s="1868"/>
      <c r="I8" s="1868"/>
      <c r="J8" s="1869"/>
      <c r="K8" s="1052"/>
      <c r="L8" s="1843" t="s">
        <v>1957</v>
      </c>
      <c r="M8" s="807">
        <f>SUMPRODUCT((区片价!B234:B276=I2)*(区片价!C3:G3=E2)*(区片价!C234:G276))</f>
        <v>0</v>
      </c>
      <c r="N8" s="809">
        <f>SUMPRODUCT((因素修正幅度!B234:B276=I2)*(因素修正幅度!C3:G3=E2)*(因素修正幅度!C234:G276))</f>
        <v>0</v>
      </c>
      <c r="O8" s="1052"/>
      <c r="P8" s="1052"/>
      <c r="Q8" s="1052"/>
      <c r="R8" s="1125">
        <v>7</v>
      </c>
      <c r="S8" s="1126">
        <v>0.89149999999999996</v>
      </c>
      <c r="T8" s="3059">
        <f t="shared" si="0"/>
        <v>21882</v>
      </c>
      <c r="U8" s="1126"/>
      <c r="V8" s="3059">
        <f t="shared" si="1"/>
        <v>0</v>
      </c>
      <c r="W8" s="3385" t="s">
        <v>1958</v>
      </c>
      <c r="X8" s="3386"/>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5">
      <c r="A9" s="3005"/>
      <c r="B9" s="162" t="s">
        <v>1971</v>
      </c>
      <c r="C9" s="710">
        <f>SUMIF(修正!C71:C138,C8,修正!E71:E138)</f>
        <v>0</v>
      </c>
      <c r="D9" s="163" t="s">
        <v>113</v>
      </c>
      <c r="E9" s="163" t="e">
        <f>ROUND(C11/E7,4)</f>
        <v>#DIV/0!</v>
      </c>
      <c r="F9" s="1867" t="s">
        <v>1972</v>
      </c>
      <c r="G9" s="1868"/>
      <c r="H9" s="1868"/>
      <c r="I9" s="1868"/>
      <c r="J9" s="1869"/>
      <c r="K9" s="1052"/>
      <c r="L9" s="1843" t="s">
        <v>1973</v>
      </c>
      <c r="M9" s="807">
        <f>SUMPRODUCT((区片价!B277:B326=I2)*(区片价!C3:G3=E2)*(区片价!C277:G326))</f>
        <v>0</v>
      </c>
      <c r="N9" s="809">
        <f>SUMPRODUCT((因素修正幅度!B277:B326=I2)*(因素修正幅度!C3:G3=E2)*(因素修正幅度!C277:G326))</f>
        <v>0</v>
      </c>
      <c r="O9" s="1052"/>
      <c r="P9" s="1052"/>
      <c r="Q9" s="1052"/>
      <c r="R9" s="1125">
        <v>8</v>
      </c>
      <c r="S9" s="1126">
        <v>0.89059999999999995</v>
      </c>
      <c r="T9" s="3059">
        <f t="shared" si="0"/>
        <v>21860</v>
      </c>
      <c r="U9" s="1126">
        <f>面积清单!H23</f>
        <v>185.19</v>
      </c>
      <c r="V9" s="3059">
        <f t="shared" si="1"/>
        <v>405</v>
      </c>
      <c r="W9" s="3387"/>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5">
      <c r="A10" s="3005"/>
      <c r="B10" s="162" t="s">
        <v>1974</v>
      </c>
      <c r="C10" s="163">
        <f>SUMIF(修正!C71:C138,C8,修正!F71:F138)</f>
        <v>0</v>
      </c>
      <c r="D10" s="163" t="s">
        <v>114</v>
      </c>
      <c r="E10" s="163" t="e">
        <f>ROUND(C11/E7,4)</f>
        <v>#DIV/0!</v>
      </c>
      <c r="F10" s="1867" t="s">
        <v>1975</v>
      </c>
      <c r="G10" s="1868"/>
      <c r="H10" s="1868"/>
      <c r="I10" s="1868"/>
      <c r="J10" s="1869"/>
      <c r="K10" s="1052"/>
      <c r="L10" s="1843" t="s">
        <v>1976</v>
      </c>
      <c r="M10" s="807">
        <f>SUMPRODUCT((区片价!B327:B357=I2)*(区片价!C3:G3=E2)*(区片价!C327:G357))</f>
        <v>0</v>
      </c>
      <c r="N10" s="809">
        <f>SUMPRODUCT((因素修正幅度!B327:B357=I2)*(因素修正幅度!C3:G3=E2)*(因素修正幅度!C327:G357))</f>
        <v>0</v>
      </c>
      <c r="O10" s="1052"/>
      <c r="P10" s="1052"/>
      <c r="Q10" s="1052"/>
      <c r="R10" s="1125">
        <v>9</v>
      </c>
      <c r="S10" s="1126">
        <v>0.88970000000000005</v>
      </c>
      <c r="T10" s="3059">
        <f t="shared" si="0"/>
        <v>21838</v>
      </c>
      <c r="U10" s="1126">
        <f>面积清单!H24</f>
        <v>185.19</v>
      </c>
      <c r="V10" s="3059">
        <f t="shared" si="1"/>
        <v>404</v>
      </c>
      <c r="W10" s="338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6" thickBot="1">
      <c r="A11" s="3007"/>
      <c r="B11" s="1870" t="s">
        <v>1977</v>
      </c>
      <c r="C11" s="711">
        <f>C10/4</f>
        <v>0</v>
      </c>
      <c r="D11" s="711" t="s">
        <v>115</v>
      </c>
      <c r="E11" s="711" t="e">
        <f>ROUND(C11/E7,4)</f>
        <v>#DIV/0!</v>
      </c>
      <c r="F11" s="1871" t="s">
        <v>1978</v>
      </c>
      <c r="G11" s="1872"/>
      <c r="H11" s="1872"/>
      <c r="I11" s="1872"/>
      <c r="J11" s="1873"/>
      <c r="K11" s="1052"/>
      <c r="L11" s="1843" t="s">
        <v>1979</v>
      </c>
      <c r="M11" s="807">
        <f>SUMPRODUCT((区片价!B358:B377=I2)*(区片价!C3:G3=E2)*(区片价!C358:G377))</f>
        <v>0</v>
      </c>
      <c r="N11" s="809">
        <f>SUMPRODUCT((因素修正幅度!B358:B377=I2)*(因素修正幅度!C3:G3=E2)*(因素修正幅度!C358:G377))</f>
        <v>0</v>
      </c>
      <c r="O11" s="1052"/>
      <c r="P11" s="1052"/>
      <c r="Q11" s="1052"/>
      <c r="R11" s="1125">
        <v>10</v>
      </c>
      <c r="S11" s="1126">
        <v>0.88859999999999995</v>
      </c>
      <c r="T11" s="3059">
        <f t="shared" si="0"/>
        <v>21811</v>
      </c>
      <c r="U11" s="1126">
        <f>面积清单!H25</f>
        <v>185.19</v>
      </c>
      <c r="V11" s="3059">
        <f t="shared" si="1"/>
        <v>404</v>
      </c>
      <c r="W11" s="1129"/>
      <c r="X11" s="1129"/>
      <c r="Y11" s="1129"/>
      <c r="Z11" s="1129"/>
      <c r="AA11" s="1129"/>
      <c r="AB11" s="1129"/>
      <c r="AC11" s="1130"/>
      <c r="AD11" s="2549"/>
      <c r="AE11" s="2549"/>
      <c r="AF11" s="2549"/>
      <c r="AG11" s="2549"/>
      <c r="AH11" s="2549"/>
      <c r="AI11" s="2549"/>
      <c r="AJ11" s="2550"/>
    </row>
    <row r="12" spans="1:36" ht="27" thickBot="1">
      <c r="A12" s="3008" t="s">
        <v>3236</v>
      </c>
      <c r="B12" s="3009" t="s">
        <v>3237</v>
      </c>
      <c r="C12" s="3010"/>
      <c r="D12" s="3011" t="s">
        <v>3238</v>
      </c>
      <c r="E12" s="3012" t="s">
        <v>3239</v>
      </c>
      <c r="F12" s="3013"/>
      <c r="G12" s="3014"/>
      <c r="H12" s="3014"/>
      <c r="I12" s="3014"/>
      <c r="J12" s="3015"/>
      <c r="K12" s="1052"/>
      <c r="L12" s="1792" t="s">
        <v>1982</v>
      </c>
      <c r="M12" s="808">
        <f>SUMPRODUCT((区片价!B378:B384=I2)*(区片价!C3:G3=E2)*(区片价!C378:G384))</f>
        <v>0</v>
      </c>
      <c r="N12" s="809">
        <f>SUMPRODUCT((因素修正幅度!B378:B384=I2)*(因素修正幅度!C3:G3=E2)*(因素修正幅度!C378:G384))</f>
        <v>0</v>
      </c>
      <c r="O12" s="1052"/>
      <c r="P12" s="1052"/>
      <c r="Q12" s="1052"/>
      <c r="R12" s="1125">
        <v>11</v>
      </c>
      <c r="S12" s="1126">
        <v>0.88739999999999997</v>
      </c>
      <c r="T12" s="3059">
        <f t="shared" si="0"/>
        <v>21781</v>
      </c>
      <c r="U12" s="1126"/>
      <c r="V12" s="3059">
        <f t="shared" si="1"/>
        <v>0</v>
      </c>
      <c r="W12" s="1129"/>
      <c r="X12" s="1129"/>
      <c r="Y12" s="1129"/>
      <c r="Z12" s="1129"/>
      <c r="AA12" s="1129"/>
      <c r="AB12" s="1129"/>
      <c r="AC12" s="1130"/>
      <c r="AD12" s="2549"/>
      <c r="AE12" s="2549"/>
      <c r="AF12" s="2549"/>
      <c r="AG12" s="2549"/>
      <c r="AH12" s="2549"/>
      <c r="AI12" s="2549"/>
      <c r="AJ12" s="2550"/>
    </row>
    <row r="13" spans="1:36" ht="26.5" thickBot="1">
      <c r="A13" s="3008" t="s">
        <v>3240</v>
      </c>
      <c r="B13" s="1874" t="s">
        <v>1980</v>
      </c>
      <c r="C13" s="707">
        <f>ROUND(C16*D16*E16*F16*G16*H16*I16*J16,4)</f>
        <v>0</v>
      </c>
      <c r="D13" s="1875" t="s">
        <v>1981</v>
      </c>
      <c r="E13" s="1876"/>
      <c r="F13" s="1876"/>
      <c r="G13" s="1877"/>
      <c r="H13" s="1877"/>
      <c r="I13" s="1877"/>
      <c r="J13" s="1878"/>
      <c r="K13" s="1052"/>
      <c r="L13" s="3"/>
      <c r="M13" s="4"/>
      <c r="N13" s="3006"/>
      <c r="O13" s="1052"/>
      <c r="P13" s="1052"/>
      <c r="Q13" s="1052"/>
      <c r="R13" s="1125">
        <v>12</v>
      </c>
      <c r="S13" s="1126">
        <v>0.8861</v>
      </c>
      <c r="T13" s="3059">
        <f t="shared" si="0"/>
        <v>21749</v>
      </c>
      <c r="U13" s="1126"/>
      <c r="V13" s="3059">
        <f t="shared" si="1"/>
        <v>0</v>
      </c>
      <c r="W13" s="1129"/>
      <c r="X13" s="1129"/>
      <c r="Y13" s="1129"/>
      <c r="Z13" s="1129"/>
      <c r="AA13" s="1129"/>
      <c r="AB13" s="1129"/>
      <c r="AC13" s="1130"/>
      <c r="AD13" s="2549"/>
      <c r="AE13" s="2549"/>
      <c r="AF13" s="2549"/>
      <c r="AG13" s="2549"/>
      <c r="AH13" s="2549"/>
      <c r="AI13" s="2549"/>
      <c r="AJ13" s="2550"/>
    </row>
    <row r="14" spans="1:36" ht="26">
      <c r="A14" s="3004"/>
      <c r="B14" s="1879" t="s">
        <v>1983</v>
      </c>
      <c r="C14" s="1880" t="s">
        <v>1984</v>
      </c>
      <c r="D14" s="1257" t="s">
        <v>1985</v>
      </c>
      <c r="E14" s="27" t="s">
        <v>1986</v>
      </c>
      <c r="F14" s="3016" t="s">
        <v>3241</v>
      </c>
      <c r="G14" s="3016" t="s">
        <v>3241</v>
      </c>
      <c r="H14" s="3016" t="s">
        <v>3241</v>
      </c>
      <c r="I14" s="3016" t="s">
        <v>3241</v>
      </c>
      <c r="J14" s="3016" t="s">
        <v>3241</v>
      </c>
      <c r="K14" s="1052"/>
      <c r="L14" s="1052"/>
      <c r="M14" s="1052"/>
      <c r="N14" s="1052"/>
      <c r="O14" s="1052"/>
      <c r="P14" s="1052"/>
      <c r="Q14" s="1052"/>
      <c r="R14" s="1125">
        <v>13</v>
      </c>
      <c r="S14" s="1126">
        <v>0.88470000000000004</v>
      </c>
      <c r="T14" s="3059">
        <f t="shared" si="0"/>
        <v>21715</v>
      </c>
      <c r="U14" s="1126"/>
      <c r="V14" s="3059">
        <f t="shared" si="1"/>
        <v>0</v>
      </c>
      <c r="W14" s="1129"/>
      <c r="X14" s="1129"/>
      <c r="Y14" s="1129"/>
      <c r="Z14" s="1129"/>
      <c r="AA14" s="1129"/>
      <c r="AB14" s="1129"/>
      <c r="AC14" s="1130"/>
      <c r="AD14" s="2549"/>
      <c r="AE14" s="2549"/>
      <c r="AF14" s="2549"/>
      <c r="AG14" s="2549"/>
      <c r="AH14" s="2549"/>
      <c r="AI14" s="2549"/>
      <c r="AJ14" s="2550"/>
    </row>
    <row r="15" spans="1:36" ht="15.5">
      <c r="A15" s="3004"/>
      <c r="B15" s="1881"/>
      <c r="C15" s="1882"/>
      <c r="D15" s="1883"/>
      <c r="E15" s="1884"/>
      <c r="F15" s="1466" t="s">
        <v>3242</v>
      </c>
      <c r="G15" s="1924"/>
      <c r="H15" s="3017"/>
      <c r="I15" s="3018"/>
      <c r="J15" s="3019"/>
      <c r="K15" s="1052"/>
      <c r="L15" s="1052"/>
      <c r="M15" s="1052"/>
      <c r="N15" s="1052"/>
      <c r="O15" s="1052"/>
      <c r="P15" s="1052"/>
      <c r="Q15" s="1052"/>
      <c r="R15" s="1125">
        <v>14</v>
      </c>
      <c r="S15" s="1126">
        <v>0.8831</v>
      </c>
      <c r="T15" s="3059">
        <f t="shared" si="0"/>
        <v>21676</v>
      </c>
      <c r="U15" s="1126"/>
      <c r="V15" s="3059">
        <f t="shared" si="1"/>
        <v>0</v>
      </c>
      <c r="W15" s="1129"/>
      <c r="X15" s="1129"/>
      <c r="Y15" s="1129"/>
      <c r="Z15" s="1129"/>
      <c r="AA15" s="1129"/>
      <c r="AB15" s="1129"/>
      <c r="AC15" s="1130"/>
      <c r="AD15" s="2549"/>
      <c r="AE15" s="2549"/>
      <c r="AF15" s="2549"/>
      <c r="AG15" s="2549"/>
      <c r="AH15" s="2549"/>
      <c r="AI15" s="2549"/>
      <c r="AJ15" s="2550"/>
    </row>
    <row r="16" spans="1:36" ht="16" thickBot="1">
      <c r="A16" s="3004"/>
      <c r="B16" s="3022" t="s">
        <v>1987</v>
      </c>
      <c r="C16" s="3020"/>
      <c r="D16" s="3020"/>
      <c r="E16" s="3020"/>
      <c r="F16" s="3020">
        <v>1</v>
      </c>
      <c r="G16" s="3020">
        <v>1</v>
      </c>
      <c r="H16" s="3020">
        <v>1</v>
      </c>
      <c r="I16" s="3020">
        <v>1</v>
      </c>
      <c r="J16" s="3021">
        <v>1</v>
      </c>
      <c r="K16" s="1052"/>
      <c r="L16" s="1840"/>
      <c r="M16" s="1840"/>
      <c r="N16" s="1840"/>
      <c r="O16" s="1840"/>
      <c r="P16" s="1840"/>
      <c r="Q16" s="1052"/>
      <c r="R16" s="1125">
        <v>15</v>
      </c>
      <c r="S16" s="1126">
        <v>0.88149999999999995</v>
      </c>
      <c r="T16" s="3059">
        <f t="shared" si="0"/>
        <v>21636</v>
      </c>
      <c r="U16" s="1126">
        <f>面积清单!G35+面积清单!H26+面积清单!H27+面积清单!H28</f>
        <v>3090.02</v>
      </c>
      <c r="V16" s="3059">
        <f t="shared" si="1"/>
        <v>6686</v>
      </c>
      <c r="W16" s="1129"/>
      <c r="X16" s="1129"/>
      <c r="Y16" s="1129"/>
      <c r="Z16" s="1129"/>
      <c r="AA16" s="1129"/>
      <c r="AB16" s="1129"/>
      <c r="AC16" s="1130"/>
      <c r="AD16" s="2549"/>
      <c r="AE16" s="2549"/>
      <c r="AF16" s="2549"/>
      <c r="AG16" s="2549"/>
      <c r="AH16" s="2549"/>
      <c r="AI16" s="2549"/>
      <c r="AJ16" s="2550"/>
    </row>
    <row r="17" spans="1:37" ht="26">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4">
      <c r="A18" s="3034"/>
      <c r="B18" s="2306"/>
      <c r="C18" s="3030"/>
      <c r="D18" s="3025" t="s">
        <v>3246</v>
      </c>
      <c r="E18" s="2353"/>
      <c r="F18" s="3026" t="s">
        <v>3249</v>
      </c>
      <c r="G18" s="3030">
        <f>ROUND(1-(1/(POWER(1+G24,E18))),4)</f>
        <v>0</v>
      </c>
      <c r="H18" s="3026" t="s">
        <v>3251</v>
      </c>
      <c r="I18" s="3030">
        <f>ROUND(1-(1/(POWER(1+G24,J24))),4)</f>
        <v>0.88249999999999995</v>
      </c>
      <c r="J18" s="3035"/>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8"/>
    </row>
    <row r="19" spans="1:37" s="1854" customFormat="1" ht="14.5" thickBot="1">
      <c r="A19" s="3036"/>
      <c r="B19" s="3037"/>
      <c r="C19" s="3038"/>
      <c r="D19" s="3038" t="s">
        <v>3247</v>
      </c>
      <c r="E19" s="3039"/>
      <c r="F19" s="3040" t="s">
        <v>3250</v>
      </c>
      <c r="G19" s="3039"/>
      <c r="H19" s="3038"/>
      <c r="I19" s="3038"/>
      <c r="J19" s="3041"/>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1"/>
      <c r="AH19" s="1976"/>
      <c r="AI19" s="561"/>
      <c r="AJ19" s="561"/>
      <c r="AK19" s="1895"/>
    </row>
    <row r="20" spans="1:37" s="1854" customFormat="1" ht="14">
      <c r="A20" s="3392" t="s">
        <v>3252</v>
      </c>
      <c r="B20" s="159" t="s">
        <v>1992</v>
      </c>
      <c r="C20" s="3027">
        <f>ROUND(IF(F21="与级别开发程度一致",0,(G21-E21)/C21),0)</f>
        <v>0</v>
      </c>
      <c r="D20" s="3042" t="s">
        <v>1996</v>
      </c>
      <c r="E20" s="3043"/>
      <c r="F20" s="3398" t="s">
        <v>1993</v>
      </c>
      <c r="G20" s="3399"/>
      <c r="H20" s="3028" t="s">
        <v>3382</v>
      </c>
      <c r="I20" s="3028" t="s">
        <v>3383</v>
      </c>
      <c r="J20" s="3029" t="s">
        <v>3384</v>
      </c>
      <c r="K20" s="1885" t="s">
        <v>3385</v>
      </c>
      <c r="L20" s="1885" t="s">
        <v>3386</v>
      </c>
      <c r="M20" s="1885" t="s">
        <v>3421</v>
      </c>
      <c r="N20" s="1885" t="s">
        <v>3387</v>
      </c>
      <c r="O20" s="1886" t="s">
        <v>3422</v>
      </c>
      <c r="P20" s="1840"/>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4" customFormat="1" ht="25.5" thickBot="1">
      <c r="A21" s="3393"/>
      <c r="B21" s="1998" t="s">
        <v>1995</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3420</v>
      </c>
      <c r="G21" s="1991">
        <f>SUM(H21:O21)</f>
        <v>375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60</v>
      </c>
      <c r="N21" s="1999">
        <f>SUMPRODUCT((七通一平=N20)*(修正!B1:M1=G2)*(修正!B8:M16))</f>
        <v>50</v>
      </c>
      <c r="O21" s="2001">
        <f>SUMPRODUCT((七通一平=O20)*(修正!B1:M1=G2)*(修正!B8:M16))</f>
        <v>20</v>
      </c>
      <c r="P21" s="1840"/>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4" customFormat="1" ht="14.5" thickBot="1">
      <c r="A22" s="1992" t="s">
        <v>363</v>
      </c>
      <c r="B22" s="1993" t="s">
        <v>1998</v>
      </c>
      <c r="C22" s="1994">
        <f>SUMIF(修正!C20:C51,E3,修正!E20:E51)</f>
        <v>1</v>
      </c>
      <c r="D22" s="1995"/>
      <c r="E22" s="1996"/>
      <c r="F22" s="1996"/>
      <c r="G22" s="1996"/>
      <c r="H22" s="1996"/>
      <c r="I22" s="1996"/>
      <c r="J22" s="1997"/>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5.5" thickBot="1">
      <c r="A23" s="1888" t="s">
        <v>364</v>
      </c>
      <c r="B23" s="1889" t="s">
        <v>1999</v>
      </c>
      <c r="C23" s="71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1892" t="s">
        <v>2000</v>
      </c>
      <c r="E23" s="713">
        <v>44197</v>
      </c>
      <c r="F23" s="1892" t="s">
        <v>2001</v>
      </c>
      <c r="G23" s="714">
        <f>'数据-取费表'!B2</f>
        <v>45478</v>
      </c>
      <c r="H23" s="3044" t="s">
        <v>3254</v>
      </c>
      <c r="I23" s="3045" t="str">
        <f>IF(H23="季度增幅（自定义）",SUMIF(N25:N28,E2,O25:O28),"")</f>
        <v/>
      </c>
      <c r="J23" s="3136" t="s">
        <v>3253</v>
      </c>
      <c r="K23" s="1057"/>
      <c r="L23" s="1893" t="s">
        <v>2002</v>
      </c>
      <c r="M23" s="1237">
        <f>ROUND(SUMIF(地价!B2:G2,E2,地价!B16:G16),0)</f>
        <v>350</v>
      </c>
      <c r="N23" s="1894" t="s">
        <v>2003</v>
      </c>
      <c r="O23" s="715">
        <f>ROUNDDOWN(DATEDIF(E23,G23,"M")/3,0)</f>
        <v>14</v>
      </c>
      <c r="P23" s="1053"/>
      <c r="Q23" s="2548"/>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6.5" thickBot="1">
      <c r="A24" s="1896" t="s">
        <v>365</v>
      </c>
      <c r="B24" s="1897" t="s">
        <v>2004</v>
      </c>
      <c r="C24" s="716">
        <f>ROUND(POWER(1+G24,J24-I24)*(POWER(1+G24,I24)-1)/(POWER(1+G24,J24)-1),4)</f>
        <v>0.68530000000000002</v>
      </c>
      <c r="D24" s="1898" t="s">
        <v>2005</v>
      </c>
      <c r="E24" s="1244">
        <f>存贷款利率!E24/100</f>
        <v>4.3499999999999997E-2</v>
      </c>
      <c r="F24" s="1898" t="s">
        <v>1997</v>
      </c>
      <c r="G24" s="720">
        <f>SUMIF(M30:Q30,E2,M33:Q33)</f>
        <v>5.5E-2</v>
      </c>
      <c r="H24" s="1898" t="s">
        <v>2006</v>
      </c>
      <c r="I24" s="721">
        <f>SUMIF('数据-取费表'!C6:C15,E2,'数据-取费表'!F6:F15)/COUNTIF('数据-取费表'!C6:C15,E2)</f>
        <v>17.34</v>
      </c>
      <c r="J24" s="722">
        <f>IF(E2="住宅",70,IF(E2="商业",40,50))</f>
        <v>40</v>
      </c>
      <c r="K24" s="1057"/>
      <c r="L24" s="1899" t="s">
        <v>2007</v>
      </c>
      <c r="M24" s="1238">
        <f>ROUND(SUMPRODUCT((地价!A4:A16=YEAR(G23)&amp;"-"&amp;ROUNDUP(MONTH(G23)/3,0))*(地价!B2:G2=E2)*(地价!B4:G16)),0)</f>
        <v>0</v>
      </c>
      <c r="N24" s="1900" t="s">
        <v>2008</v>
      </c>
      <c r="O24" s="1901" t="s">
        <v>2009</v>
      </c>
      <c r="P24" s="1902" t="s">
        <v>2010</v>
      </c>
      <c r="Q24" s="1840"/>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4">
      <c r="A25" s="1903" t="s">
        <v>366</v>
      </c>
      <c r="B25" s="1904" t="s">
        <v>3423</v>
      </c>
      <c r="C25" s="461">
        <f>IF(B25="容积率修正",IF(G3&lt;10,D26,J26),C27)</f>
        <v>1.5206</v>
      </c>
      <c r="D25" s="1905"/>
      <c r="E25" s="1905"/>
      <c r="F25" s="1905"/>
      <c r="G25" s="1905"/>
      <c r="H25" s="1905"/>
      <c r="I25" s="1905"/>
      <c r="J25" s="1906"/>
      <c r="K25" s="1057"/>
      <c r="L25" s="2548"/>
      <c r="M25" s="2548"/>
      <c r="N25" s="1907" t="s">
        <v>2011</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5">
      <c r="A26" s="1802" t="s">
        <v>2012</v>
      </c>
      <c r="B26" s="1908" t="s">
        <v>2013</v>
      </c>
      <c r="C26" s="1908" t="s">
        <v>3255</v>
      </c>
      <c r="D26" s="1259">
        <f>IF(E26=G26,F26,IF(G3&lt;10,ROUND(F26+(H26-F26)*(G3-E26)/(G26-E26),4),"——"))</f>
        <v>1.0445</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08" t="s">
        <v>3256</v>
      </c>
      <c r="J26" s="374" t="str">
        <f>IF(G3&gt;=10,D115,"——")</f>
        <v>——</v>
      </c>
      <c r="K26" s="1057"/>
      <c r="L26" s="2548"/>
      <c r="M26" s="2548"/>
      <c r="N26" s="1907" t="s">
        <v>2014</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2015</v>
      </c>
      <c r="B27" s="1909" t="s">
        <v>2016</v>
      </c>
      <c r="C27" s="787">
        <f>ROUND(IF(I3&lt;6,SUMPRODUCT((B106:B110=I3)*(C105:N105=G2)*(C106:N110)),SUMIF(C105:N105,G2,C112:N112)),4)</f>
        <v>1.5206</v>
      </c>
      <c r="D27" s="1838"/>
      <c r="E27" s="1838"/>
      <c r="F27" s="1910"/>
      <c r="G27" s="1911"/>
      <c r="H27" s="1912"/>
      <c r="I27" s="1913"/>
      <c r="J27" s="1914"/>
      <c r="K27" s="1052"/>
      <c r="L27" s="1840"/>
      <c r="M27" s="1840"/>
      <c r="N27" s="1907" t="s">
        <v>2017</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4.5" thickBot="1">
      <c r="A28" s="1896" t="s">
        <v>367</v>
      </c>
      <c r="B28" s="1889" t="s">
        <v>2018</v>
      </c>
      <c r="C28" s="712">
        <f>SUMIF(A47:A101,E2,B47:B101)</f>
        <v>1.0434000000000001</v>
      </c>
      <c r="D28" s="1890"/>
      <c r="E28" s="1915"/>
      <c r="F28" s="1915"/>
      <c r="G28" s="1915"/>
      <c r="H28" s="1915"/>
      <c r="I28" s="1915"/>
      <c r="J28" s="1916"/>
      <c r="K28" s="1057"/>
      <c r="L28" s="2548"/>
      <c r="M28" s="2548"/>
      <c r="N28" s="1917" t="s">
        <v>2019</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4.5" thickBot="1">
      <c r="A29" s="1896" t="s">
        <v>368</v>
      </c>
      <c r="B29" s="1918" t="s">
        <v>2020</v>
      </c>
      <c r="C29" s="717"/>
      <c r="D29" s="1864"/>
      <c r="E29" s="1864"/>
      <c r="F29" s="1919"/>
      <c r="G29" s="1864"/>
      <c r="H29" s="1864"/>
      <c r="I29" s="1864"/>
      <c r="J29" s="1865"/>
      <c r="K29" s="1052"/>
      <c r="L29" s="1840"/>
      <c r="M29" s="1840"/>
      <c r="N29" s="2545" t="s">
        <v>2021</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
      <c r="A30" s="1920"/>
      <c r="B30" s="1908" t="s">
        <v>2022</v>
      </c>
      <c r="C30" s="2141">
        <f>IF(B25="容积率修正",E33+SUM(E37:E42),SUM(V2:V16)+SUM(E37:E42))</f>
        <v>30580</v>
      </c>
      <c r="D30" s="1921"/>
      <c r="E30" s="1838"/>
      <c r="F30" s="1922"/>
      <c r="G30" s="1838"/>
      <c r="H30" s="1838"/>
      <c r="I30" s="1838"/>
      <c r="J30" s="1923"/>
      <c r="K30" s="1052"/>
      <c r="L30" s="3051" t="s">
        <v>1934</v>
      </c>
      <c r="M30" s="3052" t="s">
        <v>1988</v>
      </c>
      <c r="N30" s="3052" t="s">
        <v>1989</v>
      </c>
      <c r="O30" s="3052" t="s">
        <v>1990</v>
      </c>
      <c r="P30" s="3052" t="s">
        <v>1991</v>
      </c>
      <c r="Q30" s="3055" t="s">
        <v>3260</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4.5" thickBot="1">
      <c r="A31" s="1920"/>
      <c r="B31" s="1924" t="s">
        <v>2023</v>
      </c>
      <c r="C31" s="718">
        <f>E34+SUM(I37:I42)</f>
        <v>4213</v>
      </c>
      <c r="D31" s="1925"/>
      <c r="E31" s="1926"/>
      <c r="F31" s="1927"/>
      <c r="G31" s="1926"/>
      <c r="H31" s="1926"/>
      <c r="I31" s="1926"/>
      <c r="J31" s="1928"/>
      <c r="K31" s="1052"/>
      <c r="L31" s="3053" t="s">
        <v>1994</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4.5" thickBot="1">
      <c r="A32" s="1929"/>
      <c r="B32" s="1930" t="s">
        <v>2024</v>
      </c>
      <c r="C32" s="1931" t="s">
        <v>2025</v>
      </c>
      <c r="D32" s="1931" t="s">
        <v>2026</v>
      </c>
      <c r="E32" s="1932" t="s">
        <v>2027</v>
      </c>
      <c r="F32" s="1933"/>
      <c r="G32" s="1877"/>
      <c r="H32" s="1877"/>
      <c r="I32" s="1877"/>
      <c r="J32" s="1878"/>
      <c r="K32" s="1052"/>
      <c r="L32" s="3054" t="s">
        <v>1997</v>
      </c>
      <c r="M32" s="2352">
        <f>ROUND($E$24*(1+M31),3)</f>
        <v>5.3999999999999999E-2</v>
      </c>
      <c r="N32" s="2352">
        <f>ROUND($E$24*(1+N31),3)</f>
        <v>5.1999999999999998E-2</v>
      </c>
      <c r="O32" s="2352">
        <f>ROUND($E$24*(1+O31),3)</f>
        <v>0.05</v>
      </c>
      <c r="P32" s="2352">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4">
      <c r="A33" s="1934"/>
      <c r="B33" s="1935" t="s">
        <v>2028</v>
      </c>
      <c r="C33" s="167">
        <f>ROUND(C5*C22*C23*C24*C25*C28,0)</f>
        <v>37323</v>
      </c>
      <c r="D33" s="3162"/>
      <c r="E33" s="723">
        <f>ROUND(C33*D33/10000,0)</f>
        <v>0</v>
      </c>
      <c r="F33" s="3046" t="s">
        <v>3258</v>
      </c>
      <c r="G33" s="1937"/>
      <c r="H33" s="1937"/>
      <c r="I33" s="1937"/>
      <c r="J33" s="1938"/>
      <c r="K33" s="1052"/>
      <c r="L33" s="3049" t="s">
        <v>3261</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6.5" thickBot="1">
      <c r="A34" s="1939"/>
      <c r="B34" s="1940" t="s">
        <v>2029</v>
      </c>
      <c r="C34" s="179" t="e">
        <f>ROUND(IF(E2="工业",C33*M42,IF(B25="楼层修正",SUM(V2:V16)*M41*10000/D34,C33*M41)),0)</f>
        <v>#DIV/0!</v>
      </c>
      <c r="D34" s="1941"/>
      <c r="E34" s="723">
        <f>ROUND(IF(B25="楼层修正",SUM(V2:V16)*M40,C34*D34/10000),0)</f>
        <v>0</v>
      </c>
      <c r="F34" s="1942" t="s">
        <v>2030</v>
      </c>
      <c r="G34" s="1943"/>
      <c r="H34" s="1943"/>
      <c r="I34" s="1943"/>
      <c r="J34" s="1944"/>
      <c r="K34" s="1052"/>
      <c r="L34" s="3049" t="s">
        <v>3262</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ht="13">
      <c r="A35" s="1945"/>
      <c r="B35" s="1946" t="s">
        <v>2031</v>
      </c>
      <c r="C35" s="3047" t="s">
        <v>3259</v>
      </c>
      <c r="D35" s="1877"/>
      <c r="E35" s="1947"/>
      <c r="F35" s="1947"/>
      <c r="G35" s="1875" t="s">
        <v>2032</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26.5" thickBot="1">
      <c r="A36" s="1934"/>
      <c r="B36" s="1949"/>
      <c r="C36" s="436" t="s">
        <v>2025</v>
      </c>
      <c r="D36" s="433" t="s">
        <v>2026</v>
      </c>
      <c r="E36" s="433" t="s">
        <v>2027</v>
      </c>
      <c r="F36" s="333" t="s">
        <v>2033</v>
      </c>
      <c r="G36" s="1950" t="s">
        <v>2025</v>
      </c>
      <c r="H36" s="1950" t="s">
        <v>2026</v>
      </c>
      <c r="I36" s="1950" t="s">
        <v>2027</v>
      </c>
      <c r="J36" s="235"/>
      <c r="K36" s="1960" t="s">
        <v>3263</v>
      </c>
      <c r="L36" s="3137">
        <f ca="1">'数据-取费表'!B40</f>
        <v>3.4500000000000003E-2</v>
      </c>
      <c r="M36" s="2362">
        <f ca="1">ROUND($L$36*(1+M31),3)</f>
        <v>4.2999999999999997E-2</v>
      </c>
      <c r="N36" s="2362">
        <f ca="1">ROUND($L$36*(1+N31),3)</f>
        <v>4.1000000000000002E-2</v>
      </c>
      <c r="O36" s="2362">
        <f ca="1">ROUND($L$36*(1+O31),3)</f>
        <v>0.04</v>
      </c>
      <c r="P36" s="2362">
        <f ca="1">ROUND($L$36*(1+P31),3)</f>
        <v>3.7999999999999999E-2</v>
      </c>
      <c r="Q36" s="2362">
        <f ca="1">ROUND($L$36*(1+Q31),3)</f>
        <v>0.04</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6.5" thickBot="1">
      <c r="A37" s="3396"/>
      <c r="B37" s="1951" t="s">
        <v>2034</v>
      </c>
      <c r="C37" s="167">
        <f>ROUND(D5*C22*C23*C24*C28*F37,0)</f>
        <v>17182</v>
      </c>
      <c r="D37" s="3162">
        <f>面积清单!D3</f>
        <v>4129.8999999999996</v>
      </c>
      <c r="E37" s="163">
        <f>ROUND(C37*D37/10000,0)</f>
        <v>7096</v>
      </c>
      <c r="F37" s="163">
        <f>SUMIF(修正!A57:A68,G2,修正!B57:B68)</f>
        <v>0.7</v>
      </c>
      <c r="G37" s="163">
        <f>ROUND(IF(E2="工业",C37*$M$42,C37*$M$41),0)</f>
        <v>4296</v>
      </c>
      <c r="H37" s="163">
        <f>D37</f>
        <v>4129.8999999999996</v>
      </c>
      <c r="I37" s="163">
        <f>ROUND(G37*H37/10000,0)</f>
        <v>1774</v>
      </c>
      <c r="J37" s="2750"/>
      <c r="K37" s="3057" t="s">
        <v>3264</v>
      </c>
      <c r="L37" s="1960">
        <f ca="1">L36+K38</f>
        <v>3.95E-2</v>
      </c>
      <c r="M37" s="2362">
        <f ca="1">ROUND($L$37*(1+M31),3)</f>
        <v>4.9000000000000002E-2</v>
      </c>
      <c r="N37" s="2362">
        <f t="shared" ref="N37:Q37" ca="1" si="3">ROUND($L$37*(1+N31),3)</f>
        <v>4.7E-2</v>
      </c>
      <c r="O37" s="2362">
        <f t="shared" ca="1" si="3"/>
        <v>4.4999999999999998E-2</v>
      </c>
      <c r="P37" s="2362">
        <f t="shared" ca="1" si="3"/>
        <v>4.2999999999999997E-2</v>
      </c>
      <c r="Q37" s="2362">
        <f t="shared" ca="1" si="3"/>
        <v>4.4999999999999998E-2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ht="13">
      <c r="A38" s="3397"/>
      <c r="B38" s="1880" t="s">
        <v>2035</v>
      </c>
      <c r="C38" s="167">
        <f>ROUND(D5*C22*C23*C24*C28*F38,0)</f>
        <v>9818</v>
      </c>
      <c r="D38" s="1936"/>
      <c r="E38" s="163">
        <f t="shared" ref="E38:E42" si="4">ROUND(C38*D38/10000,0)</f>
        <v>0</v>
      </c>
      <c r="F38" s="163">
        <f>SUMIF(修正!A57:A68,G2,修正!C57:C68)</f>
        <v>0.4</v>
      </c>
      <c r="G38" s="163">
        <f>ROUND(IF(E2="工业",C38*$M$42,C38*$M$41),0)</f>
        <v>2455</v>
      </c>
      <c r="H38" s="163">
        <f t="shared" ref="H38:H42" si="5">D38</f>
        <v>0</v>
      </c>
      <c r="I38" s="163">
        <f t="shared" ref="I38:I42" si="6">ROUND(G38*H38/10000,0)</f>
        <v>0</v>
      </c>
      <c r="J38" s="2749"/>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5" thickBot="1">
      <c r="A39" s="3397"/>
      <c r="B39" s="1880" t="s">
        <v>3257</v>
      </c>
      <c r="C39" s="167">
        <f>ROUND(D5*C22*C23*C24*C28*F39,0)</f>
        <v>7364</v>
      </c>
      <c r="D39" s="1936"/>
      <c r="E39" s="163">
        <f t="shared" si="4"/>
        <v>0</v>
      </c>
      <c r="F39" s="163">
        <f>SUMIF(修正!A57:A68,G2,修正!D57:D68)</f>
        <v>0.3</v>
      </c>
      <c r="G39" s="163">
        <f>ROUND(IF(E2="工业",C39*$M$42,C39*$M$41),0)</f>
        <v>1841</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ht="13">
      <c r="A40" s="1952"/>
      <c r="B40" s="1880" t="s">
        <v>2036</v>
      </c>
      <c r="C40" s="163">
        <f>ROUND(D5*C22*C23*C24*C28*F40,0)</f>
        <v>7364</v>
      </c>
      <c r="D40" s="1936"/>
      <c r="E40" s="163">
        <f t="shared" si="4"/>
        <v>0</v>
      </c>
      <c r="F40" s="167">
        <f>SUMIF(修正!A57:A68,G2,修正!E57:E68)</f>
        <v>0.3</v>
      </c>
      <c r="G40" s="163">
        <f>ROUND(IF(E2="工业",C40*$M$42,C40*$M$41),0)</f>
        <v>1841</v>
      </c>
      <c r="H40" s="163">
        <f t="shared" si="5"/>
        <v>0</v>
      </c>
      <c r="I40" s="163">
        <f t="shared" si="6"/>
        <v>0</v>
      </c>
      <c r="J40" s="935"/>
      <c r="L40" s="1953" t="s">
        <v>2037</v>
      </c>
      <c r="M40" s="1954"/>
      <c r="Z40" s="1053"/>
      <c r="AA40" s="1053"/>
      <c r="AB40" s="1053"/>
      <c r="AC40" s="1053"/>
      <c r="AD40" s="1053"/>
      <c r="AE40" s="1053"/>
      <c r="AF40" s="1053"/>
      <c r="AG40" s="1053"/>
      <c r="AH40" s="1053"/>
      <c r="AI40" s="1053"/>
      <c r="AJ40" s="1053"/>
    </row>
    <row r="41" spans="1:37" s="1052" customFormat="1" ht="13">
      <c r="A41" s="1952"/>
      <c r="B41" s="1880" t="s">
        <v>2038</v>
      </c>
      <c r="C41" s="163">
        <f>ROUND(D5*C22*C23*C44*C28*F41,0)</f>
        <v>8870</v>
      </c>
      <c r="D41" s="1936"/>
      <c r="E41" s="163">
        <f t="shared" si="4"/>
        <v>0</v>
      </c>
      <c r="F41" s="167">
        <f>SUMIF(修正!A57:A68,G2,修正!F57:F68)</f>
        <v>0.3</v>
      </c>
      <c r="G41" s="163">
        <f>ROUND(IF(E2="工业",C41*$M$42,C41*$M$41),0)</f>
        <v>2218</v>
      </c>
      <c r="H41" s="163">
        <f t="shared" si="5"/>
        <v>0</v>
      </c>
      <c r="I41" s="163">
        <f t="shared" si="6"/>
        <v>0</v>
      </c>
      <c r="J41" s="935"/>
      <c r="L41" s="3058" t="s">
        <v>3265</v>
      </c>
      <c r="M41" s="1955">
        <v>0.25</v>
      </c>
      <c r="Z41" s="1053"/>
      <c r="AA41" s="1053"/>
      <c r="AB41" s="1053"/>
      <c r="AC41" s="1053"/>
      <c r="AD41" s="1053"/>
      <c r="AE41" s="1053"/>
      <c r="AF41" s="1053"/>
      <c r="AG41" s="1053"/>
      <c r="AH41" s="1053"/>
      <c r="AI41" s="1053"/>
      <c r="AJ41" s="1053"/>
    </row>
    <row r="42" spans="1:37" s="1052" customFormat="1" ht="13.5" thickBot="1">
      <c r="A42" s="1939"/>
      <c r="B42" s="1956" t="s">
        <v>2039</v>
      </c>
      <c r="C42" s="179">
        <f>ROUND(D5*C22*C23*C44*C28*F42,0)</f>
        <v>5913</v>
      </c>
      <c r="D42" s="3197">
        <f>'数据-汇总表'!G20</f>
        <v>16503.550000000127</v>
      </c>
      <c r="E42" s="179">
        <f t="shared" si="4"/>
        <v>9759</v>
      </c>
      <c r="F42" s="719">
        <f>SUMIF(修正!A57:A68,G2,修正!G57:G68)</f>
        <v>0.2</v>
      </c>
      <c r="G42" s="179">
        <f>ROUND(IF(E2="工业",C42*$M$42,C42*$M$41),0)</f>
        <v>1478</v>
      </c>
      <c r="H42" s="179">
        <f t="shared" si="5"/>
        <v>16503.550000000127</v>
      </c>
      <c r="I42" s="179">
        <f t="shared" si="6"/>
        <v>2439</v>
      </c>
      <c r="J42" s="1957"/>
      <c r="L42" s="1958" t="s">
        <v>1991</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13">
      <c r="A44" s="1053"/>
      <c r="B44" s="1988" t="s">
        <v>2120</v>
      </c>
      <c r="C44" s="333">
        <f>ROUND(POWER(1+E44,H44-G44)*(POWER(1+E44,G44)-1)/(POWER(1+E44,H44)-1),4)</f>
        <v>0.82550000000000001</v>
      </c>
      <c r="D44" s="163" t="s">
        <v>1997</v>
      </c>
      <c r="E44" s="1987">
        <f>G24</f>
        <v>5.5E-2</v>
      </c>
      <c r="F44" s="163" t="s">
        <v>2006</v>
      </c>
      <c r="G44" s="175">
        <f>项目基本情况!F15</f>
        <v>27.35</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4.5" thickBot="1">
      <c r="A47" s="1961" t="s">
        <v>2040</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
      <c r="A48" s="1963" t="s">
        <v>2041</v>
      </c>
      <c r="B48" s="1964">
        <f>1+E50</f>
        <v>1.0434000000000001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6">
      <c r="A49" s="1966" t="s">
        <v>2042</v>
      </c>
      <c r="B49" s="1258" t="s">
        <v>2043</v>
      </c>
      <c r="C49" s="1258" t="s">
        <v>2044</v>
      </c>
      <c r="D49" s="1258" t="s">
        <v>2045</v>
      </c>
      <c r="E49" s="697" t="s">
        <v>2046</v>
      </c>
      <c r="F49" s="1967" t="s">
        <v>2047</v>
      </c>
      <c r="G49" s="1258" t="s">
        <v>310</v>
      </c>
      <c r="H49" s="1968" t="s">
        <v>2048</v>
      </c>
      <c r="I49" s="1258" t="s">
        <v>2049</v>
      </c>
      <c r="J49" s="530" t="s">
        <v>1719</v>
      </c>
      <c r="K49" s="530" t="s">
        <v>1720</v>
      </c>
      <c r="L49" s="530" t="s">
        <v>1721</v>
      </c>
      <c r="M49" s="530" t="s">
        <v>1722</v>
      </c>
      <c r="N49" s="530" t="s">
        <v>1723</v>
      </c>
      <c r="AA49" s="1053"/>
      <c r="AB49" s="1053"/>
      <c r="AC49" s="1053"/>
      <c r="AD49" s="1053"/>
      <c r="AE49" s="1053"/>
      <c r="AF49" s="1053"/>
      <c r="AG49" s="1053"/>
      <c r="AH49" s="1053"/>
      <c r="AI49" s="1053"/>
      <c r="AJ49" s="1053"/>
      <c r="AK49" s="1053"/>
    </row>
    <row r="50" spans="1:37" s="1052" customFormat="1" ht="37.5">
      <c r="A50" s="1966" t="s">
        <v>2050</v>
      </c>
      <c r="B50" s="1969" t="str">
        <f>估价对象房地状况!C4</f>
        <v>估价对象位于XX商圈，周边商业氛围成熟，人流量大，商业繁华度较好</v>
      </c>
      <c r="C50" s="1883" t="s">
        <v>3424</v>
      </c>
      <c r="D50" s="998">
        <f t="shared" ref="D50:D58" si="7">SUMIF($J$49:$N$49,C50,J50:N50)</f>
        <v>1.21E-2</v>
      </c>
      <c r="E50" s="698">
        <f>ROUND(SUM(D50:D58),4)</f>
        <v>4.3400000000000001E-2</v>
      </c>
      <c r="F50" s="1671">
        <f>IF(E2="商业",SUMIF(L1:L12,G2,N1:N12),"——")</f>
        <v>8.1000000000000003E-2</v>
      </c>
      <c r="G50" s="996">
        <v>1.21E-2</v>
      </c>
      <c r="H50" s="999">
        <f t="shared" ref="H50:H58" si="8">IFERROR(ROUNDDOWN($F$50*I50/2,4),"——")</f>
        <v>1.21E-2</v>
      </c>
      <c r="I50" s="3064">
        <v>0.3</v>
      </c>
      <c r="J50" s="997">
        <f t="shared" ref="J50:J58" si="9">K50+$G50</f>
        <v>2.4199999999999999E-2</v>
      </c>
      <c r="K50" s="997">
        <f t="shared" ref="K50:K58" si="10">$L50+$G50</f>
        <v>1.21E-2</v>
      </c>
      <c r="L50" s="997">
        <v>0</v>
      </c>
      <c r="M50" s="997">
        <f t="shared" ref="M50:N58" si="11">L50-$G50</f>
        <v>-1.21E-2</v>
      </c>
      <c r="N50" s="997">
        <f t="shared" si="11"/>
        <v>-2.4199999999999999E-2</v>
      </c>
      <c r="AA50" s="1053"/>
      <c r="AB50" s="1053"/>
      <c r="AC50" s="1053"/>
      <c r="AD50" s="1053"/>
      <c r="AE50" s="1053"/>
      <c r="AF50" s="1053"/>
      <c r="AG50" s="1053"/>
      <c r="AH50" s="1053"/>
      <c r="AI50" s="1053"/>
      <c r="AJ50" s="1053"/>
      <c r="AK50" s="1053"/>
    </row>
    <row r="51" spans="1:37" s="1052" customFormat="1" ht="50">
      <c r="A51" s="1966" t="s">
        <v>2051</v>
      </c>
      <c r="B51" s="1258" t="str">
        <f>估价对象房地状况!C18</f>
        <v>估价对象周边道路状况、公共交通通达情况、停车便捷程度，综合评价交通便捷度较好</v>
      </c>
      <c r="C51" s="1883" t="s">
        <v>3424</v>
      </c>
      <c r="D51" s="998">
        <f t="shared" si="7"/>
        <v>8.8999999999999999E-3</v>
      </c>
      <c r="E51" s="699"/>
      <c r="F51" s="1671"/>
      <c r="G51" s="996">
        <v>8.8999999999999999E-3</v>
      </c>
      <c r="H51" s="999">
        <f t="shared" si="8"/>
        <v>8.8999999999999999E-3</v>
      </c>
      <c r="I51" s="3064">
        <v>0.22</v>
      </c>
      <c r="J51" s="997">
        <f t="shared" si="9"/>
        <v>1.78E-2</v>
      </c>
      <c r="K51" s="997">
        <f t="shared" si="10"/>
        <v>8.8999999999999999E-3</v>
      </c>
      <c r="L51" s="997">
        <v>0</v>
      </c>
      <c r="M51" s="997">
        <f t="shared" si="11"/>
        <v>-8.8999999999999999E-3</v>
      </c>
      <c r="N51" s="997">
        <f t="shared" si="11"/>
        <v>-1.78E-2</v>
      </c>
      <c r="AA51" s="1053"/>
      <c r="AB51" s="1053"/>
      <c r="AC51" s="1053"/>
      <c r="AD51" s="1053"/>
      <c r="AE51" s="1053"/>
      <c r="AF51" s="1053"/>
      <c r="AG51" s="1053"/>
      <c r="AH51" s="1053"/>
      <c r="AI51" s="1053"/>
      <c r="AJ51" s="1053"/>
      <c r="AK51" s="1053"/>
    </row>
    <row r="52" spans="1:37" s="1052" customFormat="1" ht="39">
      <c r="A52" s="3066" t="s">
        <v>3267</v>
      </c>
      <c r="B52" s="1258">
        <f>估价对象房地状况!C19</f>
        <v>0</v>
      </c>
      <c r="C52" s="1883" t="s">
        <v>3424</v>
      </c>
      <c r="D52" s="998">
        <f t="shared" si="7"/>
        <v>4.7999999999999996E-3</v>
      </c>
      <c r="E52" s="699"/>
      <c r="F52" s="1671"/>
      <c r="G52" s="996">
        <v>4.7999999999999996E-3</v>
      </c>
      <c r="H52" s="999">
        <f t="shared" si="8"/>
        <v>4.7999999999999996E-3</v>
      </c>
      <c r="I52" s="3064">
        <v>0.12</v>
      </c>
      <c r="J52" s="997">
        <f t="shared" si="9"/>
        <v>9.5999999999999992E-3</v>
      </c>
      <c r="K52" s="997">
        <f t="shared" si="10"/>
        <v>4.7999999999999996E-3</v>
      </c>
      <c r="L52" s="997">
        <v>0</v>
      </c>
      <c r="M52" s="997">
        <f t="shared" si="11"/>
        <v>-4.7999999999999996E-3</v>
      </c>
      <c r="N52" s="997">
        <f t="shared" si="11"/>
        <v>-9.5999999999999992E-3</v>
      </c>
      <c r="AA52" s="1053"/>
      <c r="AB52" s="1053"/>
      <c r="AC52" s="1053"/>
      <c r="AD52" s="1053"/>
      <c r="AE52" s="1053"/>
      <c r="AF52" s="1053"/>
      <c r="AG52" s="1053"/>
      <c r="AH52" s="1053"/>
      <c r="AI52" s="1053"/>
      <c r="AJ52" s="1053"/>
      <c r="AK52" s="1053"/>
    </row>
    <row r="53" spans="1:37" s="1052" customFormat="1" ht="39">
      <c r="A53" s="1966" t="s">
        <v>2052</v>
      </c>
      <c r="B53" s="1970" t="s">
        <v>2053</v>
      </c>
      <c r="C53" s="1883" t="s">
        <v>3424</v>
      </c>
      <c r="D53" s="998">
        <f t="shared" si="7"/>
        <v>2E-3</v>
      </c>
      <c r="E53" s="699"/>
      <c r="F53" s="1671"/>
      <c r="G53" s="996">
        <v>2E-3</v>
      </c>
      <c r="H53" s="999">
        <f t="shared" si="8"/>
        <v>2E-3</v>
      </c>
      <c r="I53" s="3064">
        <v>0.05</v>
      </c>
      <c r="J53" s="997">
        <f t="shared" si="9"/>
        <v>4.0000000000000001E-3</v>
      </c>
      <c r="K53" s="997">
        <f t="shared" si="10"/>
        <v>2E-3</v>
      </c>
      <c r="L53" s="997">
        <v>0</v>
      </c>
      <c r="M53" s="997">
        <f t="shared" si="11"/>
        <v>-2E-3</v>
      </c>
      <c r="N53" s="997">
        <f t="shared" si="11"/>
        <v>-4.0000000000000001E-3</v>
      </c>
      <c r="AA53" s="1053"/>
      <c r="AB53" s="1053"/>
      <c r="AC53" s="1053"/>
      <c r="AD53" s="1053"/>
      <c r="AE53" s="1053"/>
      <c r="AF53" s="1053"/>
      <c r="AG53" s="1053"/>
      <c r="AH53" s="1053"/>
      <c r="AI53" s="1053"/>
      <c r="AJ53" s="1053"/>
      <c r="AK53" s="1053"/>
    </row>
    <row r="54" spans="1:37" s="1052" customFormat="1" ht="26">
      <c r="A54" s="1966" t="s">
        <v>2054</v>
      </c>
      <c r="B54" s="1258" t="str">
        <f>估价对象房地状况!C24</f>
        <v>主干道-工人体育场路</v>
      </c>
      <c r="C54" s="1883" t="s">
        <v>3424</v>
      </c>
      <c r="D54" s="998">
        <f t="shared" si="7"/>
        <v>3.2000000000000002E-3</v>
      </c>
      <c r="E54" s="699"/>
      <c r="F54" s="1671"/>
      <c r="G54" s="996">
        <v>3.2000000000000002E-3</v>
      </c>
      <c r="H54" s="999">
        <f t="shared" si="8"/>
        <v>3.2000000000000002E-3</v>
      </c>
      <c r="I54" s="3064">
        <v>0.08</v>
      </c>
      <c r="J54" s="997">
        <f t="shared" si="9"/>
        <v>6.4000000000000003E-3</v>
      </c>
      <c r="K54" s="997">
        <f t="shared" si="10"/>
        <v>3.2000000000000002E-3</v>
      </c>
      <c r="L54" s="997">
        <v>0</v>
      </c>
      <c r="M54" s="997">
        <f t="shared" si="11"/>
        <v>-3.2000000000000002E-3</v>
      </c>
      <c r="N54" s="997">
        <f t="shared" si="11"/>
        <v>-6.4000000000000003E-3</v>
      </c>
      <c r="AA54" s="1053"/>
      <c r="AB54" s="1053"/>
      <c r="AC54" s="1053"/>
      <c r="AD54" s="1053"/>
      <c r="AE54" s="1053"/>
      <c r="AF54" s="1053"/>
      <c r="AG54" s="1053"/>
      <c r="AH54" s="1053"/>
      <c r="AI54" s="1053"/>
      <c r="AJ54" s="1053"/>
      <c r="AK54" s="1053"/>
    </row>
    <row r="55" spans="1:37" s="1052" customFormat="1" ht="26">
      <c r="A55" s="1966" t="s">
        <v>2055</v>
      </c>
      <c r="B55" s="1971" t="s">
        <v>2056</v>
      </c>
      <c r="C55" s="1883" t="s">
        <v>3424</v>
      </c>
      <c r="D55" s="998">
        <f t="shared" si="7"/>
        <v>2E-3</v>
      </c>
      <c r="E55" s="699"/>
      <c r="F55" s="1671"/>
      <c r="G55" s="996">
        <v>2E-3</v>
      </c>
      <c r="H55" s="999">
        <f t="shared" si="8"/>
        <v>2E-3</v>
      </c>
      <c r="I55" s="3064">
        <v>0.05</v>
      </c>
      <c r="J55" s="997">
        <f t="shared" si="9"/>
        <v>4.0000000000000001E-3</v>
      </c>
      <c r="K55" s="997">
        <f t="shared" si="10"/>
        <v>2E-3</v>
      </c>
      <c r="L55" s="997">
        <v>0</v>
      </c>
      <c r="M55" s="997">
        <f t="shared" si="11"/>
        <v>-2E-3</v>
      </c>
      <c r="N55" s="997">
        <f t="shared" si="11"/>
        <v>-4.0000000000000001E-3</v>
      </c>
      <c r="AA55" s="1053"/>
      <c r="AB55" s="1053"/>
      <c r="AC55" s="1053"/>
      <c r="AD55" s="1053"/>
      <c r="AE55" s="1053"/>
      <c r="AF55" s="1053"/>
      <c r="AG55" s="1053"/>
      <c r="AH55" s="1053"/>
      <c r="AI55" s="1053"/>
      <c r="AJ55" s="1053"/>
      <c r="AK55" s="1053"/>
    </row>
    <row r="56" spans="1:37" s="1052" customFormat="1" ht="26">
      <c r="A56" s="1972" t="s">
        <v>2057</v>
      </c>
      <c r="B56" s="1236" t="str">
        <f>估价对象房地状况!C21</f>
        <v>估价对象所在区域公共配套设施齐备情况较好</v>
      </c>
      <c r="C56" s="1883" t="s">
        <v>3424</v>
      </c>
      <c r="D56" s="998">
        <f t="shared" si="7"/>
        <v>2E-3</v>
      </c>
      <c r="E56" s="699"/>
      <c r="F56" s="1671"/>
      <c r="G56" s="996">
        <v>2E-3</v>
      </c>
      <c r="H56" s="999">
        <f t="shared" si="8"/>
        <v>2E-3</v>
      </c>
      <c r="I56" s="3064">
        <v>0.05</v>
      </c>
      <c r="J56" s="997">
        <f t="shared" si="9"/>
        <v>4.0000000000000001E-3</v>
      </c>
      <c r="K56" s="997">
        <f t="shared" si="10"/>
        <v>2E-3</v>
      </c>
      <c r="L56" s="997">
        <v>0</v>
      </c>
      <c r="M56" s="997">
        <f t="shared" si="11"/>
        <v>-2E-3</v>
      </c>
      <c r="N56" s="997">
        <f t="shared" si="11"/>
        <v>-4.0000000000000001E-3</v>
      </c>
      <c r="AA56" s="1053"/>
      <c r="AB56" s="1053"/>
      <c r="AC56" s="1053"/>
      <c r="AD56" s="1053"/>
      <c r="AE56" s="1053"/>
      <c r="AF56" s="1053"/>
      <c r="AG56" s="1053"/>
      <c r="AH56" s="1053"/>
      <c r="AI56" s="1053"/>
      <c r="AJ56" s="1053"/>
      <c r="AK56" s="1053"/>
    </row>
    <row r="57" spans="1:37" s="1052" customFormat="1" ht="26">
      <c r="A57" s="1972" t="s">
        <v>2058</v>
      </c>
      <c r="B57" s="1258" t="str">
        <f>估价对象房地状况!C22</f>
        <v>估价对象所在区域基础设施水平</v>
      </c>
      <c r="C57" s="1883" t="s">
        <v>3425</v>
      </c>
      <c r="D57" s="998">
        <f t="shared" si="7"/>
        <v>6.4000000000000003E-3</v>
      </c>
      <c r="E57" s="699"/>
      <c r="F57" s="1671"/>
      <c r="G57" s="996">
        <v>3.2000000000000002E-3</v>
      </c>
      <c r="H57" s="999">
        <f t="shared" si="8"/>
        <v>3.2000000000000002E-3</v>
      </c>
      <c r="I57" s="3064">
        <v>0.08</v>
      </c>
      <c r="J57" s="997">
        <f t="shared" si="9"/>
        <v>6.4000000000000003E-3</v>
      </c>
      <c r="K57" s="997">
        <f t="shared" si="10"/>
        <v>3.2000000000000002E-3</v>
      </c>
      <c r="L57" s="997">
        <v>0</v>
      </c>
      <c r="M57" s="997">
        <f t="shared" si="11"/>
        <v>-3.2000000000000002E-3</v>
      </c>
      <c r="N57" s="997">
        <f t="shared" si="11"/>
        <v>-6.4000000000000003E-3</v>
      </c>
      <c r="AA57" s="1053"/>
      <c r="AB57" s="1053"/>
      <c r="AC57" s="1053"/>
      <c r="AD57" s="1053"/>
      <c r="AE57" s="1053"/>
      <c r="AF57" s="1053"/>
      <c r="AG57" s="1053"/>
      <c r="AH57" s="1053"/>
      <c r="AI57" s="1053"/>
      <c r="AJ57" s="1053"/>
      <c r="AK57" s="1053"/>
    </row>
    <row r="58" spans="1:37" s="1052" customFormat="1" ht="26.5" thickBot="1">
      <c r="A58" s="1973" t="s">
        <v>2059</v>
      </c>
      <c r="B58" s="1974" t="str">
        <f>估价对象房地状况!C20</f>
        <v>区域自然环境：；人文环境；综合评价环境状况较好</v>
      </c>
      <c r="C58" s="1883" t="s">
        <v>3424</v>
      </c>
      <c r="D58" s="998">
        <f t="shared" si="7"/>
        <v>2E-3</v>
      </c>
      <c r="E58" s="700"/>
      <c r="F58" s="1671"/>
      <c r="G58" s="996">
        <v>2E-3</v>
      </c>
      <c r="H58" s="999">
        <f t="shared" si="8"/>
        <v>2E-3</v>
      </c>
      <c r="I58" s="3065">
        <v>0.05</v>
      </c>
      <c r="J58" s="997">
        <f t="shared" si="9"/>
        <v>4.0000000000000001E-3</v>
      </c>
      <c r="K58" s="997">
        <f t="shared" si="10"/>
        <v>2E-3</v>
      </c>
      <c r="L58" s="997">
        <v>0</v>
      </c>
      <c r="M58" s="997">
        <f t="shared" si="11"/>
        <v>-2E-3</v>
      </c>
      <c r="N58" s="997">
        <f t="shared" si="11"/>
        <v>-4.0000000000000001E-3</v>
      </c>
      <c r="AA58" s="1053"/>
      <c r="AB58" s="1053"/>
      <c r="AC58" s="1053"/>
      <c r="AD58" s="1053"/>
      <c r="AE58" s="1053"/>
      <c r="AF58" s="1053"/>
      <c r="AG58" s="1053"/>
      <c r="AH58" s="1053"/>
      <c r="AI58" s="1053"/>
      <c r="AJ58" s="1053"/>
      <c r="AK58" s="1053"/>
    </row>
    <row r="59" spans="1:37" s="1052" customFormat="1" ht="14">
      <c r="A59" s="1963" t="s">
        <v>2060</v>
      </c>
      <c r="B59" s="1964">
        <f>1+E61</f>
        <v>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6">
      <c r="A60" s="1966" t="s">
        <v>2042</v>
      </c>
      <c r="B60" s="1258"/>
      <c r="C60" s="1258" t="s">
        <v>2044</v>
      </c>
      <c r="D60" s="1258" t="s">
        <v>2045</v>
      </c>
      <c r="E60" s="697" t="s">
        <v>2046</v>
      </c>
      <c r="F60" s="1967" t="s">
        <v>2061</v>
      </c>
      <c r="G60" s="1258" t="s">
        <v>310</v>
      </c>
      <c r="H60" s="1968" t="s">
        <v>2048</v>
      </c>
      <c r="I60" s="1258" t="s">
        <v>2049</v>
      </c>
      <c r="J60" s="530" t="s">
        <v>1719</v>
      </c>
      <c r="K60" s="530" t="s">
        <v>1720</v>
      </c>
      <c r="L60" s="530" t="s">
        <v>1721</v>
      </c>
      <c r="M60" s="530" t="s">
        <v>1722</v>
      </c>
      <c r="N60" s="530" t="s">
        <v>1723</v>
      </c>
      <c r="AA60" s="1053"/>
      <c r="AB60" s="1053"/>
      <c r="AC60" s="1053"/>
      <c r="AD60" s="1053"/>
      <c r="AE60" s="1053"/>
      <c r="AF60" s="1053"/>
      <c r="AG60" s="1053"/>
      <c r="AH60" s="1053"/>
      <c r="AI60" s="1053"/>
      <c r="AJ60" s="1053"/>
      <c r="AK60" s="1053"/>
    </row>
    <row r="61" spans="1:37" s="1052" customFormat="1" ht="26">
      <c r="A61" s="1966" t="s">
        <v>2062</v>
      </c>
      <c r="B61" s="1969">
        <f>估价对象房地状况!C17</f>
        <v>0</v>
      </c>
      <c r="C61" s="1883"/>
      <c r="D61" s="998">
        <f t="shared" ref="D61:D69" si="12">SUMIF($J$60:$N$60,C61,J61:N61)</f>
        <v>0</v>
      </c>
      <c r="E61" s="698">
        <f>ROUND(SUM(D61:D69),4)</f>
        <v>0</v>
      </c>
      <c r="F61" s="1671" t="str">
        <f>IF(E2="办公",SUMIF(L1:L12,G2,N1:N12),"——")</f>
        <v>——</v>
      </c>
      <c r="G61" s="996"/>
      <c r="H61" s="999" t="str">
        <f t="shared" ref="H61:H69" si="13">IFERROR(ROUNDDOWN($F$61*I61/2,4),"——")</f>
        <v>——</v>
      </c>
      <c r="I61" s="3064">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50">
      <c r="A62" s="1966" t="s">
        <v>2051</v>
      </c>
      <c r="B62" s="1258" t="str">
        <f>估价对象房地状况!C18</f>
        <v>估价对象周边道路状况、公共交通通达情况、停车便捷程度，综合评价交通便捷度较好</v>
      </c>
      <c r="C62" s="1883"/>
      <c r="D62" s="998">
        <f t="shared" si="12"/>
        <v>0</v>
      </c>
      <c r="E62" s="699"/>
      <c r="F62" s="1671"/>
      <c r="G62" s="996"/>
      <c r="H62" s="999" t="str">
        <f t="shared" si="13"/>
        <v>——</v>
      </c>
      <c r="I62" s="3064">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9">
      <c r="A63" s="3066" t="s">
        <v>3267</v>
      </c>
      <c r="B63" s="1258">
        <f>估价对象房地状况!C19</f>
        <v>0</v>
      </c>
      <c r="C63" s="1883"/>
      <c r="D63" s="998">
        <f t="shared" si="12"/>
        <v>0</v>
      </c>
      <c r="E63" s="699"/>
      <c r="F63" s="1671"/>
      <c r="G63" s="996"/>
      <c r="H63" s="999" t="str">
        <f t="shared" si="13"/>
        <v>——</v>
      </c>
      <c r="I63" s="3064">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9">
      <c r="A64" s="1966" t="s">
        <v>2052</v>
      </c>
      <c r="B64" s="1970" t="s">
        <v>2053</v>
      </c>
      <c r="C64" s="1883"/>
      <c r="D64" s="998">
        <f t="shared" si="12"/>
        <v>0</v>
      </c>
      <c r="E64" s="699"/>
      <c r="F64" s="1671"/>
      <c r="G64" s="996"/>
      <c r="H64" s="999" t="str">
        <f t="shared" si="13"/>
        <v>——</v>
      </c>
      <c r="I64" s="3064">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6">
      <c r="A65" s="1966" t="s">
        <v>2054</v>
      </c>
      <c r="B65" s="1258" t="str">
        <f>估价对象房地状况!C24</f>
        <v>主干道-工人体育场路</v>
      </c>
      <c r="C65" s="1883"/>
      <c r="D65" s="998">
        <f t="shared" si="12"/>
        <v>0</v>
      </c>
      <c r="E65" s="699"/>
      <c r="F65" s="1671"/>
      <c r="G65" s="996"/>
      <c r="H65" s="999" t="str">
        <f t="shared" si="13"/>
        <v>——</v>
      </c>
      <c r="I65" s="3064">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6">
      <c r="A66" s="1966" t="s">
        <v>2055</v>
      </c>
      <c r="B66" s="1971" t="s">
        <v>2056</v>
      </c>
      <c r="C66" s="1883"/>
      <c r="D66" s="998">
        <f t="shared" si="12"/>
        <v>0</v>
      </c>
      <c r="E66" s="699"/>
      <c r="F66" s="1671"/>
      <c r="G66" s="996"/>
      <c r="H66" s="999" t="str">
        <f t="shared" si="13"/>
        <v>——</v>
      </c>
      <c r="I66" s="3064">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6">
      <c r="A67" s="1966" t="s">
        <v>2057</v>
      </c>
      <c r="B67" s="1236" t="str">
        <f>估价对象房地状况!C21</f>
        <v>估价对象所在区域公共配套设施齐备情况较好</v>
      </c>
      <c r="C67" s="1883"/>
      <c r="D67" s="998">
        <f t="shared" si="12"/>
        <v>0</v>
      </c>
      <c r="E67" s="699"/>
      <c r="F67" s="1671"/>
      <c r="G67" s="996"/>
      <c r="H67" s="999" t="str">
        <f t="shared" si="13"/>
        <v>——</v>
      </c>
      <c r="I67" s="3064">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6">
      <c r="A68" s="1966" t="s">
        <v>2058</v>
      </c>
      <c r="B68" s="1236" t="str">
        <f>估价对象房地状况!C22</f>
        <v>估价对象所在区域基础设施水平</v>
      </c>
      <c r="C68" s="1883"/>
      <c r="D68" s="998">
        <f t="shared" si="12"/>
        <v>0</v>
      </c>
      <c r="E68" s="699"/>
      <c r="F68" s="1671"/>
      <c r="G68" s="996"/>
      <c r="H68" s="999" t="str">
        <f t="shared" si="13"/>
        <v>——</v>
      </c>
      <c r="I68" s="3064">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6.5" thickBot="1">
      <c r="A69" s="1973" t="s">
        <v>2059</v>
      </c>
      <c r="B69" s="1975" t="str">
        <f>估价对象房地状况!C20</f>
        <v>区域自然环境：；人文环境；综合评价环境状况较好</v>
      </c>
      <c r="C69" s="1883"/>
      <c r="D69" s="998">
        <f t="shared" si="12"/>
        <v>0</v>
      </c>
      <c r="E69" s="700"/>
      <c r="F69" s="1671"/>
      <c r="G69" s="996"/>
      <c r="H69" s="999" t="str">
        <f t="shared" si="13"/>
        <v>——</v>
      </c>
      <c r="I69" s="3065">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4">
      <c r="A70" s="1963" t="s">
        <v>2063</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6">
      <c r="A71" s="1966" t="s">
        <v>2042</v>
      </c>
      <c r="B71" s="1258"/>
      <c r="C71" s="1258" t="s">
        <v>2044</v>
      </c>
      <c r="D71" s="1258" t="s">
        <v>2045</v>
      </c>
      <c r="E71" s="697" t="s">
        <v>2046</v>
      </c>
      <c r="F71" s="1967" t="s">
        <v>2061</v>
      </c>
      <c r="G71" s="1258" t="s">
        <v>310</v>
      </c>
      <c r="H71" s="1968" t="s">
        <v>2048</v>
      </c>
      <c r="I71" s="1258" t="s">
        <v>2049</v>
      </c>
      <c r="J71" s="530" t="s">
        <v>1719</v>
      </c>
      <c r="K71" s="530" t="s">
        <v>1720</v>
      </c>
      <c r="L71" s="530" t="s">
        <v>1721</v>
      </c>
      <c r="M71" s="530" t="s">
        <v>1722</v>
      </c>
      <c r="N71" s="530" t="s">
        <v>1723</v>
      </c>
      <c r="AA71" s="1053"/>
      <c r="AB71" s="1053"/>
      <c r="AC71" s="1053"/>
      <c r="AD71" s="1053"/>
      <c r="AE71" s="1053"/>
      <c r="AF71" s="1053"/>
      <c r="AG71" s="1053"/>
      <c r="AH71" s="1053"/>
      <c r="AI71" s="1053"/>
      <c r="AJ71" s="1053"/>
      <c r="AK71" s="1053"/>
    </row>
    <row r="72" spans="1:37" s="1052" customFormat="1" ht="26">
      <c r="A72" s="1966" t="s">
        <v>2064</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4">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50">
      <c r="A73" s="1966" t="s">
        <v>2051</v>
      </c>
      <c r="B73" s="1258" t="str">
        <f>估价对象房地状况!C18</f>
        <v>估价对象周边道路状况、公共交通通达情况、停车便捷程度，综合评价交通便捷度较好</v>
      </c>
      <c r="C73" s="1883"/>
      <c r="D73" s="998">
        <f t="shared" si="17"/>
        <v>0</v>
      </c>
      <c r="E73" s="701"/>
      <c r="F73" s="1671"/>
      <c r="G73" s="996"/>
      <c r="H73" s="999" t="str">
        <f t="shared" si="18"/>
        <v>——</v>
      </c>
      <c r="I73" s="3064">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39">
      <c r="A74" s="3066" t="s">
        <v>3267</v>
      </c>
      <c r="B74" s="1258">
        <f>估价对象房地状况!C19</f>
        <v>0</v>
      </c>
      <c r="C74" s="1883"/>
      <c r="D74" s="998">
        <f t="shared" si="17"/>
        <v>0</v>
      </c>
      <c r="E74" s="701"/>
      <c r="F74" s="1671"/>
      <c r="G74" s="996"/>
      <c r="H74" s="999" t="str">
        <f t="shared" si="18"/>
        <v>——</v>
      </c>
      <c r="I74" s="3064">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4">
      <c r="A75" s="1966" t="s">
        <v>2065</v>
      </c>
      <c r="B75" s="1258" t="str">
        <f>估价对象房地状况!C24</f>
        <v>主干道-工人体育场路</v>
      </c>
      <c r="C75" s="1883"/>
      <c r="D75" s="998">
        <f t="shared" si="17"/>
        <v>0</v>
      </c>
      <c r="E75" s="701"/>
      <c r="F75" s="1671"/>
      <c r="G75" s="996"/>
      <c r="H75" s="999" t="str">
        <f t="shared" si="18"/>
        <v>——</v>
      </c>
      <c r="I75" s="3064">
        <v>0.05</v>
      </c>
      <c r="J75" s="997">
        <f t="shared" si="19"/>
        <v>0</v>
      </c>
      <c r="K75" s="997">
        <f t="shared" si="20"/>
        <v>0</v>
      </c>
      <c r="L75" s="997">
        <v>0</v>
      </c>
      <c r="M75" s="997">
        <f t="shared" si="21"/>
        <v>0</v>
      </c>
      <c r="N75" s="997">
        <f t="shared" si="21"/>
        <v>0</v>
      </c>
      <c r="O75" s="1052"/>
      <c r="P75" s="1052"/>
      <c r="Q75" s="1840"/>
      <c r="Z75" s="1841"/>
      <c r="AA75" s="1891"/>
      <c r="AG75" s="1054"/>
      <c r="AK75" s="1891"/>
    </row>
    <row r="76" spans="1:37" ht="26">
      <c r="A76" s="1966" t="s">
        <v>2057</v>
      </c>
      <c r="B76" s="1236" t="str">
        <f>估价对象房地状况!C21</f>
        <v>估价对象所在区域公共配套设施齐备情况较好</v>
      </c>
      <c r="C76" s="1883"/>
      <c r="D76" s="998">
        <f t="shared" si="17"/>
        <v>0</v>
      </c>
      <c r="E76" s="701"/>
      <c r="F76" s="1671"/>
      <c r="G76" s="996"/>
      <c r="H76" s="999" t="str">
        <f t="shared" si="18"/>
        <v>——</v>
      </c>
      <c r="I76" s="3064">
        <v>0.08</v>
      </c>
      <c r="J76" s="997">
        <f t="shared" si="19"/>
        <v>0</v>
      </c>
      <c r="K76" s="997">
        <f t="shared" si="20"/>
        <v>0</v>
      </c>
      <c r="L76" s="997">
        <v>0</v>
      </c>
      <c r="M76" s="997">
        <f t="shared" si="21"/>
        <v>0</v>
      </c>
      <c r="N76" s="997">
        <f t="shared" si="21"/>
        <v>0</v>
      </c>
      <c r="O76" s="1052"/>
      <c r="P76" s="1052"/>
      <c r="Z76" s="1841"/>
      <c r="AA76" s="1891"/>
      <c r="AG76" s="1054"/>
      <c r="AK76" s="1891"/>
    </row>
    <row r="77" spans="1:37" ht="26">
      <c r="A77" s="1966" t="s">
        <v>2058</v>
      </c>
      <c r="B77" s="1236" t="str">
        <f>估价对象房地状况!C22</f>
        <v>估价对象所在区域基础设施水平</v>
      </c>
      <c r="C77" s="1883"/>
      <c r="D77" s="998">
        <f t="shared" si="17"/>
        <v>0</v>
      </c>
      <c r="E77" s="701"/>
      <c r="F77" s="1671"/>
      <c r="G77" s="996"/>
      <c r="H77" s="999" t="str">
        <f t="shared" si="18"/>
        <v>——</v>
      </c>
      <c r="I77" s="3064">
        <v>0.09</v>
      </c>
      <c r="J77" s="997">
        <f t="shared" si="19"/>
        <v>0</v>
      </c>
      <c r="K77" s="997">
        <f t="shared" si="20"/>
        <v>0</v>
      </c>
      <c r="L77" s="997">
        <v>0</v>
      </c>
      <c r="M77" s="997">
        <f t="shared" si="21"/>
        <v>0</v>
      </c>
      <c r="N77" s="997">
        <f t="shared" si="21"/>
        <v>0</v>
      </c>
      <c r="O77" s="1052"/>
      <c r="P77" s="1052"/>
      <c r="Z77" s="1841"/>
      <c r="AA77" s="1891"/>
      <c r="AG77" s="1054"/>
      <c r="AK77" s="1891"/>
    </row>
    <row r="78" spans="1:37" ht="26">
      <c r="A78" s="1966" t="s">
        <v>2055</v>
      </c>
      <c r="B78" s="1971" t="s">
        <v>2056</v>
      </c>
      <c r="C78" s="1883"/>
      <c r="D78" s="998">
        <f t="shared" si="17"/>
        <v>0</v>
      </c>
      <c r="E78" s="701"/>
      <c r="F78" s="1671"/>
      <c r="G78" s="996"/>
      <c r="H78" s="999" t="str">
        <f t="shared" si="18"/>
        <v>——</v>
      </c>
      <c r="I78" s="3064">
        <v>0.05</v>
      </c>
      <c r="J78" s="997">
        <f t="shared" si="19"/>
        <v>0</v>
      </c>
      <c r="K78" s="997">
        <f t="shared" si="20"/>
        <v>0</v>
      </c>
      <c r="L78" s="997">
        <v>0</v>
      </c>
      <c r="M78" s="997">
        <f t="shared" si="21"/>
        <v>0</v>
      </c>
      <c r="N78" s="997">
        <f t="shared" si="21"/>
        <v>0</v>
      </c>
      <c r="O78" s="1840"/>
      <c r="P78" s="1840"/>
      <c r="Z78" s="1841"/>
      <c r="AA78" s="1891"/>
      <c r="AG78" s="1054"/>
      <c r="AK78" s="1891"/>
    </row>
    <row r="79" spans="1:37" ht="26">
      <c r="A79" s="1966" t="s">
        <v>2059</v>
      </c>
      <c r="B79" s="1969" t="str">
        <f>估价对象房地状况!C20</f>
        <v>区域自然环境：；人文环境；综合评价环境状况较好</v>
      </c>
      <c r="C79" s="1883"/>
      <c r="D79" s="998">
        <f t="shared" si="17"/>
        <v>0</v>
      </c>
      <c r="E79" s="701"/>
      <c r="F79" s="1671"/>
      <c r="G79" s="996"/>
      <c r="H79" s="999" t="str">
        <f t="shared" si="18"/>
        <v>——</v>
      </c>
      <c r="I79" s="3064">
        <v>0.12</v>
      </c>
      <c r="J79" s="997">
        <f t="shared" si="19"/>
        <v>0</v>
      </c>
      <c r="K79" s="997">
        <f t="shared" si="20"/>
        <v>0</v>
      </c>
      <c r="L79" s="997">
        <v>0</v>
      </c>
      <c r="M79" s="997">
        <f t="shared" si="21"/>
        <v>0</v>
      </c>
      <c r="N79" s="997">
        <f t="shared" si="21"/>
        <v>0</v>
      </c>
      <c r="Z79" s="1841"/>
      <c r="AA79" s="1891"/>
      <c r="AG79" s="1054"/>
      <c r="AK79" s="1891"/>
    </row>
    <row r="80" spans="1:37" ht="26.5" thickBot="1">
      <c r="A80" s="1973" t="s">
        <v>2066</v>
      </c>
      <c r="B80" s="1977"/>
      <c r="C80" s="1883"/>
      <c r="D80" s="998">
        <f t="shared" si="17"/>
        <v>0</v>
      </c>
      <c r="E80" s="702"/>
      <c r="F80" s="1671"/>
      <c r="G80" s="996"/>
      <c r="H80" s="999" t="str">
        <f t="shared" si="18"/>
        <v>——</v>
      </c>
      <c r="I80" s="3065">
        <v>0.05</v>
      </c>
      <c r="J80" s="997">
        <f t="shared" si="19"/>
        <v>0</v>
      </c>
      <c r="K80" s="997">
        <f t="shared" si="20"/>
        <v>0</v>
      </c>
      <c r="L80" s="997">
        <v>0</v>
      </c>
      <c r="M80" s="997">
        <f t="shared" si="21"/>
        <v>0</v>
      </c>
      <c r="N80" s="997">
        <f t="shared" si="21"/>
        <v>0</v>
      </c>
      <c r="Z80" s="1841"/>
      <c r="AA80" s="1891"/>
      <c r="AG80" s="1054"/>
      <c r="AK80" s="1891"/>
    </row>
    <row r="81" spans="1:37" ht="14">
      <c r="A81" s="1963" t="s">
        <v>2067</v>
      </c>
      <c r="B81" s="1964">
        <f>1+E83</f>
        <v>1</v>
      </c>
      <c r="C81" s="695"/>
      <c r="D81" s="695"/>
      <c r="E81" s="696"/>
      <c r="F81" s="1965"/>
      <c r="G81" s="3"/>
      <c r="H81" s="3"/>
      <c r="I81" s="3"/>
      <c r="J81" s="4"/>
      <c r="K81" s="4"/>
      <c r="L81" s="4"/>
      <c r="M81" s="4"/>
      <c r="N81" s="4"/>
      <c r="Z81" s="1841"/>
      <c r="AA81" s="1891"/>
      <c r="AG81" s="1054"/>
      <c r="AK81" s="1891"/>
    </row>
    <row r="82" spans="1:37" ht="26">
      <c r="A82" s="1966" t="s">
        <v>2042</v>
      </c>
      <c r="B82" s="1258"/>
      <c r="C82" s="1258" t="s">
        <v>2044</v>
      </c>
      <c r="D82" s="1258" t="s">
        <v>2045</v>
      </c>
      <c r="E82" s="697" t="s">
        <v>2046</v>
      </c>
      <c r="F82" s="1967" t="s">
        <v>2061</v>
      </c>
      <c r="G82" s="1258" t="s">
        <v>310</v>
      </c>
      <c r="H82" s="1968" t="s">
        <v>2048</v>
      </c>
      <c r="I82" s="1258" t="s">
        <v>2049</v>
      </c>
      <c r="J82" s="530" t="s">
        <v>1719</v>
      </c>
      <c r="K82" s="530" t="s">
        <v>1720</v>
      </c>
      <c r="L82" s="530" t="s">
        <v>1721</v>
      </c>
      <c r="M82" s="530" t="s">
        <v>1722</v>
      </c>
      <c r="N82" s="530" t="s">
        <v>1723</v>
      </c>
      <c r="Z82" s="1841"/>
      <c r="AA82" s="1891"/>
      <c r="AG82" s="1054"/>
      <c r="AK82" s="1891"/>
    </row>
    <row r="83" spans="1:37" ht="37.5">
      <c r="A83" s="1966" t="s">
        <v>2068</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4">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0">
      <c r="A84" s="1966" t="s">
        <v>2051</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4">
        <v>0.3</v>
      </c>
      <c r="J84" s="997">
        <f t="shared" si="24"/>
        <v>0</v>
      </c>
      <c r="K84" s="997">
        <f t="shared" si="25"/>
        <v>0</v>
      </c>
      <c r="L84" s="997">
        <v>0</v>
      </c>
      <c r="M84" s="997">
        <f t="shared" si="26"/>
        <v>0</v>
      </c>
      <c r="N84" s="997">
        <f t="shared" si="26"/>
        <v>0</v>
      </c>
      <c r="Z84" s="1841"/>
      <c r="AA84" s="1891"/>
      <c r="AG84" s="1054"/>
      <c r="AK84" s="1891"/>
    </row>
    <row r="85" spans="1:37" ht="39">
      <c r="A85" s="3066" t="s">
        <v>3268</v>
      </c>
      <c r="B85" s="1258">
        <f>估价对象房地状况!G17</f>
        <v>0</v>
      </c>
      <c r="C85" s="1883"/>
      <c r="D85" s="998">
        <f t="shared" si="22"/>
        <v>0</v>
      </c>
      <c r="E85" s="701"/>
      <c r="F85" s="1671"/>
      <c r="G85" s="996"/>
      <c r="H85" s="999" t="str">
        <f t="shared" si="23"/>
        <v>——</v>
      </c>
      <c r="I85" s="3064">
        <v>0.1</v>
      </c>
      <c r="J85" s="997">
        <f t="shared" si="24"/>
        <v>0</v>
      </c>
      <c r="K85" s="997">
        <f t="shared" si="25"/>
        <v>0</v>
      </c>
      <c r="L85" s="997">
        <v>0</v>
      </c>
      <c r="M85" s="997">
        <f t="shared" si="26"/>
        <v>0</v>
      </c>
      <c r="N85" s="997">
        <f t="shared" si="26"/>
        <v>0</v>
      </c>
      <c r="Z85" s="1841"/>
      <c r="AA85" s="1891"/>
      <c r="AG85" s="1054"/>
      <c r="AK85" s="1891"/>
    </row>
    <row r="86" spans="1:37" ht="14">
      <c r="A86" s="1966" t="s">
        <v>2065</v>
      </c>
      <c r="B86" s="1258">
        <f>估价对象房地状况!G22</f>
        <v>0</v>
      </c>
      <c r="C86" s="1883"/>
      <c r="D86" s="998">
        <f t="shared" si="22"/>
        <v>0</v>
      </c>
      <c r="E86" s="701"/>
      <c r="F86" s="1671"/>
      <c r="G86" s="996"/>
      <c r="H86" s="999" t="str">
        <f t="shared" si="23"/>
        <v>——</v>
      </c>
      <c r="I86" s="3064">
        <v>0.05</v>
      </c>
      <c r="J86" s="997">
        <f t="shared" si="24"/>
        <v>0</v>
      </c>
      <c r="K86" s="997">
        <f t="shared" si="25"/>
        <v>0</v>
      </c>
      <c r="L86" s="997">
        <v>0</v>
      </c>
      <c r="M86" s="997">
        <f t="shared" si="26"/>
        <v>0</v>
      </c>
      <c r="N86" s="997">
        <f t="shared" si="26"/>
        <v>0</v>
      </c>
      <c r="Z86" s="1841"/>
      <c r="AA86" s="1891"/>
      <c r="AG86" s="1054"/>
      <c r="AK86" s="1891"/>
    </row>
    <row r="87" spans="1:37" ht="26">
      <c r="A87" s="1966" t="s">
        <v>2057</v>
      </c>
      <c r="B87" s="1236" t="str">
        <f>估价对象房地状况!G19</f>
        <v>估价对象所在区域公共配套设施齐备情况</v>
      </c>
      <c r="C87" s="1883"/>
      <c r="D87" s="998">
        <f t="shared" si="22"/>
        <v>0</v>
      </c>
      <c r="E87" s="701"/>
      <c r="F87" s="1671"/>
      <c r="G87" s="996"/>
      <c r="H87" s="999" t="str">
        <f t="shared" si="23"/>
        <v>——</v>
      </c>
      <c r="I87" s="3064">
        <v>0.06</v>
      </c>
      <c r="J87" s="997">
        <f t="shared" si="24"/>
        <v>0</v>
      </c>
      <c r="K87" s="997">
        <f t="shared" si="25"/>
        <v>0</v>
      </c>
      <c r="L87" s="997">
        <v>0</v>
      </c>
      <c r="M87" s="997">
        <f t="shared" si="26"/>
        <v>0</v>
      </c>
      <c r="N87" s="997">
        <f t="shared" si="26"/>
        <v>0</v>
      </c>
    </row>
    <row r="88" spans="1:37" ht="26">
      <c r="A88" s="1966" t="s">
        <v>2058</v>
      </c>
      <c r="B88" s="1236" t="str">
        <f>估价对象房地状况!G20</f>
        <v>估价对象所在区域基础设施水平</v>
      </c>
      <c r="C88" s="1883"/>
      <c r="D88" s="998">
        <f t="shared" si="22"/>
        <v>0</v>
      </c>
      <c r="E88" s="701"/>
      <c r="F88" s="1671"/>
      <c r="G88" s="996"/>
      <c r="H88" s="999" t="str">
        <f t="shared" si="23"/>
        <v>——</v>
      </c>
      <c r="I88" s="3064">
        <v>0.12</v>
      </c>
      <c r="J88" s="997">
        <f t="shared" si="24"/>
        <v>0</v>
      </c>
      <c r="K88" s="997">
        <f t="shared" si="25"/>
        <v>0</v>
      </c>
      <c r="L88" s="997">
        <v>0</v>
      </c>
      <c r="M88" s="997">
        <f t="shared" si="26"/>
        <v>0</v>
      </c>
      <c r="N88" s="997">
        <f t="shared" si="26"/>
        <v>0</v>
      </c>
    </row>
    <row r="89" spans="1:37" ht="26">
      <c r="A89" s="1966" t="s">
        <v>2055</v>
      </c>
      <c r="B89" s="1971" t="s">
        <v>2069</v>
      </c>
      <c r="C89" s="1883"/>
      <c r="D89" s="998">
        <f t="shared" si="22"/>
        <v>0</v>
      </c>
      <c r="E89" s="701"/>
      <c r="F89" s="1671"/>
      <c r="G89" s="996"/>
      <c r="H89" s="999" t="str">
        <f t="shared" si="23"/>
        <v>——</v>
      </c>
      <c r="I89" s="3064">
        <v>0.06</v>
      </c>
      <c r="J89" s="997">
        <f t="shared" si="24"/>
        <v>0</v>
      </c>
      <c r="K89" s="997">
        <f t="shared" si="25"/>
        <v>0</v>
      </c>
      <c r="L89" s="997">
        <v>0</v>
      </c>
      <c r="M89" s="997">
        <f t="shared" si="26"/>
        <v>0</v>
      </c>
      <c r="N89" s="997">
        <f t="shared" si="26"/>
        <v>0</v>
      </c>
    </row>
    <row r="90" spans="1:37" ht="38" thickBot="1">
      <c r="A90" s="1973" t="s">
        <v>2070</v>
      </c>
      <c r="B90" s="1978" t="str">
        <f>估价对象房地状况!G18</f>
        <v>该园区内是否有污染型企业，绿化情况，卫生条件，整体环境状况判断</v>
      </c>
      <c r="C90" s="1883"/>
      <c r="D90" s="998">
        <f t="shared" si="22"/>
        <v>0</v>
      </c>
      <c r="E90" s="702"/>
      <c r="F90" s="1671"/>
      <c r="G90" s="996"/>
      <c r="H90" s="999" t="str">
        <f t="shared" si="23"/>
        <v>——</v>
      </c>
      <c r="I90" s="3065">
        <v>0.05</v>
      </c>
      <c r="J90" s="997">
        <f t="shared" si="24"/>
        <v>0</v>
      </c>
      <c r="K90" s="997">
        <f t="shared" si="25"/>
        <v>0</v>
      </c>
      <c r="L90" s="997">
        <v>0</v>
      </c>
      <c r="M90" s="997">
        <f t="shared" si="26"/>
        <v>0</v>
      </c>
      <c r="N90" s="997">
        <f t="shared" si="26"/>
        <v>0</v>
      </c>
    </row>
    <row r="91" spans="1:37" ht="14">
      <c r="A91" s="3074" t="s">
        <v>2610</v>
      </c>
      <c r="B91" s="3075">
        <f>1+E93</f>
        <v>1</v>
      </c>
      <c r="C91" s="3068"/>
      <c r="D91" s="3069"/>
      <c r="E91" s="1671"/>
      <c r="F91" s="1671"/>
      <c r="G91" s="3070"/>
      <c r="H91" s="3071"/>
      <c r="I91" s="3072"/>
      <c r="J91" s="3073"/>
      <c r="K91" s="3073"/>
      <c r="L91" s="3073"/>
      <c r="M91" s="3073"/>
      <c r="N91" s="3073"/>
    </row>
    <row r="92" spans="1:37" ht="26">
      <c r="A92" s="3076" t="s">
        <v>3269</v>
      </c>
      <c r="B92" s="2306"/>
      <c r="C92" s="2306" t="s">
        <v>3278</v>
      </c>
      <c r="D92" s="2306" t="s">
        <v>3279</v>
      </c>
      <c r="E92" s="3048" t="s">
        <v>3280</v>
      </c>
      <c r="F92" s="3078" t="s">
        <v>3281</v>
      </c>
      <c r="G92" s="2306" t="s">
        <v>3282</v>
      </c>
      <c r="H92" s="3085" t="s">
        <v>3285</v>
      </c>
      <c r="I92" s="2306" t="s">
        <v>3286</v>
      </c>
      <c r="J92" s="2146" t="s">
        <v>3287</v>
      </c>
      <c r="K92" s="2146" t="s">
        <v>3288</v>
      </c>
      <c r="L92" s="2146" t="s">
        <v>3289</v>
      </c>
      <c r="M92" s="2146" t="s">
        <v>3290</v>
      </c>
      <c r="N92" s="2146" t="s">
        <v>3291</v>
      </c>
    </row>
    <row r="93" spans="1:37" ht="26">
      <c r="A93" s="3066" t="s">
        <v>3270</v>
      </c>
      <c r="B93" s="1217"/>
      <c r="C93" s="1883"/>
      <c r="D93" s="2306">
        <f>SUMIF($J$92:$N$92,C93,J93:N93)</f>
        <v>0</v>
      </c>
      <c r="E93" s="3079">
        <f>ROUND(SUM(D93:D101),4)</f>
        <v>0</v>
      </c>
      <c r="F93" s="1671"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50">
      <c r="A94" s="3076" t="s">
        <v>3271</v>
      </c>
      <c r="B94" s="3067" t="str">
        <f>估价对象房地状况!C18</f>
        <v>估价对象周边道路状况、公共交通通达情况、停车便捷程度，综合评价交通便捷度较好</v>
      </c>
      <c r="C94" s="1883"/>
      <c r="D94" s="2306">
        <f t="shared" ref="D94:D101" si="30">SUMIF($J$60:$N$60,C94,J94:N94)</f>
        <v>0</v>
      </c>
      <c r="E94" s="3080"/>
      <c r="F94" s="1671"/>
      <c r="G94" s="3070"/>
      <c r="H94" s="3115" t="str">
        <f>IFERROR(ROUNDDOWN($F$93*I94/2,4),"——")</f>
        <v>——</v>
      </c>
      <c r="I94" s="3064">
        <v>0.26</v>
      </c>
      <c r="J94" s="1908">
        <f t="shared" si="27"/>
        <v>0</v>
      </c>
      <c r="K94" s="1908">
        <f t="shared" si="28"/>
        <v>0</v>
      </c>
      <c r="L94" s="1908">
        <v>0</v>
      </c>
      <c r="M94" s="1908">
        <f t="shared" si="29"/>
        <v>0</v>
      </c>
      <c r="N94" s="1908">
        <f t="shared" si="29"/>
        <v>0</v>
      </c>
    </row>
    <row r="95" spans="1:37" ht="39">
      <c r="A95" s="3066" t="s">
        <v>3267</v>
      </c>
      <c r="B95" s="3067">
        <f>估价对象房地状况!C19</f>
        <v>0</v>
      </c>
      <c r="C95" s="1883"/>
      <c r="D95" s="2306">
        <f t="shared" si="30"/>
        <v>0</v>
      </c>
      <c r="E95" s="3080"/>
      <c r="F95" s="1671"/>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9">
      <c r="A96" s="3076" t="s">
        <v>3272</v>
      </c>
      <c r="B96" s="3082" t="s">
        <v>3283</v>
      </c>
      <c r="C96" s="1883"/>
      <c r="D96" s="2306">
        <f t="shared" si="30"/>
        <v>0</v>
      </c>
      <c r="E96" s="3080"/>
      <c r="F96" s="1671"/>
      <c r="G96" s="3070"/>
      <c r="H96" s="3115" t="str">
        <f t="shared" si="31"/>
        <v>——</v>
      </c>
      <c r="I96" s="3064">
        <v>0.05</v>
      </c>
      <c r="J96" s="1908">
        <f t="shared" si="27"/>
        <v>0</v>
      </c>
      <c r="K96" s="1908">
        <f t="shared" si="28"/>
        <v>0</v>
      </c>
      <c r="L96" s="1908">
        <v>0</v>
      </c>
      <c r="M96" s="1908">
        <f t="shared" si="29"/>
        <v>0</v>
      </c>
      <c r="N96" s="1908">
        <f t="shared" si="29"/>
        <v>0</v>
      </c>
    </row>
    <row r="97" spans="1:14" ht="26">
      <c r="A97" s="3076" t="s">
        <v>3273</v>
      </c>
      <c r="B97" s="3067" t="str">
        <f>估价对象房地状况!C24</f>
        <v>主干道-工人体育场路</v>
      </c>
      <c r="C97" s="1883"/>
      <c r="D97" s="2306">
        <f t="shared" si="30"/>
        <v>0</v>
      </c>
      <c r="E97" s="3080"/>
      <c r="F97" s="1671"/>
      <c r="G97" s="3070"/>
      <c r="H97" s="3115" t="str">
        <f t="shared" si="31"/>
        <v>——</v>
      </c>
      <c r="I97" s="3064">
        <v>0.05</v>
      </c>
      <c r="J97" s="1908">
        <f t="shared" si="27"/>
        <v>0</v>
      </c>
      <c r="K97" s="1908">
        <f t="shared" si="28"/>
        <v>0</v>
      </c>
      <c r="L97" s="1908">
        <v>0</v>
      </c>
      <c r="M97" s="1908">
        <f t="shared" si="29"/>
        <v>0</v>
      </c>
      <c r="N97" s="1908">
        <f t="shared" si="29"/>
        <v>0</v>
      </c>
    </row>
    <row r="98" spans="1:14" ht="26">
      <c r="A98" s="3076" t="s">
        <v>3274</v>
      </c>
      <c r="B98" s="3083" t="s">
        <v>3284</v>
      </c>
      <c r="C98" s="1883"/>
      <c r="D98" s="2306">
        <f t="shared" si="30"/>
        <v>0</v>
      </c>
      <c r="E98" s="3080"/>
      <c r="F98" s="1671"/>
      <c r="G98" s="3070"/>
      <c r="H98" s="3115" t="str">
        <f t="shared" si="31"/>
        <v>——</v>
      </c>
      <c r="I98" s="3064">
        <v>0.06</v>
      </c>
      <c r="J98" s="1908">
        <f t="shared" si="27"/>
        <v>0</v>
      </c>
      <c r="K98" s="1908">
        <f t="shared" si="28"/>
        <v>0</v>
      </c>
      <c r="L98" s="1908">
        <v>0</v>
      </c>
      <c r="M98" s="1908">
        <f t="shared" si="29"/>
        <v>0</v>
      </c>
      <c r="N98" s="1908">
        <f t="shared" si="29"/>
        <v>0</v>
      </c>
    </row>
    <row r="99" spans="1:14" ht="26">
      <c r="A99" s="3076" t="s">
        <v>3275</v>
      </c>
      <c r="B99" s="3067" t="str">
        <f>估价对象房地状况!C21</f>
        <v>估价对象所在区域公共配套设施齐备情况较好</v>
      </c>
      <c r="C99" s="1883"/>
      <c r="D99" s="2306">
        <f t="shared" si="30"/>
        <v>0</v>
      </c>
      <c r="E99" s="3080"/>
      <c r="F99" s="1671"/>
      <c r="G99" s="3070"/>
      <c r="H99" s="3115" t="str">
        <f t="shared" si="31"/>
        <v>——</v>
      </c>
      <c r="I99" s="3064">
        <v>0.06</v>
      </c>
      <c r="J99" s="1908">
        <f t="shared" si="27"/>
        <v>0</v>
      </c>
      <c r="K99" s="1908">
        <f t="shared" si="28"/>
        <v>0</v>
      </c>
      <c r="L99" s="1908">
        <v>0</v>
      </c>
      <c r="M99" s="1908">
        <f t="shared" si="29"/>
        <v>0</v>
      </c>
      <c r="N99" s="1908">
        <f t="shared" si="29"/>
        <v>0</v>
      </c>
    </row>
    <row r="100" spans="1:14" ht="26">
      <c r="A100" s="3076" t="s">
        <v>3276</v>
      </c>
      <c r="B100" s="3067" t="str">
        <f>估价对象房地状况!C22</f>
        <v>估价对象所在区域基础设施水平</v>
      </c>
      <c r="C100" s="1883"/>
      <c r="D100" s="2306">
        <f t="shared" si="30"/>
        <v>0</v>
      </c>
      <c r="E100" s="3080"/>
      <c r="F100" s="1671"/>
      <c r="G100" s="3070"/>
      <c r="H100" s="3115" t="str">
        <f t="shared" si="31"/>
        <v>——</v>
      </c>
      <c r="I100" s="3064">
        <v>0.09</v>
      </c>
      <c r="J100" s="1908">
        <f t="shared" si="27"/>
        <v>0</v>
      </c>
      <c r="K100" s="1908">
        <f t="shared" si="28"/>
        <v>0</v>
      </c>
      <c r="L100" s="1908">
        <v>0</v>
      </c>
      <c r="M100" s="1908">
        <f t="shared" si="29"/>
        <v>0</v>
      </c>
      <c r="N100" s="1908">
        <f t="shared" si="29"/>
        <v>0</v>
      </c>
    </row>
    <row r="101" spans="1:14" ht="26.5" thickBot="1">
      <c r="A101" s="3077" t="s">
        <v>3277</v>
      </c>
      <c r="B101" s="3084" t="str">
        <f>估价对象房地状况!C20</f>
        <v>区域自然环境：；人文环境；综合评价环境状况较好</v>
      </c>
      <c r="C101" s="1883"/>
      <c r="D101" s="2306">
        <f t="shared" si="30"/>
        <v>0</v>
      </c>
      <c r="E101" s="3081"/>
      <c r="F101" s="1671"/>
      <c r="G101" s="3070"/>
      <c r="H101" s="3115" t="str">
        <f t="shared" si="31"/>
        <v>——</v>
      </c>
      <c r="I101" s="3065">
        <v>7.0000000000000007E-2</v>
      </c>
      <c r="J101" s="1908">
        <f t="shared" si="27"/>
        <v>0</v>
      </c>
      <c r="K101" s="1908">
        <f t="shared" si="28"/>
        <v>0</v>
      </c>
      <c r="L101" s="1908">
        <v>0</v>
      </c>
      <c r="M101" s="1908">
        <f t="shared" si="29"/>
        <v>0</v>
      </c>
      <c r="N101" s="1908">
        <f t="shared" si="29"/>
        <v>0</v>
      </c>
    </row>
    <row r="103" spans="1:14" ht="13">
      <c r="A103" s="3394" t="s">
        <v>3292</v>
      </c>
      <c r="B103" s="3394"/>
      <c r="C103" s="3394"/>
      <c r="D103" s="3394"/>
      <c r="E103" s="3394"/>
      <c r="F103" s="3394"/>
      <c r="G103" s="3394"/>
      <c r="H103" s="3394"/>
      <c r="I103" s="3394"/>
      <c r="J103" s="3394"/>
      <c r="K103" s="1663"/>
      <c r="L103" s="1663"/>
      <c r="M103" s="1663"/>
      <c r="N103" s="1663"/>
    </row>
    <row r="104" spans="1:14" ht="13">
      <c r="A104" s="3395" t="s">
        <v>3293</v>
      </c>
      <c r="B104" s="3395" t="s">
        <v>3294</v>
      </c>
      <c r="C104" s="3086" t="s">
        <v>3295</v>
      </c>
      <c r="D104" s="3087"/>
      <c r="E104" s="3087"/>
      <c r="F104" s="3087"/>
      <c r="G104" s="3087"/>
      <c r="H104" s="3087"/>
      <c r="I104" s="3087"/>
      <c r="J104" s="3088"/>
      <c r="K104" s="3089"/>
      <c r="L104" s="3089"/>
      <c r="M104" s="3089"/>
      <c r="N104" s="3089"/>
    </row>
    <row r="105" spans="1:14" ht="13">
      <c r="A105" s="3395"/>
      <c r="B105" s="3395"/>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381"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8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8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8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8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ht="13">
      <c r="A111" s="3382"/>
      <c r="B111" s="3090" t="s">
        <v>3266</v>
      </c>
      <c r="C111" s="3091">
        <f>$I$3</f>
        <v>1</v>
      </c>
      <c r="D111" s="3091">
        <f t="shared" ref="D111:M111" si="32">$I$3</f>
        <v>1</v>
      </c>
      <c r="E111" s="3091">
        <f t="shared" si="32"/>
        <v>1</v>
      </c>
      <c r="F111" s="3091">
        <f t="shared" si="32"/>
        <v>1</v>
      </c>
      <c r="G111" s="3091">
        <f t="shared" si="32"/>
        <v>1</v>
      </c>
      <c r="H111" s="3091">
        <f t="shared" si="32"/>
        <v>1</v>
      </c>
      <c r="I111" s="3091">
        <f t="shared" si="32"/>
        <v>1</v>
      </c>
      <c r="J111" s="3091">
        <f t="shared" si="32"/>
        <v>1</v>
      </c>
      <c r="K111" s="3091">
        <f t="shared" si="32"/>
        <v>1</v>
      </c>
      <c r="L111" s="3091">
        <f t="shared" si="32"/>
        <v>1</v>
      </c>
      <c r="M111" s="3091">
        <f t="shared" si="32"/>
        <v>1</v>
      </c>
      <c r="N111" s="3091">
        <f>$I$3</f>
        <v>1</v>
      </c>
    </row>
    <row r="112" spans="1:14">
      <c r="A112" s="3383"/>
      <c r="B112" s="3090">
        <v>6</v>
      </c>
      <c r="C112" s="3085">
        <f>(-0.5556*(C111^2)-0.2719*C111+8944)*(10^(-4))</f>
        <v>0.89431725000000006</v>
      </c>
      <c r="D112" s="3085">
        <f>(-0.5556*(D111^2)-0.2719*D111+8944)*(10^(-4))</f>
        <v>0.89431725000000006</v>
      </c>
      <c r="E112" s="3085">
        <f>(-0.7912*(E111^2)-11.3794*E111+8482)*(10^(-4))</f>
        <v>0.84698294000000007</v>
      </c>
      <c r="F112" s="3085">
        <f t="shared" ref="F112:I112" si="33">(-0.7912*(F111^2)-11.3794*F111+8482)*(10^(-4))</f>
        <v>0.84698294000000007</v>
      </c>
      <c r="G112" s="3085">
        <f t="shared" si="33"/>
        <v>0.84698294000000007</v>
      </c>
      <c r="H112" s="3085">
        <f t="shared" si="33"/>
        <v>0.84698294000000007</v>
      </c>
      <c r="I112" s="3085">
        <f t="shared" si="33"/>
        <v>0.84698294000000007</v>
      </c>
      <c r="J112" s="3085">
        <f>(-0.989*(J111^2)-63.78*J111+7771)*(10^(-4))</f>
        <v>0.77062310000000001</v>
      </c>
      <c r="K112" s="3085">
        <f t="shared" ref="K112:N112" si="34">(-0.989*(K111^2)-63.78*K111+7771)*(10^(-4))</f>
        <v>0.77062310000000001</v>
      </c>
      <c r="L112" s="3085">
        <f t="shared" si="34"/>
        <v>0.77062310000000001</v>
      </c>
      <c r="M112" s="3085">
        <f t="shared" si="34"/>
        <v>0.77062310000000001</v>
      </c>
      <c r="N112" s="3085">
        <f t="shared" si="34"/>
        <v>0.77062310000000001</v>
      </c>
    </row>
    <row r="113" spans="1:14" ht="13">
      <c r="A113" s="3384" t="s">
        <v>3309</v>
      </c>
      <c r="B113" s="3384"/>
      <c r="C113" s="3384"/>
      <c r="D113" s="3384"/>
      <c r="E113" s="3384"/>
      <c r="F113" s="3384"/>
      <c r="G113" s="3384"/>
      <c r="H113" s="3384"/>
      <c r="I113" s="3384"/>
      <c r="J113" s="3384"/>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 thickBot="1">
      <c r="A115" s="3093"/>
      <c r="B115" s="3093"/>
      <c r="C115" s="3093"/>
      <c r="D115" s="3093"/>
      <c r="E115" s="3093"/>
      <c r="F115" s="3093"/>
      <c r="G115" s="3093"/>
      <c r="H115" s="3093"/>
      <c r="I115" s="3093"/>
      <c r="J115" s="3093"/>
      <c r="K115" s="1960"/>
      <c r="L115" s="3093"/>
      <c r="M115" s="3093"/>
      <c r="N115" s="3093"/>
    </row>
    <row r="116" spans="1:14" ht="26" thickBot="1">
      <c r="A116" s="3094" t="s">
        <v>3310</v>
      </c>
      <c r="B116" s="3110">
        <f>G3</f>
        <v>2.5</v>
      </c>
      <c r="C116" s="3095" t="s">
        <v>3311</v>
      </c>
      <c r="D116" s="3096">
        <f>SUMPRODUCT((A118:A122=F116)*(B117:M117=H116)*B118:M122)</f>
        <v>0.96930000000000005</v>
      </c>
      <c r="E116" s="162" t="s">
        <v>3312</v>
      </c>
      <c r="F116" s="3097" t="str">
        <f>E2</f>
        <v>商业</v>
      </c>
      <c r="G116" s="162" t="s">
        <v>3313</v>
      </c>
      <c r="H116" s="3097" t="str">
        <f>G2</f>
        <v>一级</v>
      </c>
      <c r="I116" s="162"/>
      <c r="J116" s="3098"/>
      <c r="K116" s="3098"/>
      <c r="L116" s="3098"/>
      <c r="M116" s="3098"/>
      <c r="N116" s="3093"/>
    </row>
    <row r="117" spans="1:14" ht="13">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ht="13">
      <c r="A118" s="3053" t="s">
        <v>3326</v>
      </c>
      <c r="B118" s="3085">
        <f>ROUND(0.9968-0.011*B116,4)</f>
        <v>0.96930000000000005</v>
      </c>
      <c r="C118" s="3085">
        <f>B118</f>
        <v>0.96930000000000005</v>
      </c>
      <c r="D118" s="3085">
        <f>ROUND(0.949-0.014*B116,4)</f>
        <v>0.91400000000000003</v>
      </c>
      <c r="E118" s="3085">
        <f>D118</f>
        <v>0.91400000000000003</v>
      </c>
      <c r="F118" s="3085">
        <f>E118</f>
        <v>0.91400000000000003</v>
      </c>
      <c r="G118" s="3085">
        <f>F118</f>
        <v>0.91400000000000003</v>
      </c>
      <c r="H118" s="3085">
        <f>G118</f>
        <v>0.91400000000000003</v>
      </c>
      <c r="I118" s="3085">
        <f>ROUND(0.8486-0.018*B116,4)</f>
        <v>0.80359999999999998</v>
      </c>
      <c r="J118" s="3085">
        <f t="shared" ref="J118:M122" si="35">I118</f>
        <v>0.80359999999999998</v>
      </c>
      <c r="K118" s="3085">
        <f t="shared" si="35"/>
        <v>0.80359999999999998</v>
      </c>
      <c r="L118" s="3085">
        <f t="shared" si="35"/>
        <v>0.80359999999999998</v>
      </c>
      <c r="M118" s="3105">
        <f t="shared" si="35"/>
        <v>0.80359999999999998</v>
      </c>
      <c r="N118" s="3093"/>
    </row>
    <row r="119" spans="1:14" ht="13">
      <c r="A119" s="3053" t="s">
        <v>3327</v>
      </c>
      <c r="B119" s="3085">
        <f>ROUND(0.993-0.0112*B116,4)</f>
        <v>0.96499999999999997</v>
      </c>
      <c r="C119" s="3085">
        <f>B119</f>
        <v>0.96499999999999997</v>
      </c>
      <c r="D119" s="3085">
        <f>ROUND(0.9415-0.0142*B116,4)</f>
        <v>0.90600000000000003</v>
      </c>
      <c r="E119" s="3085">
        <f t="shared" ref="E119:H120" si="36">D119</f>
        <v>0.90600000000000003</v>
      </c>
      <c r="F119" s="3085">
        <f t="shared" si="36"/>
        <v>0.90600000000000003</v>
      </c>
      <c r="G119" s="3085">
        <f t="shared" si="36"/>
        <v>0.90600000000000003</v>
      </c>
      <c r="H119" s="3085">
        <f t="shared" si="36"/>
        <v>0.90600000000000003</v>
      </c>
      <c r="I119" s="3085">
        <f>ROUND(0.838-0.0182*B116,4)</f>
        <v>0.79249999999999998</v>
      </c>
      <c r="J119" s="3085">
        <f t="shared" si="35"/>
        <v>0.79249999999999998</v>
      </c>
      <c r="K119" s="3085">
        <f t="shared" si="35"/>
        <v>0.79249999999999998</v>
      </c>
      <c r="L119" s="3085">
        <f t="shared" si="35"/>
        <v>0.79249999999999998</v>
      </c>
      <c r="M119" s="3105">
        <f t="shared" si="35"/>
        <v>0.79249999999999998</v>
      </c>
      <c r="N119" s="3093"/>
    </row>
    <row r="120" spans="1:14" ht="13">
      <c r="A120" s="3053" t="s">
        <v>3328</v>
      </c>
      <c r="B120" s="3085">
        <f>ROUND(0.9448-0.0115*B116,4)</f>
        <v>0.91610000000000003</v>
      </c>
      <c r="C120" s="3085">
        <f>B120</f>
        <v>0.91610000000000003</v>
      </c>
      <c r="D120" s="3085">
        <f>ROUND(0.937-0.0145*B116,4)</f>
        <v>0.90080000000000005</v>
      </c>
      <c r="E120" s="3085">
        <f t="shared" si="36"/>
        <v>0.90080000000000005</v>
      </c>
      <c r="F120" s="3085">
        <f t="shared" si="36"/>
        <v>0.90080000000000005</v>
      </c>
      <c r="G120" s="3085">
        <f t="shared" si="36"/>
        <v>0.90080000000000005</v>
      </c>
      <c r="H120" s="3085">
        <f t="shared" si="36"/>
        <v>0.90080000000000005</v>
      </c>
      <c r="I120" s="3085">
        <f>ROUND(0.7965-0.0185*B116,4)</f>
        <v>0.75029999999999997</v>
      </c>
      <c r="J120" s="3085">
        <f t="shared" si="35"/>
        <v>0.75029999999999997</v>
      </c>
      <c r="K120" s="3085">
        <f t="shared" si="35"/>
        <v>0.75029999999999997</v>
      </c>
      <c r="L120" s="3085">
        <f t="shared" si="35"/>
        <v>0.75029999999999997</v>
      </c>
      <c r="M120" s="3105">
        <f t="shared" si="35"/>
        <v>0.75029999999999997</v>
      </c>
      <c r="N120" s="3093"/>
    </row>
    <row r="121" spans="1:14" ht="13.5" thickBot="1">
      <c r="A121" s="3106" t="s">
        <v>3329</v>
      </c>
      <c r="B121" s="3107">
        <f>ROUND(0.7836-0.012*B116,4)</f>
        <v>0.75360000000000005</v>
      </c>
      <c r="C121" s="3107">
        <f>B121</f>
        <v>0.75360000000000005</v>
      </c>
      <c r="D121" s="3107">
        <f>ROUND(0.753-0.015*B116,4)</f>
        <v>0.71550000000000002</v>
      </c>
      <c r="E121" s="3107">
        <f>D121</f>
        <v>0.71550000000000002</v>
      </c>
      <c r="F121" s="3107">
        <f>E121</f>
        <v>0.71550000000000002</v>
      </c>
      <c r="G121" s="3107">
        <f>ROUND(0.6612-0.018*B116,4)</f>
        <v>0.61619999999999997</v>
      </c>
      <c r="H121" s="3107">
        <f>G121</f>
        <v>0.61619999999999997</v>
      </c>
      <c r="I121" s="3107">
        <f>ROUND(0.5905-0.019*B116,4)</f>
        <v>0.54300000000000004</v>
      </c>
      <c r="J121" s="3107">
        <f t="shared" si="35"/>
        <v>0.54300000000000004</v>
      </c>
      <c r="K121" s="3107">
        <f t="shared" si="35"/>
        <v>0.54300000000000004</v>
      </c>
      <c r="L121" s="3107">
        <f t="shared" si="35"/>
        <v>0.54300000000000004</v>
      </c>
      <c r="M121" s="3108">
        <f t="shared" si="35"/>
        <v>0.54300000000000004</v>
      </c>
      <c r="N121" s="3093"/>
    </row>
    <row r="122" spans="1:14" ht="13">
      <c r="A122" s="3109" t="s">
        <v>2610</v>
      </c>
      <c r="B122" s="3085">
        <f>ROUND(0.9404-0.0106*B116,4)</f>
        <v>0.91390000000000005</v>
      </c>
      <c r="C122" s="3085">
        <f>B122</f>
        <v>0.91390000000000005</v>
      </c>
      <c r="D122" s="3085">
        <f>ROUND(0.8955-0.0135*B116,4)</f>
        <v>0.86180000000000001</v>
      </c>
      <c r="E122" s="3085">
        <f t="shared" ref="E122:H122" si="37">D122</f>
        <v>0.86180000000000001</v>
      </c>
      <c r="F122" s="3085">
        <f t="shared" si="37"/>
        <v>0.86180000000000001</v>
      </c>
      <c r="G122" s="3085">
        <f t="shared" si="37"/>
        <v>0.86180000000000001</v>
      </c>
      <c r="H122" s="3085">
        <f t="shared" si="37"/>
        <v>0.86180000000000001</v>
      </c>
      <c r="I122" s="3085">
        <f>ROUND(0.7632-0.0166*B116,4)</f>
        <v>0.72170000000000001</v>
      </c>
      <c r="J122" s="3085">
        <f t="shared" si="35"/>
        <v>0.72170000000000001</v>
      </c>
      <c r="K122" s="3085">
        <f t="shared" si="35"/>
        <v>0.72170000000000001</v>
      </c>
      <c r="L122" s="3085">
        <f t="shared" si="35"/>
        <v>0.72170000000000001</v>
      </c>
      <c r="M122" s="3105">
        <f t="shared" si="35"/>
        <v>0.72170000000000001</v>
      </c>
      <c r="N122" s="3093"/>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P21"/>
  <sheetViews>
    <sheetView view="pageBreakPreview" zoomScaleNormal="100" zoomScaleSheetLayoutView="100" workbookViewId="0">
      <selection activeCell="A17" sqref="A17"/>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1" t="s">
        <v>2079</v>
      </c>
      <c r="B1" s="4"/>
      <c r="C1" s="4"/>
      <c r="D1" s="4"/>
      <c r="E1" s="4"/>
      <c r="F1" s="2540"/>
      <c r="G1" s="2540"/>
      <c r="H1" s="2540"/>
      <c r="I1" s="2540"/>
      <c r="J1" s="2540"/>
      <c r="K1" s="2540"/>
      <c r="L1" s="2540"/>
      <c r="M1" s="2540"/>
      <c r="N1" s="2540"/>
      <c r="O1" s="2540"/>
      <c r="P1" s="2540"/>
    </row>
    <row r="2" spans="1:16" ht="15.5">
      <c r="A2" s="1980" t="s">
        <v>2071</v>
      </c>
      <c r="B2" s="2384">
        <f ca="1">SUMIF(B6:B13,"&lt;&gt;#ref!",B6:B13)</f>
        <v>30580</v>
      </c>
      <c r="C2" s="1980" t="s">
        <v>2072</v>
      </c>
      <c r="D2" s="1980" t="s">
        <v>2073</v>
      </c>
      <c r="E2" s="2394">
        <f ca="1">SUMIF(E6:E13,"&lt;&gt;#ref!",E6:E13)</f>
        <v>20633.450000000128</v>
      </c>
      <c r="F2" s="2540"/>
      <c r="G2" s="2540"/>
      <c r="H2" s="2540"/>
      <c r="I2" s="2540"/>
      <c r="J2" s="2540"/>
      <c r="K2" s="2540"/>
      <c r="L2" s="2540"/>
      <c r="M2" s="2540"/>
      <c r="N2" s="2540"/>
      <c r="O2" s="2540"/>
      <c r="P2" s="2540"/>
    </row>
    <row r="3" spans="1:16" ht="15.5">
      <c r="A3" s="1980" t="s">
        <v>2074</v>
      </c>
      <c r="B3" s="2384">
        <f ca="1">ROUND(B2*10000/E2,0)</f>
        <v>14821</v>
      </c>
      <c r="C3" s="1980" t="s">
        <v>2080</v>
      </c>
      <c r="D3" s="2540"/>
      <c r="E3" s="2540"/>
      <c r="F3" s="2540"/>
      <c r="G3" s="2540"/>
      <c r="H3" s="2540"/>
      <c r="I3" s="2540"/>
      <c r="J3" s="2540"/>
      <c r="K3" s="2540"/>
      <c r="L3" s="2540"/>
      <c r="M3" s="2540"/>
      <c r="N3" s="2540"/>
      <c r="O3" s="2540"/>
      <c r="P3" s="2540"/>
    </row>
    <row r="4" spans="1:16" ht="15.5">
      <c r="A4" s="2552"/>
      <c r="B4" s="2540"/>
      <c r="C4" s="2540"/>
      <c r="D4" s="2540"/>
      <c r="E4" s="2540"/>
      <c r="F4" s="2540"/>
      <c r="G4" s="2540"/>
      <c r="H4" s="2540"/>
      <c r="I4" s="2540"/>
      <c r="J4" s="2540"/>
      <c r="K4" s="2540"/>
      <c r="L4" s="2540"/>
      <c r="M4" s="2540"/>
      <c r="N4" s="2540"/>
      <c r="O4" s="2540"/>
      <c r="P4" s="2540"/>
    </row>
    <row r="5" spans="1:16" ht="30">
      <c r="A5" s="2390" t="s">
        <v>2075</v>
      </c>
      <c r="B5" s="2392" t="s">
        <v>2076</v>
      </c>
      <c r="C5" s="1981"/>
      <c r="D5" s="2540"/>
      <c r="E5" s="2393" t="s">
        <v>2077</v>
      </c>
      <c r="F5" s="2540"/>
      <c r="G5" s="2540"/>
      <c r="H5" s="2540"/>
      <c r="I5" s="2540"/>
      <c r="J5" s="2540"/>
      <c r="K5" s="2540"/>
      <c r="L5" s="2540"/>
      <c r="M5" s="2540"/>
      <c r="N5" s="2540"/>
      <c r="O5" s="2540"/>
      <c r="P5" s="2540"/>
    </row>
    <row r="6" spans="1:16" ht="15.5">
      <c r="A6" s="2391" t="s">
        <v>2078</v>
      </c>
      <c r="B6" s="2384">
        <f ca="1">SUMIF(INDIRECT("'"&amp;A6&amp;"'"&amp;"!A:A"),"总价",INDIRECT("'"&amp;A6&amp;"'"&amp;"!B:B"))</f>
        <v>30580</v>
      </c>
      <c r="C6" s="1980" t="s">
        <v>2072</v>
      </c>
      <c r="D6" s="2540"/>
      <c r="E6" s="2394">
        <f ca="1">SUMIF(INDIRECT("'"&amp;A6&amp;"'"&amp;"!C:C"),"建筑面积",INDIRECT("'"&amp;A6&amp;"'"&amp;"!D:D"))</f>
        <v>20633.450000000128</v>
      </c>
      <c r="F6" s="2540"/>
      <c r="G6" s="2540"/>
      <c r="H6" s="2540"/>
      <c r="I6" s="2540"/>
      <c r="J6" s="2540"/>
      <c r="K6" s="2540"/>
      <c r="L6" s="2540"/>
      <c r="M6" s="2540"/>
      <c r="N6" s="2540"/>
      <c r="O6" s="2540"/>
      <c r="P6" s="2540"/>
    </row>
    <row r="7" spans="1:16" ht="15.5">
      <c r="A7" s="2391" t="s">
        <v>3437</v>
      </c>
      <c r="B7" s="2384" t="e">
        <f ca="1">SUMIF(INDIRECT("'"&amp;A7&amp;"'"&amp;"!A:A"),"总价",INDIRECT("'"&amp;A7&amp;"'"&amp;"!B:B"))</f>
        <v>#REF!</v>
      </c>
      <c r="C7" s="1980" t="s">
        <v>2072</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5">
      <c r="A8" s="2391"/>
      <c r="B8" s="2384" t="e">
        <f t="shared" ref="B8:B13" ca="1" si="1">SUMIF(INDIRECT("'"&amp;A8&amp;"'"&amp;"!A:A"),"总价",INDIRECT("'"&amp;A8&amp;"'"&amp;"!B:B"))</f>
        <v>#REF!</v>
      </c>
      <c r="C8" s="1980" t="s">
        <v>2072</v>
      </c>
      <c r="D8" s="2540"/>
      <c r="E8" s="2394" t="e">
        <f t="shared" ca="1" si="0"/>
        <v>#REF!</v>
      </c>
      <c r="F8" s="2540"/>
      <c r="G8" s="2540"/>
      <c r="H8" s="2540"/>
      <c r="I8" s="2540"/>
      <c r="J8" s="2540"/>
      <c r="K8" s="2540"/>
      <c r="L8" s="2540"/>
      <c r="M8" s="2540"/>
      <c r="N8" s="2540"/>
      <c r="O8" s="2540"/>
      <c r="P8" s="2540"/>
    </row>
    <row r="9" spans="1:16" ht="15.5">
      <c r="A9" s="2391"/>
      <c r="B9" s="2384" t="e">
        <f t="shared" ca="1" si="1"/>
        <v>#REF!</v>
      </c>
      <c r="C9" s="1980" t="s">
        <v>2072</v>
      </c>
      <c r="D9" s="2540"/>
      <c r="E9" s="2394" t="e">
        <f t="shared" ca="1" si="0"/>
        <v>#REF!</v>
      </c>
      <c r="F9" s="2540"/>
      <c r="G9" s="2540"/>
      <c r="H9" s="2540"/>
      <c r="I9" s="2540"/>
      <c r="J9" s="2540"/>
      <c r="K9" s="2540"/>
      <c r="L9" s="2540"/>
      <c r="M9" s="2540"/>
      <c r="N9" s="2540"/>
      <c r="O9" s="2540"/>
      <c r="P9" s="2540"/>
    </row>
    <row r="10" spans="1:16" ht="15.5">
      <c r="A10" s="2391"/>
      <c r="B10" s="2384" t="e">
        <f t="shared" ca="1" si="1"/>
        <v>#REF!</v>
      </c>
      <c r="C10" s="1980" t="s">
        <v>2072</v>
      </c>
      <c r="D10" s="2540"/>
      <c r="E10" s="2394" t="e">
        <f t="shared" ca="1" si="0"/>
        <v>#REF!</v>
      </c>
      <c r="F10" s="2540"/>
      <c r="G10" s="2540"/>
      <c r="H10" s="2540"/>
      <c r="I10" s="2540"/>
      <c r="J10" s="2540"/>
      <c r="K10" s="2540"/>
      <c r="L10" s="2540"/>
      <c r="M10" s="2540"/>
      <c r="N10" s="2540"/>
      <c r="O10" s="2540"/>
      <c r="P10" s="2540"/>
    </row>
    <row r="11" spans="1:16" ht="15.5">
      <c r="A11" s="2391"/>
      <c r="B11" s="2384" t="e">
        <f t="shared" ca="1" si="1"/>
        <v>#REF!</v>
      </c>
      <c r="C11" s="1980" t="s">
        <v>2072</v>
      </c>
      <c r="D11" s="2540"/>
      <c r="E11" s="2394" t="e">
        <f t="shared" ca="1" si="0"/>
        <v>#REF!</v>
      </c>
      <c r="F11" s="2540"/>
      <c r="G11" s="2540"/>
      <c r="H11" s="2540"/>
      <c r="I11" s="2540"/>
      <c r="J11" s="2540"/>
      <c r="K11" s="2540"/>
      <c r="L11" s="2540"/>
      <c r="M11" s="2540"/>
      <c r="N11" s="2540"/>
      <c r="O11" s="2540"/>
      <c r="P11" s="2540"/>
    </row>
    <row r="12" spans="1:16" ht="15.5">
      <c r="A12" s="2391"/>
      <c r="B12" s="2384" t="e">
        <f t="shared" ca="1" si="1"/>
        <v>#REF!</v>
      </c>
      <c r="C12" s="1980" t="s">
        <v>2072</v>
      </c>
      <c r="D12" s="2540"/>
      <c r="E12" s="2394" t="e">
        <f t="shared" ca="1" si="0"/>
        <v>#REF!</v>
      </c>
      <c r="F12" s="2540"/>
      <c r="G12" s="2540"/>
      <c r="H12" s="2540"/>
      <c r="I12" s="2540"/>
      <c r="J12" s="2540"/>
      <c r="K12" s="2540"/>
      <c r="L12" s="2540"/>
      <c r="M12" s="2540"/>
      <c r="N12" s="2540"/>
      <c r="O12" s="2540"/>
      <c r="P12" s="2540"/>
    </row>
    <row r="13" spans="1:16" ht="15.5">
      <c r="A13" s="2391"/>
      <c r="B13" s="2384" t="e">
        <f t="shared" ca="1" si="1"/>
        <v>#REF!</v>
      </c>
      <c r="C13" s="1980" t="s">
        <v>2072</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5" type="noConversion"/>
  <dataValidations count="1">
    <dataValidation type="list" allowBlank="1" showInputMessage="1" showErrorMessage="1" sqref="A6:A13" xr:uid="{00000000-0002-0000-16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topLeftCell="A43" zoomScaleNormal="70" zoomScaleSheetLayoutView="100" workbookViewId="0">
      <selection activeCell="C7" sqref="C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1459</v>
      </c>
      <c r="B1" s="1370"/>
      <c r="C1" s="190"/>
      <c r="D1" s="190"/>
      <c r="E1" s="190"/>
      <c r="F1" s="190"/>
      <c r="G1" s="1058">
        <f>MATCH(B1,'数据-取费表'!A6:A16,0)+5</f>
        <v>8</v>
      </c>
    </row>
    <row r="2" spans="1:9" s="192" customFormat="1" ht="18" customHeight="1">
      <c r="A2" s="193" t="s">
        <v>1460</v>
      </c>
      <c r="B2" s="194">
        <f ca="1">IF(D2="——",C52,C52-E2)</f>
        <v>67354</v>
      </c>
      <c r="C2" s="191" t="s">
        <v>1461</v>
      </c>
      <c r="D2" s="1707" t="s">
        <v>43</v>
      </c>
      <c r="E2" s="1085" t="e">
        <f ca="1">SUMIF(INDIRECT("'"&amp;G2&amp;"'"&amp;"!A:A"),"承租人权益价值",INDIRECT("'"&amp;G2&amp;"'"&amp;"!c:c"))</f>
        <v>#REF!</v>
      </c>
      <c r="F2" s="1708" t="s">
        <v>1461</v>
      </c>
      <c r="G2" s="1709"/>
    </row>
    <row r="3" spans="1:9" s="192" customFormat="1" ht="18" customHeight="1" thickBot="1">
      <c r="A3" s="195" t="s">
        <v>1462</v>
      </c>
      <c r="B3" s="196">
        <f ca="1">ROUND(B2*10000/(IF(B1="",'数据-汇总表'!E3,INDIRECT("'数据-取费表'!k"&amp;$G$1))),0)</f>
        <v>25022</v>
      </c>
      <c r="C3" s="191" t="s">
        <v>1463</v>
      </c>
      <c r="D3" s="191"/>
      <c r="E3" s="191"/>
      <c r="F3" s="191"/>
      <c r="G3" s="191"/>
    </row>
    <row r="4" spans="1:9" s="200" customFormat="1" ht="16">
      <c r="A4" s="197" t="s">
        <v>1464</v>
      </c>
      <c r="B4" s="198"/>
      <c r="C4" s="198"/>
      <c r="D4" s="198"/>
      <c r="E4" s="198"/>
      <c r="F4" s="198"/>
      <c r="G4" s="199"/>
    </row>
    <row r="5" spans="1:9" s="206" customFormat="1" ht="13.5" customHeight="1">
      <c r="A5" s="247" t="s">
        <v>1465</v>
      </c>
      <c r="B5" s="202" t="s">
        <v>1466</v>
      </c>
      <c r="C5" s="203">
        <f>C6+C7+C8</f>
        <v>32075</v>
      </c>
      <c r="D5" s="203" t="s">
        <v>1467</v>
      </c>
      <c r="E5" s="204" t="s">
        <v>1468</v>
      </c>
      <c r="F5" s="204" t="s">
        <v>1469</v>
      </c>
      <c r="G5" s="205"/>
    </row>
    <row r="6" spans="1:9" s="206" customFormat="1" ht="13.5" customHeight="1">
      <c r="A6" s="728" t="s">
        <v>1470</v>
      </c>
      <c r="B6" s="207" t="s">
        <v>1471</v>
      </c>
      <c r="C6" s="208">
        <f>基准地价修正!B2</f>
        <v>30580</v>
      </c>
      <c r="D6" s="209"/>
      <c r="E6" s="210"/>
      <c r="F6" s="210"/>
      <c r="G6" s="211"/>
    </row>
    <row r="7" spans="1:9" s="206" customFormat="1" ht="13.5" customHeight="1">
      <c r="A7" s="728" t="s">
        <v>1472</v>
      </c>
      <c r="B7" s="207" t="s">
        <v>1473</v>
      </c>
      <c r="C7" s="212">
        <f>ROUND(C6*F7,0)</f>
        <v>933</v>
      </c>
      <c r="D7" s="212"/>
      <c r="E7" s="210"/>
      <c r="F7" s="213">
        <f>IF(项目基本情况!B8="出让",0,'数据-取费表'!B48+'数据-取费表'!B49)</f>
        <v>3.0499999999999999E-2</v>
      </c>
      <c r="G7" s="211"/>
    </row>
    <row r="8" spans="1:9" s="215" customFormat="1" ht="13">
      <c r="A8" s="728" t="s">
        <v>1474</v>
      </c>
      <c r="B8" s="207" t="s">
        <v>1475</v>
      </c>
      <c r="C8" s="212">
        <f>IF(G8="已包含在土地购买价格中","0",IF(B1="",'数据-取费表'!B29,IF(G9="全部缴纳",C9+C10,H9)))</f>
        <v>562</v>
      </c>
      <c r="D8" s="214"/>
      <c r="E8" s="212"/>
      <c r="F8" s="213"/>
      <c r="G8" s="1710" t="s">
        <v>3440</v>
      </c>
    </row>
    <row r="9" spans="1:9" s="206" customFormat="1" ht="13.5" customHeight="1">
      <c r="A9" s="729" t="s">
        <v>355</v>
      </c>
      <c r="B9" s="216" t="s">
        <v>1476</v>
      </c>
      <c r="C9" s="217">
        <f ca="1">ROUND(D9*E9/10000,0)</f>
        <v>0</v>
      </c>
      <c r="D9" s="791">
        <f ca="1">IF(B1="",'数据-汇总表'!E5,IF(INDIRECT("'数据-取费表'!c"&amp;$G$1)="住宅",INDIRECT("'数据-取费表'!k"&amp;$G$1),0))</f>
        <v>0</v>
      </c>
      <c r="E9" s="217">
        <f>'数据-取费表'!B27</f>
        <v>160</v>
      </c>
      <c r="F9" s="213"/>
      <c r="G9" s="1711" t="s">
        <v>3441</v>
      </c>
      <c r="H9" s="1066"/>
      <c r="I9" s="1712" t="s">
        <v>1477</v>
      </c>
    </row>
    <row r="10" spans="1:9" s="206" customFormat="1" ht="13.5" customHeight="1">
      <c r="A10" s="729" t="s">
        <v>356</v>
      </c>
      <c r="B10" s="216" t="s">
        <v>1478</v>
      </c>
      <c r="C10" s="217">
        <f ca="1">ROUND(D10*E10/10000,0)</f>
        <v>538</v>
      </c>
      <c r="D10" s="791">
        <f ca="1">IF(B1="",'数据-汇总表'!E6,IF(INDIRECT("'数据-取费表'!c"&amp;$G$1)="住宅",INDIRECT("'数据-取费表'!s"&amp;$G$1),INDIRECT("'数据-取费表'!k"&amp;$G$1)+INDIRECT("'数据-取费表'!s"&amp;$G$1)))</f>
        <v>26917.520000000128</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3167" t="str">
        <f>IF(G19="已包含在土地取得成本中","0",ROUND(D19*E19/10000,0))</f>
        <v>0</v>
      </c>
      <c r="D19" s="204">
        <f ca="1">D9+D10</f>
        <v>26917.520000000128</v>
      </c>
      <c r="E19" s="203">
        <f>'数据-取费表'!B31</f>
        <v>200</v>
      </c>
      <c r="F19" s="223"/>
      <c r="G19" s="1710" t="s">
        <v>3442</v>
      </c>
    </row>
    <row r="20" spans="1:7" s="206" customFormat="1" ht="13.5" customHeight="1">
      <c r="A20" s="247" t="s">
        <v>1491</v>
      </c>
      <c r="B20" s="202" t="s">
        <v>1492</v>
      </c>
      <c r="C20" s="224">
        <f>ROUND((C5+C19)*F20,0)</f>
        <v>962</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37">
        <f ca="1">ROUND(SUM(C23:C25),0)</f>
        <v>3486</v>
      </c>
      <c r="D22" s="227">
        <f ca="1">C26</f>
        <v>1.6000000000000001E-3</v>
      </c>
      <c r="E22" s="228" t="s">
        <v>1496</v>
      </c>
      <c r="F22" s="229">
        <f ca="1">'数据-取费表'!B40</f>
        <v>3.4500000000000003E-2</v>
      </c>
      <c r="G22" s="226" t="str">
        <f>IF('数据-取费表'!B22&lt;=1,"单利计息","复利计息")</f>
        <v>复利计息</v>
      </c>
    </row>
    <row r="23" spans="1:7" s="206" customFormat="1" ht="13.5" customHeight="1">
      <c r="A23" s="730" t="s">
        <v>1500</v>
      </c>
      <c r="B23" s="207" t="s">
        <v>1501</v>
      </c>
      <c r="C23" s="1038">
        <f ca="1">ROUND(IF('数据-取费表'!B22&lt;=1,C5*F22*'数据-取费表'!B23,C5*(POWER((1+F22),'数据-取费表'!B23)-1)),0)</f>
        <v>3436</v>
      </c>
      <c r="D23" s="230"/>
      <c r="E23" s="230"/>
      <c r="F23" s="231"/>
      <c r="G23" s="232" t="s">
        <v>1502</v>
      </c>
    </row>
    <row r="24" spans="1:7" s="206" customFormat="1" ht="13.5" customHeight="1">
      <c r="A24" s="730" t="s">
        <v>1503</v>
      </c>
      <c r="B24" s="207" t="s">
        <v>1504</v>
      </c>
      <c r="C24" s="1038">
        <f ca="1">ROUND(IF('数据-取费表'!B22&lt;=1,C19*F22*('数据-取费表'!B19/2+'数据-取费表'!B21),C19*(POWER((1+F22),('数据-取费表'!B19/2+'数据-取费表'!B21))-1)),0)</f>
        <v>0</v>
      </c>
      <c r="D24" s="230"/>
      <c r="E24" s="230"/>
      <c r="F24" s="231"/>
      <c r="G24" s="232" t="s">
        <v>1505</v>
      </c>
    </row>
    <row r="25" spans="1:7" s="206" customFormat="1" ht="26">
      <c r="A25" s="730" t="s">
        <v>1506</v>
      </c>
      <c r="B25" s="207" t="s">
        <v>1507</v>
      </c>
      <c r="C25" s="1038">
        <f ca="1">ROUND(IF('数据-取费表'!B22&lt;=1,C20*F22*'数据-取费表'!B23/2,C20*(POWER((1+F22),'数据-取费表'!B23/2)-1)),0)</f>
        <v>50</v>
      </c>
      <c r="D25" s="230"/>
      <c r="E25" s="233"/>
      <c r="F25" s="231"/>
      <c r="G25" s="234" t="s">
        <v>1508</v>
      </c>
    </row>
    <row r="26" spans="1:7" s="206" customFormat="1" ht="13">
      <c r="A26" s="730" t="s">
        <v>350</v>
      </c>
      <c r="B26" s="207" t="s">
        <v>1509</v>
      </c>
      <c r="C26" s="230">
        <f ca="1">ROUND(IF('数据-取费表'!B22&lt;=1,F21*F22*'数据-取费表'!B23/2,F21*(POWER((1+F22),'数据-取费表'!B23/2)-1)),4)</f>
        <v>1.6000000000000001E-3</v>
      </c>
      <c r="D26" s="230"/>
      <c r="E26" s="233"/>
      <c r="F26" s="231"/>
      <c r="G26" s="235"/>
    </row>
    <row r="27" spans="1:7" s="206" customFormat="1" ht="27">
      <c r="A27" s="247" t="s">
        <v>1510</v>
      </c>
      <c r="B27" s="236" t="s">
        <v>1511</v>
      </c>
      <c r="C27" s="237">
        <f ca="1">C28</f>
        <v>5616</v>
      </c>
      <c r="D27" s="227">
        <f ca="1">C29</f>
        <v>5.1000000000000004E-3</v>
      </c>
      <c r="E27" s="228" t="s">
        <v>1512</v>
      </c>
      <c r="F27" s="238">
        <f ca="1">IF(B1="",'数据-取费表'!Q16,INDIRECT("'数据-取费表'!q"&amp;$G$1))</f>
        <v>0.17</v>
      </c>
      <c r="G27" s="239" t="s">
        <v>1513</v>
      </c>
    </row>
    <row r="28" spans="1:7" s="206" customFormat="1" ht="13.5" customHeight="1">
      <c r="A28" s="730" t="s">
        <v>346</v>
      </c>
      <c r="B28" s="240" t="s">
        <v>1514</v>
      </c>
      <c r="C28" s="241">
        <f ca="1">ROUND((C5+C19+C20)*F27*'数据-取费表'!B21/'数据-取费表'!B20,0)</f>
        <v>5616</v>
      </c>
      <c r="D28" s="227"/>
      <c r="E28" s="228"/>
      <c r="F28" s="238"/>
      <c r="G28" s="239"/>
    </row>
    <row r="29" spans="1:7" s="206" customFormat="1" ht="13.5" customHeight="1">
      <c r="A29" s="730" t="s">
        <v>347</v>
      </c>
      <c r="B29" s="240" t="s">
        <v>1515</v>
      </c>
      <c r="C29" s="230">
        <f ca="1">ROUND(C21*F27*'数据-取费表'!B21/'数据-取费表'!B20,4)</f>
        <v>5.1000000000000004E-3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46307</v>
      </c>
      <c r="D31" s="222"/>
      <c r="E31" s="203"/>
      <c r="F31" s="242"/>
      <c r="G31" s="226" t="s">
        <v>1520</v>
      </c>
    </row>
    <row r="32" spans="1:7" s="200" customFormat="1" ht="16">
      <c r="A32" s="244" t="s">
        <v>1521</v>
      </c>
      <c r="B32" s="245"/>
      <c r="C32" s="245"/>
      <c r="D32" s="245"/>
      <c r="E32" s="245"/>
      <c r="F32" s="245"/>
      <c r="G32" s="246"/>
    </row>
    <row r="33" spans="1:7" s="206" customFormat="1" ht="13.5" customHeight="1">
      <c r="A33" s="247" t="s">
        <v>337</v>
      </c>
      <c r="B33" s="202" t="s">
        <v>1522</v>
      </c>
      <c r="C33" s="248">
        <f ca="1">SUM(C34:C38)</f>
        <v>19259</v>
      </c>
      <c r="D33" s="224"/>
      <c r="E33" s="204"/>
      <c r="F33" s="233"/>
      <c r="G33" s="226"/>
    </row>
    <row r="34" spans="1:7" s="250" customFormat="1" ht="13.5" customHeight="1">
      <c r="A34" s="730" t="s">
        <v>346</v>
      </c>
      <c r="B34" s="207" t="s">
        <v>1523</v>
      </c>
      <c r="C34" s="212">
        <f ca="1">IF(B1="",IF(F34=100%,'数据-取费表'!M16,'数据-取费表'!O16),IF(F34=100%,INDIRECT("'数据-取费表'!m"&amp;$G$1)+INDIRECT("'数据-取费表'!t"&amp;$G$1),INDIRECT("'数据-取费表'!o"&amp;$G$1)+INDIRECT("'数据-取费表'!aq"&amp;$G$1)))</f>
        <v>17496</v>
      </c>
      <c r="D34" s="209"/>
      <c r="E34" s="212"/>
      <c r="F34" s="249">
        <f ca="1">IF('数据-取费表'!B24=0,1,IF(B1="",'数据-取费表'!N16,INDIRECT("'数据-取费表'!n"&amp;$G$1)))</f>
        <v>1</v>
      </c>
      <c r="G34" s="211" t="s">
        <v>1524</v>
      </c>
    </row>
    <row r="35" spans="1:7" ht="13.5" customHeight="1">
      <c r="A35" s="730" t="s">
        <v>351</v>
      </c>
      <c r="B35" s="207" t="s">
        <v>1525</v>
      </c>
      <c r="C35" s="212">
        <f ca="1">ROUND(C34*F35,0)</f>
        <v>875</v>
      </c>
      <c r="D35" s="212"/>
      <c r="E35" s="212"/>
      <c r="F35" s="251">
        <f>'数据-取费表'!B33</f>
        <v>0.05</v>
      </c>
      <c r="G35" s="211" t="s">
        <v>1526</v>
      </c>
    </row>
    <row r="36" spans="1:7" ht="26">
      <c r="A36" s="730"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0" t="s">
        <v>353</v>
      </c>
      <c r="B37" s="207" t="s">
        <v>1529</v>
      </c>
      <c r="C37" s="241">
        <f ca="1">ROUND(E37*D37*F34/10000,0)</f>
        <v>538</v>
      </c>
      <c r="D37" s="209">
        <f ca="1">D19</f>
        <v>26917.520000000128</v>
      </c>
      <c r="E37" s="241">
        <f>'数据-取费表'!B35</f>
        <v>200</v>
      </c>
      <c r="F37" s="251"/>
      <c r="G37" s="253" t="s">
        <v>1530</v>
      </c>
    </row>
    <row r="38" spans="1:7" ht="13.5" customHeight="1">
      <c r="A38" s="730" t="s">
        <v>354</v>
      </c>
      <c r="B38" s="207" t="s">
        <v>1531</v>
      </c>
      <c r="C38" s="212">
        <f ca="1">ROUND(C34*F38,0)</f>
        <v>350</v>
      </c>
      <c r="D38" s="212"/>
      <c r="E38" s="212"/>
      <c r="F38" s="251">
        <f>'数据-取费表'!B36</f>
        <v>0.02</v>
      </c>
      <c r="G38" s="211" t="s">
        <v>1526</v>
      </c>
    </row>
    <row r="39" spans="1:7" s="206" customFormat="1" ht="13.5" customHeight="1">
      <c r="A39" s="247" t="s">
        <v>1532</v>
      </c>
      <c r="B39" s="202" t="s">
        <v>1533</v>
      </c>
      <c r="C39" s="224">
        <f ca="1">ROUND(C33*F20,0)</f>
        <v>578</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1035</v>
      </c>
      <c r="D41" s="227">
        <f ca="1">C44</f>
        <v>1.6000000000000001E-3</v>
      </c>
      <c r="E41" s="228" t="s">
        <v>1537</v>
      </c>
      <c r="F41" s="229">
        <f ca="1">F22</f>
        <v>3.4500000000000003E-2</v>
      </c>
      <c r="G41" s="226" t="str">
        <f>IF('数据-取费表'!B22&lt;=1,"单利计息","复利计息")</f>
        <v>复利计息</v>
      </c>
    </row>
    <row r="42" spans="1:7" ht="13.5" customHeight="1">
      <c r="A42" s="730" t="s">
        <v>346</v>
      </c>
      <c r="B42" s="207" t="s">
        <v>1541</v>
      </c>
      <c r="C42" s="230">
        <f ca="1">ROUND(IF('数据-取费表'!B22&lt;=1,C33*F22*'数据-取费表'!B21/2,C33*(POWER((1+F22),'数据-取费表'!B21/2)-1)),0)</f>
        <v>1005</v>
      </c>
      <c r="D42" s="230"/>
      <c r="E42" s="230"/>
      <c r="F42" s="231"/>
      <c r="G42" s="3400" t="s">
        <v>1542</v>
      </c>
    </row>
    <row r="43" spans="1:7" ht="13.5" customHeight="1">
      <c r="A43" s="730" t="s">
        <v>347</v>
      </c>
      <c r="B43" s="207" t="s">
        <v>1543</v>
      </c>
      <c r="C43" s="230">
        <f ca="1">ROUND(IF('数据-取费表'!B22&lt;=1,C39*F22*'数据-取费表'!B21/2,C39*(POWER((1+F22),'数据-取费表'!B21/2)-1)),0)</f>
        <v>30</v>
      </c>
      <c r="D43" s="230"/>
      <c r="E43" s="230"/>
      <c r="F43" s="231"/>
      <c r="G43" s="3401"/>
    </row>
    <row r="44" spans="1:7" ht="13.5" customHeight="1">
      <c r="A44" s="730" t="s">
        <v>348</v>
      </c>
      <c r="B44" s="207" t="s">
        <v>1544</v>
      </c>
      <c r="C44" s="230">
        <f ca="1">ROUND(IF('数据-取费表'!B22&lt;=1,C40*F22*'数据-取费表'!B21/2,C40*(POWER((1+F22),'数据-取费表'!B21/2)-1)),4)</f>
        <v>1.6000000000000001E-3</v>
      </c>
      <c r="D44" s="230"/>
      <c r="E44" s="230"/>
      <c r="F44" s="231"/>
      <c r="G44" s="3402"/>
    </row>
    <row r="45" spans="1:7" s="206" customFormat="1" ht="13.5" customHeight="1">
      <c r="A45" s="247" t="s">
        <v>1545</v>
      </c>
      <c r="B45" s="236" t="s">
        <v>1511</v>
      </c>
      <c r="C45" s="237">
        <f ca="1">C46</f>
        <v>3372</v>
      </c>
      <c r="D45" s="227">
        <f ca="1">C47</f>
        <v>5.1000000000000004E-3</v>
      </c>
      <c r="E45" s="228" t="s">
        <v>1537</v>
      </c>
      <c r="F45" s="238">
        <f ca="1">F27</f>
        <v>0.17</v>
      </c>
      <c r="G45" s="239" t="s">
        <v>1546</v>
      </c>
    </row>
    <row r="46" spans="1:7" s="206" customFormat="1" ht="13.5" customHeight="1">
      <c r="A46" s="730" t="s">
        <v>346</v>
      </c>
      <c r="B46" s="240" t="s">
        <v>1547</v>
      </c>
      <c r="C46" s="241">
        <f ca="1">ROUND((C33+C39)*F27,0)</f>
        <v>3372</v>
      </c>
      <c r="D46" s="255"/>
      <c r="E46" s="228"/>
      <c r="F46" s="238"/>
      <c r="G46" s="239"/>
    </row>
    <row r="47" spans="1:7" s="206" customFormat="1" ht="13.5" customHeight="1">
      <c r="A47" s="730" t="s">
        <v>347</v>
      </c>
      <c r="B47" s="240" t="s">
        <v>1548</v>
      </c>
      <c r="C47" s="230">
        <f ca="1">ROUND(C40*F27,4)</f>
        <v>5.1000000000000004E-3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26642</v>
      </c>
      <c r="D49" s="224"/>
      <c r="E49" s="224"/>
      <c r="F49" s="256"/>
      <c r="G49" s="226" t="s">
        <v>1552</v>
      </c>
    </row>
    <row r="50" spans="1:7" s="250" customFormat="1" ht="26">
      <c r="A50" s="247" t="s">
        <v>1553</v>
      </c>
      <c r="B50" s="202" t="s">
        <v>1554</v>
      </c>
      <c r="C50" s="224"/>
      <c r="D50" s="224"/>
      <c r="E50" s="224"/>
      <c r="F50" s="256">
        <f>IF('数据-取费表'!B24=0,'数据-取费表'!N16,1)</f>
        <v>0.79</v>
      </c>
      <c r="G50" s="239" t="s">
        <v>1555</v>
      </c>
    </row>
    <row r="51" spans="1:7" ht="16.5" customHeight="1">
      <c r="A51" s="247" t="s">
        <v>1556</v>
      </c>
      <c r="B51" s="202" t="s">
        <v>1557</v>
      </c>
      <c r="C51" s="224">
        <f ca="1">ROUND(C49*F50,0)</f>
        <v>21047</v>
      </c>
      <c r="D51" s="224"/>
      <c r="E51" s="224"/>
      <c r="F51" s="256"/>
      <c r="G51" s="226" t="s">
        <v>1558</v>
      </c>
    </row>
    <row r="52" spans="1:7" s="200" customFormat="1" ht="16.5" thickBot="1">
      <c r="A52" s="257" t="s">
        <v>1559</v>
      </c>
      <c r="B52" s="258"/>
      <c r="C52" s="259">
        <f ca="1">C31+C51</f>
        <v>67354</v>
      </c>
      <c r="D52" s="258"/>
      <c r="E52" s="258"/>
      <c r="F52" s="258"/>
      <c r="G52" s="260"/>
    </row>
    <row r="55" spans="1:7" ht="15.5">
      <c r="B55" s="262" t="s">
        <v>1560</v>
      </c>
      <c r="C55" s="263"/>
    </row>
    <row r="56" spans="1:7" ht="13">
      <c r="B56" s="265" t="s">
        <v>800</v>
      </c>
      <c r="C56" s="267">
        <f ca="1">1-C57</f>
        <v>0.68799999999999994</v>
      </c>
    </row>
    <row r="57" spans="1:7" ht="13">
      <c r="B57" s="265" t="s">
        <v>801</v>
      </c>
      <c r="C57" s="266">
        <f ca="1">ROUND(C51/C52,3)</f>
        <v>0.312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1459</v>
      </c>
      <c r="B1" s="1370"/>
      <c r="C1" s="1713" t="s">
        <v>1561</v>
      </c>
      <c r="D1" s="190"/>
      <c r="E1" s="190"/>
      <c r="F1" s="190"/>
      <c r="G1" s="1058">
        <f>MATCH(B1,'数据-取费表'!A6:A16,0)+5</f>
        <v>8</v>
      </c>
      <c r="H1" s="994" t="str">
        <f>IF(ISERROR(FIND("住宅",B1)),"非住宅","住宅")</f>
        <v>非住宅</v>
      </c>
    </row>
    <row r="2" spans="1:8" s="192" customFormat="1" ht="18" customHeight="1">
      <c r="A2" s="193" t="s">
        <v>1460</v>
      </c>
      <c r="B2" s="3118">
        <f ca="1">ROUND(IF(D2="——",C52/10000,C52/10000-E2),4)</f>
        <v>22602.2929</v>
      </c>
      <c r="C2" s="191" t="s">
        <v>1461</v>
      </c>
      <c r="D2" s="1707" t="s">
        <v>43</v>
      </c>
      <c r="E2" s="1085" t="e">
        <f ca="1">SUMIF(INDIRECT("'"&amp;G2&amp;"'"&amp;"!A:A"),"承租人权益价值",INDIRECT("'"&amp;G2&amp;"'"&amp;"!c:c"))</f>
        <v>#REF!</v>
      </c>
      <c r="F2" s="1708" t="s">
        <v>1461</v>
      </c>
      <c r="G2" s="1709"/>
    </row>
    <row r="3" spans="1:8" s="192" customFormat="1" ht="18" customHeight="1" thickBot="1">
      <c r="A3" s="195" t="s">
        <v>1462</v>
      </c>
      <c r="B3" s="196">
        <f ca="1">ROUND(B2*10000/(IF(B1="",'数据-汇总表'!E3,INDIRECT("'数据-取费表'!k"&amp;$G$1))),0)</f>
        <v>8397</v>
      </c>
      <c r="C3" s="191" t="s">
        <v>1463</v>
      </c>
      <c r="D3" s="191"/>
      <c r="E3" s="191"/>
      <c r="F3" s="191"/>
      <c r="G3" s="191"/>
    </row>
    <row r="4" spans="1:8" s="200" customFormat="1" ht="16">
      <c r="A4" s="197" t="s">
        <v>1464</v>
      </c>
      <c r="B4" s="198"/>
      <c r="C4" s="198"/>
      <c r="D4" s="198"/>
      <c r="E4" s="198"/>
      <c r="F4" s="198"/>
      <c r="G4" s="199"/>
    </row>
    <row r="5" spans="1:8" s="206" customFormat="1" ht="13.5" customHeight="1">
      <c r="A5" s="247" t="s">
        <v>1465</v>
      </c>
      <c r="B5" s="202" t="s">
        <v>1466</v>
      </c>
      <c r="C5" s="203">
        <f ca="1">C6+C7+C8</f>
        <v>5383504</v>
      </c>
      <c r="D5" s="203" t="s">
        <v>1467</v>
      </c>
      <c r="E5" s="204" t="s">
        <v>1468</v>
      </c>
      <c r="F5" s="204" t="s">
        <v>1469</v>
      </c>
      <c r="G5" s="205"/>
    </row>
    <row r="6" spans="1:8" s="206" customFormat="1" ht="13.5" customHeight="1">
      <c r="A6" s="728" t="s">
        <v>1470</v>
      </c>
      <c r="B6" s="207" t="s">
        <v>1471</v>
      </c>
      <c r="C6" s="208"/>
      <c r="D6" s="209"/>
      <c r="E6" s="210"/>
      <c r="F6" s="210"/>
      <c r="G6" s="211"/>
    </row>
    <row r="7" spans="1:8" s="206" customFormat="1" ht="13.5" customHeight="1">
      <c r="A7" s="728" t="s">
        <v>1472</v>
      </c>
      <c r="B7" s="207" t="s">
        <v>1473</v>
      </c>
      <c r="C7" s="212">
        <f>ROUND(C6*F7,0)</f>
        <v>0</v>
      </c>
      <c r="D7" s="212"/>
      <c r="E7" s="210"/>
      <c r="F7" s="213">
        <f>IF(项目基本情况!B8="出让",0,'数据-取费表'!B48+'数据-取费表'!B49)</f>
        <v>3.0499999999999999E-2</v>
      </c>
      <c r="G7" s="211"/>
    </row>
    <row r="8" spans="1:8" s="215" customFormat="1" ht="13">
      <c r="A8" s="728" t="s">
        <v>1474</v>
      </c>
      <c r="B8" s="207" t="s">
        <v>1475</v>
      </c>
      <c r="C8" s="212">
        <f ca="1">IF(G8="已包含在土地购买价格中",0,C9+C10)</f>
        <v>5383504</v>
      </c>
      <c r="D8" s="214"/>
      <c r="E8" s="212"/>
      <c r="F8" s="213"/>
      <c r="G8" s="1710"/>
    </row>
    <row r="9" spans="1:8" s="206" customFormat="1" ht="13.5" customHeight="1">
      <c r="A9" s="729" t="s">
        <v>355</v>
      </c>
      <c r="B9" s="216" t="s">
        <v>1476</v>
      </c>
      <c r="C9" s="217">
        <f ca="1">ROUND(D9*E9,0)</f>
        <v>0</v>
      </c>
      <c r="D9" s="791">
        <f ca="1">IF(B1="",'数据-汇总表'!E5,IF(INDIRECT("'数据-取费表'!c"&amp;$G$1)="住宅",INDIRECT("'数据-取费表'!k"&amp;$G$1),0))</f>
        <v>0</v>
      </c>
      <c r="E9" s="217">
        <f>'数据-取费表'!B27</f>
        <v>160</v>
      </c>
      <c r="F9" s="213"/>
      <c r="G9" s="218"/>
    </row>
    <row r="10" spans="1:8" s="206" customFormat="1" ht="13.5" customHeight="1">
      <c r="A10" s="729" t="s">
        <v>356</v>
      </c>
      <c r="B10" s="216" t="s">
        <v>1478</v>
      </c>
      <c r="C10" s="217">
        <f ca="1">ROUND(D10*E10,0)</f>
        <v>5383504</v>
      </c>
      <c r="D10" s="791">
        <f ca="1">IF(B1="",'数据-汇总表'!E6,IF(INDIRECT("'数据-取费表'!c"&amp;$G$1)="住宅",INDIRECT("'数据-取费表'!s"&amp;$G$1),INDIRECT("'数据-取费表'!k"&amp;$G$1)+INDIRECT("'数据-取费表'!s"&amp;$G$1)))</f>
        <v>26917.520000000128</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5383504</v>
      </c>
      <c r="D19" s="204">
        <f ca="1">D9+D10</f>
        <v>26917.520000000128</v>
      </c>
      <c r="E19" s="203">
        <f>'数据-取费表'!B31</f>
        <v>200</v>
      </c>
      <c r="F19" s="223"/>
      <c r="G19" s="1710"/>
    </row>
    <row r="20" spans="1:7" s="206" customFormat="1" ht="13.5" customHeight="1">
      <c r="A20" s="247" t="s">
        <v>1572</v>
      </c>
      <c r="B20" s="202" t="s">
        <v>1573</v>
      </c>
      <c r="C20" s="224">
        <f ca="1">ROUND((C5+C19)*F20,0)</f>
        <v>323010</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1170133</v>
      </c>
      <c r="D22" s="227">
        <f ca="1">C26</f>
        <v>1.6000000000000001E-3</v>
      </c>
      <c r="E22" s="228" t="s">
        <v>1577</v>
      </c>
      <c r="F22" s="229">
        <f ca="1">'数据-取费表'!B40</f>
        <v>3.4500000000000003E-2</v>
      </c>
      <c r="G22" s="226" t="str">
        <f>IF('数据-取费表'!B22&lt;=1,"单利计息","复利计息")</f>
        <v>复利计息</v>
      </c>
    </row>
    <row r="23" spans="1:7" s="206" customFormat="1" ht="13.5" customHeight="1">
      <c r="A23" s="730" t="s">
        <v>1470</v>
      </c>
      <c r="B23" s="207" t="s">
        <v>1581</v>
      </c>
      <c r="C23" s="230">
        <f ca="1">ROUND(IF('数据-取费表'!B22&lt;=1,C5*F22*'数据-取费表'!B22,C5*(POWER((1+F22),'数据-取费表'!B22)-1)),0)</f>
        <v>576637</v>
      </c>
      <c r="D23" s="230"/>
      <c r="E23" s="230"/>
      <c r="F23" s="231"/>
      <c r="G23" s="232" t="s">
        <v>1582</v>
      </c>
    </row>
    <row r="24" spans="1:7" s="206" customFormat="1" ht="13.5" customHeight="1">
      <c r="A24" s="730" t="s">
        <v>1472</v>
      </c>
      <c r="B24" s="207" t="s">
        <v>1583</v>
      </c>
      <c r="C24" s="230">
        <f ca="1">ROUND(IF('数据-取费表'!B22&lt;=1,C19*F22*('数据-取费表'!B19/2+'数据-取费表'!B20),C19*(POWER((1+F22),('数据-取费表'!B19/2+'数据-取费表'!B20))-1)),0)</f>
        <v>576637</v>
      </c>
      <c r="D24" s="230"/>
      <c r="E24" s="230"/>
      <c r="F24" s="231"/>
      <c r="G24" s="232" t="s">
        <v>1584</v>
      </c>
    </row>
    <row r="25" spans="1:7" s="206" customFormat="1" ht="26">
      <c r="A25" s="730" t="s">
        <v>1474</v>
      </c>
      <c r="B25" s="207" t="s">
        <v>1585</v>
      </c>
      <c r="C25" s="230">
        <f ca="1">ROUND(IF('数据-取费表'!B22&lt;=1,C20*F22*'数据-取费表'!B22/2,C20*(POWER((1+F22),'数据-取费表'!B22/2)-1)),0)</f>
        <v>16859</v>
      </c>
      <c r="D25" s="230"/>
      <c r="E25" s="233"/>
      <c r="F25" s="231"/>
      <c r="G25" s="234" t="s">
        <v>1586</v>
      </c>
    </row>
    <row r="26" spans="1:7" s="206" customFormat="1" ht="13">
      <c r="A26" s="730" t="s">
        <v>350</v>
      </c>
      <c r="B26" s="207" t="s">
        <v>1509</v>
      </c>
      <c r="C26" s="230">
        <f ca="1">ROUND(IF('数据-取费表'!B22&lt;=1,F21*F22*'数据-取费表'!B22/2,F21*(POWER((1+F22),'数据-取费表'!B22/2)-1)),4)</f>
        <v>1.6000000000000001E-3</v>
      </c>
      <c r="D26" s="230"/>
      <c r="E26" s="233"/>
      <c r="F26" s="231"/>
      <c r="G26" s="235"/>
    </row>
    <row r="27" spans="1:7" s="206" customFormat="1" ht="27">
      <c r="A27" s="247" t="s">
        <v>1510</v>
      </c>
      <c r="B27" s="236" t="s">
        <v>1511</v>
      </c>
      <c r="C27" s="237">
        <f ca="1">C28</f>
        <v>1885303</v>
      </c>
      <c r="D27" s="227">
        <f ca="1">C29</f>
        <v>5.1000000000000004E-3</v>
      </c>
      <c r="E27" s="228" t="s">
        <v>1512</v>
      </c>
      <c r="F27" s="238">
        <f ca="1">IF(B1="",'数据-取费表'!Q16,INDIRECT("'数据-取费表'!q"&amp;$G$1))</f>
        <v>0.17</v>
      </c>
      <c r="G27" s="239" t="s">
        <v>1513</v>
      </c>
    </row>
    <row r="28" spans="1:7" s="206" customFormat="1" ht="13.5" customHeight="1">
      <c r="A28" s="730" t="s">
        <v>346</v>
      </c>
      <c r="B28" s="240" t="s">
        <v>1514</v>
      </c>
      <c r="C28" s="241">
        <f ca="1">ROUND((C5+C19+C20)*F27,0)</f>
        <v>1885303</v>
      </c>
      <c r="D28" s="227"/>
      <c r="E28" s="228"/>
      <c r="F28" s="238"/>
      <c r="G28" s="239"/>
    </row>
    <row r="29" spans="1:7" s="206" customFormat="1" ht="13.5" customHeight="1">
      <c r="A29" s="730" t="s">
        <v>347</v>
      </c>
      <c r="B29" s="240" t="s">
        <v>1515</v>
      </c>
      <c r="C29" s="230">
        <f ca="1">ROUND(C21*F27,4)</f>
        <v>5.1000000000000004E-3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15544455</v>
      </c>
      <c r="D31" s="222"/>
      <c r="E31" s="203"/>
      <c r="F31" s="242"/>
      <c r="G31" s="226" t="s">
        <v>1520</v>
      </c>
    </row>
    <row r="32" spans="1:7" s="200" customFormat="1" ht="16">
      <c r="A32" s="244" t="s">
        <v>1587</v>
      </c>
      <c r="B32" s="245"/>
      <c r="C32" s="245"/>
      <c r="D32" s="245"/>
      <c r="E32" s="245"/>
      <c r="F32" s="245"/>
      <c r="G32" s="246"/>
    </row>
    <row r="33" spans="1:7" s="206" customFormat="1" ht="13.5" customHeight="1">
      <c r="A33" s="247" t="s">
        <v>337</v>
      </c>
      <c r="B33" s="202" t="s">
        <v>1588</v>
      </c>
      <c r="C33" s="248">
        <f ca="1">SUM(C34:C38)</f>
        <v>192594856</v>
      </c>
      <c r="D33" s="224"/>
      <c r="E33" s="204"/>
      <c r="F33" s="233"/>
      <c r="G33" s="226"/>
    </row>
    <row r="34" spans="1:7" s="250" customFormat="1" ht="13.5" customHeight="1">
      <c r="A34" s="730" t="s">
        <v>346</v>
      </c>
      <c r="B34" s="207" t="s">
        <v>1523</v>
      </c>
      <c r="C34" s="212">
        <f ca="1">ROUND(IF(B1="",SUMPRODUCT('数据-取费表'!K6:K14,'数据-取费表'!L6:L14),INDIRECT("'数据-取费表'!l"&amp;$G$1)*INDIRECT("'数据-取费表'!k"&amp;$G$1)+'数据-取费表'!L14*INDIRECT("'数据-取费表'!S"&amp;$G$1)),0)</f>
        <v>174963880</v>
      </c>
      <c r="D34" s="209"/>
      <c r="E34" s="212"/>
      <c r="F34" s="249"/>
      <c r="G34" s="211"/>
    </row>
    <row r="35" spans="1:7" ht="13.5" customHeight="1">
      <c r="A35" s="730" t="s">
        <v>351</v>
      </c>
      <c r="B35" s="207" t="s">
        <v>1525</v>
      </c>
      <c r="C35" s="212">
        <f ca="1">ROUND(C34*F35,0)</f>
        <v>8748194</v>
      </c>
      <c r="D35" s="212"/>
      <c r="E35" s="212"/>
      <c r="F35" s="251">
        <f>'数据-取费表'!B33</f>
        <v>0.05</v>
      </c>
      <c r="G35" s="211" t="s">
        <v>1526</v>
      </c>
    </row>
    <row r="36" spans="1:7" ht="26">
      <c r="A36" s="730"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0" t="s">
        <v>353</v>
      </c>
      <c r="B37" s="207" t="s">
        <v>1529</v>
      </c>
      <c r="C37" s="241">
        <f ca="1">ROUND(E37*D37,0)</f>
        <v>5383504</v>
      </c>
      <c r="D37" s="209">
        <f ca="1">D19</f>
        <v>26917.520000000128</v>
      </c>
      <c r="E37" s="241">
        <f>'数据-取费表'!B35</f>
        <v>200</v>
      </c>
      <c r="F37" s="251"/>
      <c r="G37" s="253"/>
    </row>
    <row r="38" spans="1:7" ht="13.5" customHeight="1">
      <c r="A38" s="730" t="s">
        <v>354</v>
      </c>
      <c r="B38" s="207" t="s">
        <v>1531</v>
      </c>
      <c r="C38" s="212">
        <f ca="1">ROUND(C34*F38,0)</f>
        <v>3499278</v>
      </c>
      <c r="D38" s="212"/>
      <c r="E38" s="212"/>
      <c r="F38" s="251">
        <f>'数据-取费表'!B36</f>
        <v>0.02</v>
      </c>
      <c r="G38" s="211" t="s">
        <v>1526</v>
      </c>
    </row>
    <row r="39" spans="1:7" s="206" customFormat="1" ht="13.5" customHeight="1">
      <c r="A39" s="247" t="s">
        <v>1532</v>
      </c>
      <c r="B39" s="202" t="s">
        <v>1533</v>
      </c>
      <c r="C39" s="224">
        <f ca="1">ROUND(C33*F20,0)</f>
        <v>5777846</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10353827</v>
      </c>
      <c r="D41" s="227">
        <f ca="1">C44</f>
        <v>1.6000000000000001E-3</v>
      </c>
      <c r="E41" s="228" t="s">
        <v>1537</v>
      </c>
      <c r="F41" s="229">
        <f ca="1">F22</f>
        <v>3.4500000000000003E-2</v>
      </c>
      <c r="G41" s="226" t="str">
        <f>IF('数据-取费表'!B22&lt;=1,"单利计息","复利计息")</f>
        <v>复利计息</v>
      </c>
    </row>
    <row r="42" spans="1:7" ht="13.5" customHeight="1">
      <c r="A42" s="730" t="s">
        <v>346</v>
      </c>
      <c r="B42" s="207" t="s">
        <v>1541</v>
      </c>
      <c r="C42" s="230">
        <f ca="1">ROUND(IF('数据-取费表'!B22&lt;=1,C33*F22*'数据-取费表'!B20/2,C33*(POWER((1+F22),'数据-取费表'!B20/2)-1)),0)</f>
        <v>10052259</v>
      </c>
      <c r="D42" s="230"/>
      <c r="E42" s="230"/>
      <c r="F42" s="231"/>
      <c r="G42" s="3400" t="s">
        <v>1589</v>
      </c>
    </row>
    <row r="43" spans="1:7" ht="13.5" customHeight="1">
      <c r="A43" s="730" t="s">
        <v>347</v>
      </c>
      <c r="B43" s="207" t="s">
        <v>1543</v>
      </c>
      <c r="C43" s="230">
        <f ca="1">ROUND(IF('数据-取费表'!B22&lt;=1,C39*F22*'数据-取费表'!B20/2,C39*(POWER((1+F22),'数据-取费表'!B20/2)-1)),0)</f>
        <v>301568</v>
      </c>
      <c r="D43" s="230"/>
      <c r="E43" s="230"/>
      <c r="F43" s="231"/>
      <c r="G43" s="3401"/>
    </row>
    <row r="44" spans="1:7" ht="13.5" customHeight="1">
      <c r="A44" s="730" t="s">
        <v>348</v>
      </c>
      <c r="B44" s="207" t="s">
        <v>1544</v>
      </c>
      <c r="C44" s="230">
        <f ca="1">ROUND(IF('数据-取费表'!B22&lt;=1,C40*F22*'数据-取费表'!B20/2,C40*(POWER((1+F22),'数据-取费表'!B20/2)-1)),4)</f>
        <v>1.6000000000000001E-3</v>
      </c>
      <c r="D44" s="230"/>
      <c r="E44" s="230"/>
      <c r="F44" s="231"/>
      <c r="G44" s="3402"/>
    </row>
    <row r="45" spans="1:7" s="206" customFormat="1" ht="13.5" customHeight="1">
      <c r="A45" s="247" t="s">
        <v>1545</v>
      </c>
      <c r="B45" s="236" t="s">
        <v>1511</v>
      </c>
      <c r="C45" s="237">
        <f ca="1">C46</f>
        <v>33723359</v>
      </c>
      <c r="D45" s="227">
        <f ca="1">C47</f>
        <v>5.1000000000000004E-3</v>
      </c>
      <c r="E45" s="228" t="s">
        <v>1537</v>
      </c>
      <c r="F45" s="238">
        <f ca="1">F27</f>
        <v>0.17</v>
      </c>
      <c r="G45" s="239" t="s">
        <v>1546</v>
      </c>
    </row>
    <row r="46" spans="1:7" s="206" customFormat="1" ht="13.5" customHeight="1">
      <c r="A46" s="730" t="s">
        <v>346</v>
      </c>
      <c r="B46" s="240" t="s">
        <v>1547</v>
      </c>
      <c r="C46" s="241">
        <f ca="1">ROUND((C33+C39)*F27,0)</f>
        <v>33723359</v>
      </c>
      <c r="D46" s="255"/>
      <c r="E46" s="228"/>
      <c r="F46" s="238"/>
      <c r="G46" s="239"/>
    </row>
    <row r="47" spans="1:7" s="206" customFormat="1" ht="13.5" customHeight="1">
      <c r="A47" s="730" t="s">
        <v>347</v>
      </c>
      <c r="B47" s="240" t="s">
        <v>1548</v>
      </c>
      <c r="C47" s="230">
        <f ca="1">ROUND(C40*F27,4)</f>
        <v>5.1000000000000004E-3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266428448</v>
      </c>
      <c r="D49" s="224"/>
      <c r="E49" s="224"/>
      <c r="F49" s="256"/>
      <c r="G49" s="226" t="s">
        <v>1552</v>
      </c>
    </row>
    <row r="50" spans="1:7" s="250" customFormat="1" ht="13.5">
      <c r="A50" s="247" t="s">
        <v>1553</v>
      </c>
      <c r="B50" s="202" t="s">
        <v>1554</v>
      </c>
      <c r="C50" s="224"/>
      <c r="D50" s="224"/>
      <c r="E50" s="224"/>
      <c r="F50" s="256">
        <f>IF('数据-取费表'!B24=0,'数据-取费表'!N16,1)</f>
        <v>0.79</v>
      </c>
      <c r="G50" s="239"/>
    </row>
    <row r="51" spans="1:7" ht="16.5" customHeight="1">
      <c r="A51" s="247" t="s">
        <v>1556</v>
      </c>
      <c r="B51" s="202" t="s">
        <v>1591</v>
      </c>
      <c r="C51" s="224">
        <f ca="1">ROUND(C49*F50,0)</f>
        <v>210478474</v>
      </c>
      <c r="D51" s="224"/>
      <c r="E51" s="224"/>
      <c r="F51" s="256"/>
      <c r="G51" s="226" t="s">
        <v>1558</v>
      </c>
    </row>
    <row r="52" spans="1:7" s="200" customFormat="1" ht="16.5" thickBot="1">
      <c r="A52" s="257" t="s">
        <v>1559</v>
      </c>
      <c r="B52" s="258"/>
      <c r="C52" s="259">
        <f ca="1">C31+C51</f>
        <v>226022929</v>
      </c>
      <c r="D52" s="258"/>
      <c r="E52" s="258"/>
      <c r="F52" s="258"/>
      <c r="G52" s="260"/>
    </row>
    <row r="55" spans="1:7" ht="15.5">
      <c r="B55" s="262" t="s">
        <v>1560</v>
      </c>
      <c r="C55" s="263"/>
    </row>
    <row r="56" spans="1:7" ht="13">
      <c r="B56" s="265" t="s">
        <v>800</v>
      </c>
      <c r="C56" s="267">
        <f ca="1">1-C57</f>
        <v>6.899999999999995E-2</v>
      </c>
    </row>
    <row r="57" spans="1:7" ht="13">
      <c r="B57" s="265" t="s">
        <v>801</v>
      </c>
      <c r="C57" s="266">
        <f ca="1">ROUND(C51/C52,3)</f>
        <v>0.93100000000000005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1" customWidth="1"/>
    <col min="3" max="3" width="10.36328125" style="770" customWidth="1"/>
    <col min="4" max="4" width="9.90625" style="731" customWidth="1"/>
    <col min="5" max="5" width="9.453125" style="687" customWidth="1"/>
    <col min="6" max="6" width="10.08984375" style="731" customWidth="1"/>
    <col min="7" max="7" width="10.7265625" style="731" customWidth="1"/>
    <col min="8" max="8" width="10" style="731" customWidth="1"/>
    <col min="9" max="11" width="9.453125" style="731" customWidth="1"/>
    <col min="12" max="12" width="9" style="731" customWidth="1"/>
    <col min="13" max="13" width="10.453125" style="731" bestFit="1" customWidth="1"/>
    <col min="14" max="254" width="9" style="731" customWidth="1"/>
    <col min="255" max="16384" width="6.6328125" style="731"/>
  </cols>
  <sheetData>
    <row r="1" spans="1:33" ht="21">
      <c r="A1" s="188" t="s">
        <v>1592</v>
      </c>
      <c r="B1" s="121"/>
      <c r="C1" s="1106"/>
      <c r="D1" s="1105"/>
      <c r="E1" s="2563"/>
      <c r="F1" s="2563"/>
      <c r="G1" s="2444"/>
      <c r="H1" s="2563"/>
      <c r="I1" s="2563"/>
      <c r="J1" s="2563"/>
      <c r="K1" s="2564">
        <f>MATCH(C1,'数据-取费表'!A6:A16,0)+5</f>
        <v>8</v>
      </c>
    </row>
    <row r="2" spans="1:33" ht="18" customHeight="1">
      <c r="A2" s="193" t="s">
        <v>1460</v>
      </c>
      <c r="B2" s="196">
        <f ca="1">C32</f>
        <v>28</v>
      </c>
      <c r="C2" s="268" t="s">
        <v>1593</v>
      </c>
      <c r="D2" s="268"/>
      <c r="E2" s="2563"/>
      <c r="F2" s="2563"/>
      <c r="G2" s="2563"/>
      <c r="H2" s="2563"/>
      <c r="I2" s="2563"/>
      <c r="J2" s="2563"/>
      <c r="K2" s="2563"/>
    </row>
    <row r="3" spans="1:33" ht="18" customHeight="1" thickBot="1">
      <c r="A3" s="195" t="s">
        <v>1462</v>
      </c>
      <c r="B3" s="196">
        <f ca="1">ROUND(B2*10000/IF(C1="",'数据-汇总表'!E3,INDIRECT("'数据-取费表'!K"&amp;$K$1)),0)</f>
        <v>10</v>
      </c>
      <c r="C3" s="268" t="s">
        <v>1594</v>
      </c>
      <c r="D3" s="268"/>
      <c r="E3" s="2563"/>
      <c r="F3" s="2563"/>
      <c r="G3" s="2563"/>
      <c r="H3" s="2563"/>
      <c r="I3" s="2563"/>
      <c r="J3" s="2563"/>
      <c r="K3" s="2563"/>
    </row>
    <row r="4" spans="1:33" s="735" customFormat="1" ht="16.5" customHeight="1">
      <c r="A4" s="732" t="s">
        <v>1595</v>
      </c>
      <c r="B4" s="733"/>
      <c r="C4" s="771">
        <f>SUM(C8:K8)</f>
        <v>0</v>
      </c>
      <c r="D4" s="733"/>
      <c r="E4" s="733"/>
      <c r="F4" s="733"/>
      <c r="G4" s="733"/>
      <c r="H4" s="733"/>
      <c r="I4" s="733"/>
      <c r="J4" s="733"/>
      <c r="K4" s="734"/>
    </row>
    <row r="5" spans="1:33" s="739" customFormat="1" ht="14">
      <c r="A5" s="736" t="s">
        <v>1596</v>
      </c>
      <c r="B5" s="737" t="s">
        <v>1597</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1598</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1601</v>
      </c>
      <c r="B8" s="156" t="s">
        <v>1602</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1603</v>
      </c>
      <c r="B9" s="733"/>
      <c r="C9" s="733"/>
      <c r="D9" s="733"/>
      <c r="E9" s="733"/>
      <c r="F9" s="733"/>
      <c r="G9" s="733"/>
      <c r="H9" s="733"/>
      <c r="I9" s="733"/>
      <c r="J9" s="733"/>
      <c r="K9" s="734"/>
    </row>
    <row r="10" spans="1:33" s="747" customFormat="1" ht="13.5" customHeight="1">
      <c r="A10" s="736" t="s">
        <v>1604</v>
      </c>
      <c r="B10" s="5" t="s">
        <v>1605</v>
      </c>
      <c r="C10" s="743" t="s">
        <v>1606</v>
      </c>
      <c r="D10" s="744" t="s">
        <v>1607</v>
      </c>
      <c r="E10" s="744" t="s">
        <v>1608</v>
      </c>
      <c r="F10" s="744" t="s">
        <v>1609</v>
      </c>
      <c r="G10" s="5"/>
      <c r="H10" s="745"/>
      <c r="I10" s="745"/>
      <c r="J10" s="745"/>
      <c r="K10" s="746"/>
    </row>
    <row r="11" spans="1:33" s="751" customFormat="1" ht="13.5" customHeight="1">
      <c r="A11" s="748" t="s">
        <v>635</v>
      </c>
      <c r="B11" s="749" t="s">
        <v>1610</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1611</v>
      </c>
      <c r="C12" s="21">
        <f ca="1">ROUND(C11*F12,0)</f>
        <v>0</v>
      </c>
      <c r="D12" s="750"/>
      <c r="E12" s="138"/>
      <c r="F12" s="760">
        <f>'数据-取费表'!B33</f>
        <v>0.05</v>
      </c>
      <c r="G12" s="5" t="s">
        <v>1612</v>
      </c>
      <c r="H12" s="745"/>
      <c r="I12" s="745"/>
      <c r="J12" s="745"/>
      <c r="K12" s="746"/>
    </row>
    <row r="13" spans="1:33" s="751" customFormat="1" ht="13.5" customHeight="1">
      <c r="A13" s="748" t="s">
        <v>637</v>
      </c>
      <c r="B13" s="749" t="s">
        <v>1613</v>
      </c>
      <c r="C13" s="21">
        <f ca="1">ROUND(IF(C1="",SUMIF('数据-取费表'!C:C,"住宅",'数据-取费表'!P:P)*F13,IF(INDIRECT("'数据-取费表'!c"&amp;$K$1)="住宅",INDIRECT("'数据-取费表'!P"&amp;$K$1)*F13,0)),0)</f>
        <v>0</v>
      </c>
      <c r="D13" s="792"/>
      <c r="E13" s="138"/>
      <c r="F13" s="760">
        <f>'数据-取费表'!B34</f>
        <v>0</v>
      </c>
      <c r="G13" s="5" t="s">
        <v>1614</v>
      </c>
      <c r="H13" s="745"/>
      <c r="I13" s="745"/>
      <c r="J13" s="745"/>
      <c r="K13" s="746"/>
    </row>
    <row r="14" spans="1:33" s="753" customFormat="1" ht="13.5" customHeight="1">
      <c r="A14" s="748" t="s">
        <v>638</v>
      </c>
      <c r="B14" s="749" t="s">
        <v>1615</v>
      </c>
      <c r="C14" s="21">
        <f ca="1">ROUND(D14*E14*F11/10000,0)</f>
        <v>0</v>
      </c>
      <c r="D14" s="792">
        <f ca="1">IF(C1="",'数据-汇总表'!E3,INDIRECT("'数据-取费表'!K"&amp;$K$1)+INDIRECT("'数据-取费表'!S"&amp;$K$1))</f>
        <v>26917.520000000128</v>
      </c>
      <c r="E14" s="21">
        <f>'数据-取费表'!B35</f>
        <v>200</v>
      </c>
      <c r="F14" s="752"/>
      <c r="G14" s="5" t="s">
        <v>1616</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1617</v>
      </c>
      <c r="C15" s="759">
        <f ca="1">ROUND(C11*F15,0)</f>
        <v>0</v>
      </c>
      <c r="D15" s="754"/>
      <c r="E15" s="759"/>
      <c r="F15" s="760">
        <f>'数据-取费表'!B36</f>
        <v>0.02</v>
      </c>
      <c r="G15" s="123" t="s">
        <v>1618</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1619</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1620</v>
      </c>
      <c r="C17" s="21">
        <f ca="1">ROUND(D17*E17/10000,0)</f>
        <v>0</v>
      </c>
      <c r="D17" s="792">
        <f ca="1">D14</f>
        <v>26917.520000000128</v>
      </c>
      <c r="E17" s="21">
        <f>'数据-取费表'!B32</f>
        <v>0</v>
      </c>
      <c r="F17" s="754"/>
      <c r="G17" s="123" t="s">
        <v>1621</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1622</v>
      </c>
      <c r="C18" s="21">
        <f ca="1">C19+C20-IF(C1="",'数据-取费表'!B29,IF(G18="已全部缴纳",C19+C20,H18))</f>
        <v>-24</v>
      </c>
      <c r="D18" s="792"/>
      <c r="E18" s="21"/>
      <c r="F18" s="752"/>
      <c r="G18" s="1716"/>
      <c r="H18" s="1102"/>
      <c r="I18" s="1717" t="s">
        <v>1623</v>
      </c>
      <c r="J18" s="755"/>
      <c r="K18" s="756"/>
    </row>
    <row r="19" spans="1:33" s="751" customFormat="1" ht="13.5" customHeight="1">
      <c r="A19" s="748" t="s">
        <v>360</v>
      </c>
      <c r="B19" s="749" t="s">
        <v>1624</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1625</v>
      </c>
      <c r="C20" s="21">
        <f ca="1">ROUND(D20*E20/10000,0)</f>
        <v>538</v>
      </c>
      <c r="D20" s="792">
        <f ca="1">IF(C1="",'数据-汇总表'!E6,IF(INDIRECT("'数据-取费表'!c"&amp;$K$1)="住宅",INDIRECT("'数据-取费表'!s"&amp;$K$1),INDIRECT("'数据-取费表'!k"&amp;$K$1)+INDIRECT("'数据-取费表'!s"&amp;$K$1)))</f>
        <v>26917.520000000128</v>
      </c>
      <c r="E20" s="21">
        <f>'数据-取费表'!B28</f>
        <v>200</v>
      </c>
      <c r="F20" s="752"/>
      <c r="G20" s="12"/>
      <c r="H20" s="757"/>
      <c r="I20" s="757"/>
      <c r="J20" s="757"/>
      <c r="K20" s="758"/>
    </row>
    <row r="21" spans="1:33" s="751" customFormat="1" ht="13.5" customHeight="1">
      <c r="A21" s="740" t="s">
        <v>357</v>
      </c>
      <c r="B21" s="761" t="s">
        <v>1626</v>
      </c>
      <c r="C21" s="762">
        <f ca="1">C16+C17+C18</f>
        <v>-24</v>
      </c>
      <c r="D21" s="763"/>
      <c r="E21" s="273"/>
      <c r="F21" s="273"/>
      <c r="G21" s="123" t="s">
        <v>1627</v>
      </c>
      <c r="H21" s="755"/>
      <c r="I21" s="755"/>
      <c r="J21" s="755"/>
      <c r="K21" s="756"/>
    </row>
    <row r="22" spans="1:33" s="751" customFormat="1" ht="13.5" customHeight="1">
      <c r="A22" s="740" t="s">
        <v>1599</v>
      </c>
      <c r="B22" s="761" t="s">
        <v>1628</v>
      </c>
      <c r="C22" s="762">
        <f ca="1">ROUND(C21*F22,0)</f>
        <v>-1</v>
      </c>
      <c r="D22" s="273"/>
      <c r="E22" s="273"/>
      <c r="F22" s="764">
        <f>'数据-取费表'!B37</f>
        <v>0.03</v>
      </c>
      <c r="G22" s="5" t="s">
        <v>1629</v>
      </c>
      <c r="H22" s="745"/>
      <c r="I22" s="745"/>
      <c r="J22" s="745"/>
      <c r="K22" s="746"/>
    </row>
    <row r="23" spans="1:33" s="751" customFormat="1" ht="13.5" customHeight="1">
      <c r="A23" s="740" t="s">
        <v>1601</v>
      </c>
      <c r="B23" s="761" t="s">
        <v>1630</v>
      </c>
      <c r="C23" s="762">
        <f ca="1">ROUND(C4*F23*F11,0)</f>
        <v>0</v>
      </c>
      <c r="D23" s="273"/>
      <c r="E23" s="273"/>
      <c r="F23" s="764">
        <f>'数据-取费表'!B38</f>
        <v>0.03</v>
      </c>
      <c r="G23" s="5" t="s">
        <v>1631</v>
      </c>
      <c r="H23" s="745"/>
      <c r="I23" s="745"/>
      <c r="J23" s="745"/>
      <c r="K23" s="746"/>
    </row>
    <row r="24" spans="1:33" s="751" customFormat="1" ht="13.5" customHeight="1">
      <c r="A24" s="740" t="s">
        <v>1632</v>
      </c>
      <c r="B24" s="761" t="s">
        <v>1633</v>
      </c>
      <c r="C24" s="272">
        <f>ROUND(F24/(1+'数据-取费表'!C42),4)</f>
        <v>2.9000000000000001E-2</v>
      </c>
      <c r="D24" s="273" t="s">
        <v>12</v>
      </c>
      <c r="E24" s="273"/>
      <c r="F24" s="764">
        <f>IF(项目基本情况!B8="出让",0,'数据-取费表'!B48+'数据-取费表'!B49)</f>
        <v>3.0499999999999999E-2</v>
      </c>
      <c r="G24" s="5" t="s">
        <v>1634</v>
      </c>
      <c r="H24" s="766"/>
      <c r="I24" s="766"/>
      <c r="J24" s="766"/>
      <c r="K24" s="55"/>
    </row>
    <row r="25" spans="1:33" s="751" customFormat="1" ht="13.5" customHeight="1">
      <c r="A25" s="740" t="s">
        <v>1635</v>
      </c>
      <c r="B25" s="763" t="s">
        <v>1636</v>
      </c>
      <c r="C25" s="1039">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1637</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1638</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1639</v>
      </c>
      <c r="B28" s="1719" t="s">
        <v>1640</v>
      </c>
      <c r="C28" s="279">
        <f ca="1">C30</f>
        <v>-4</v>
      </c>
      <c r="D28" s="272">
        <f ca="1">C29</f>
        <v>0</v>
      </c>
      <c r="E28" s="274" t="s">
        <v>12</v>
      </c>
      <c r="F28" s="280">
        <f ca="1">IF(C1="",'数据-取费表'!Q16,INDIRECT("'数据-取费表'!q"&amp;$K$1))</f>
        <v>0.17</v>
      </c>
      <c r="G28" s="765"/>
      <c r="H28" s="766"/>
      <c r="I28" s="766"/>
      <c r="J28" s="766"/>
      <c r="K28" s="55"/>
    </row>
    <row r="29" spans="1:33" s="283" customFormat="1" ht="13.5" customHeight="1">
      <c r="A29" s="748" t="s">
        <v>358</v>
      </c>
      <c r="B29" s="769" t="s">
        <v>1641</v>
      </c>
      <c r="C29" s="276">
        <f ca="1">ROUND((1+C24)*F28*'数据-取费表'!B24/'数据-取费表'!B20,4)</f>
        <v>0</v>
      </c>
      <c r="D29" s="276"/>
      <c r="E29" s="277"/>
      <c r="F29" s="282"/>
      <c r="G29" s="123" t="s">
        <v>1642</v>
      </c>
      <c r="H29" s="755"/>
      <c r="I29" s="755"/>
      <c r="J29" s="755"/>
      <c r="K29" s="756"/>
    </row>
    <row r="30" spans="1:33" s="283" customFormat="1" ht="13.5" customHeight="1">
      <c r="A30" s="748" t="s">
        <v>359</v>
      </c>
      <c r="B30" s="769" t="s">
        <v>1643</v>
      </c>
      <c r="C30" s="284">
        <f ca="1">ROUND((C21+C22+C23)*F28,0)</f>
        <v>-4</v>
      </c>
      <c r="D30" s="276"/>
      <c r="E30" s="277"/>
      <c r="F30" s="282"/>
      <c r="G30" s="123"/>
      <c r="H30" s="755"/>
      <c r="I30" s="755"/>
      <c r="J30" s="755"/>
      <c r="K30" s="756"/>
    </row>
    <row r="31" spans="1:33" s="751" customFormat="1" ht="13.5" customHeight="1" thickBot="1">
      <c r="A31" s="1720" t="s">
        <v>1644</v>
      </c>
      <c r="B31" s="779" t="s">
        <v>1645</v>
      </c>
      <c r="C31" s="780">
        <f>ROUND(C4*F31/(1+'数据-取费表'!C42),0)</f>
        <v>0</v>
      </c>
      <c r="D31" s="781"/>
      <c r="E31" s="782"/>
      <c r="F31" s="783">
        <f>'数据-取费表'!B41</f>
        <v>5.6000000000000001E-2</v>
      </c>
      <c r="G31" s="784" t="s">
        <v>1646</v>
      </c>
      <c r="H31" s="785"/>
      <c r="I31" s="785"/>
      <c r="J31" s="785"/>
      <c r="K31" s="786"/>
    </row>
    <row r="32" spans="1:33" s="747" customFormat="1" ht="13.5" customHeight="1" thickBot="1">
      <c r="A32" s="449" t="s">
        <v>1647</v>
      </c>
      <c r="B32" s="775"/>
      <c r="C32" s="776">
        <f ca="1">ROUND((C4-C21-C22-C23-C25-C28-C31)/(1+C24+D25+D28),0)</f>
        <v>28</v>
      </c>
      <c r="D32" s="775"/>
      <c r="E32" s="775"/>
      <c r="F32" s="775"/>
      <c r="G32" s="777" t="s">
        <v>1648</v>
      </c>
      <c r="H32" s="775"/>
      <c r="I32" s="775"/>
      <c r="J32" s="775"/>
      <c r="K32" s="77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10" sqref="I1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1" t="s">
        <v>1656</v>
      </c>
      <c r="B1" s="1722"/>
      <c r="C1" s="1722"/>
      <c r="D1" s="1722"/>
      <c r="E1" s="1723"/>
      <c r="F1" s="2475"/>
      <c r="G1" s="459"/>
      <c r="H1" s="459"/>
      <c r="I1" s="459"/>
      <c r="J1" s="459"/>
      <c r="K1" s="459"/>
      <c r="L1" s="459"/>
      <c r="M1" s="459"/>
      <c r="N1" s="459"/>
      <c r="O1" s="459"/>
      <c r="P1" s="459"/>
      <c r="Q1" s="459"/>
      <c r="R1" s="459"/>
      <c r="S1" s="459"/>
    </row>
    <row r="2" spans="1:22" ht="15.5">
      <c r="A2" s="1724" t="s">
        <v>1460</v>
      </c>
      <c r="B2" s="807">
        <f ca="1">SUMIF(B6:B13,"&lt;&gt;#ref!",B6:B13)</f>
        <v>27246</v>
      </c>
      <c r="C2" s="1725" t="s">
        <v>1649</v>
      </c>
      <c r="D2" s="1726" t="s">
        <v>1650</v>
      </c>
      <c r="E2" s="2389">
        <f>SUM(E6:E13)</f>
        <v>26917.520000000128</v>
      </c>
      <c r="F2" s="2475"/>
      <c r="G2" s="459"/>
      <c r="H2" s="459"/>
      <c r="I2" s="459"/>
      <c r="J2" s="459"/>
      <c r="K2" s="459"/>
      <c r="L2" s="459"/>
      <c r="M2" s="459"/>
      <c r="N2" s="459"/>
      <c r="O2" s="459"/>
      <c r="P2" s="459"/>
      <c r="Q2" s="459"/>
      <c r="R2" s="459"/>
      <c r="S2" s="459"/>
    </row>
    <row r="3" spans="1:22" ht="15.5">
      <c r="A3" s="1724" t="s">
        <v>684</v>
      </c>
      <c r="B3" s="2383">
        <f ca="1">ROUND(B2*10000/E2,0)</f>
        <v>10122</v>
      </c>
      <c r="C3" s="1725" t="s">
        <v>1657</v>
      </c>
      <c r="D3" s="2475"/>
      <c r="E3" s="2478"/>
      <c r="F3" s="2475"/>
      <c r="G3" s="459"/>
      <c r="H3" s="459"/>
      <c r="I3" s="459"/>
      <c r="J3" s="459"/>
      <c r="K3" s="459"/>
      <c r="L3" s="459"/>
      <c r="M3" s="459"/>
      <c r="N3" s="459"/>
      <c r="O3" s="459"/>
      <c r="P3" s="459"/>
      <c r="Q3" s="459"/>
      <c r="R3" s="459"/>
      <c r="S3" s="459"/>
    </row>
    <row r="4" spans="1:22" ht="15.5">
      <c r="A4" s="2479"/>
      <c r="B4" s="2475"/>
      <c r="C4" s="2475"/>
      <c r="D4" s="2475"/>
      <c r="E4" s="2478"/>
      <c r="F4" s="2475"/>
      <c r="G4" s="459"/>
      <c r="H4" s="459"/>
      <c r="I4" s="459"/>
      <c r="J4" s="459"/>
      <c r="K4" s="459"/>
      <c r="L4" s="459"/>
      <c r="M4" s="459"/>
      <c r="N4" s="459"/>
      <c r="O4" s="459"/>
      <c r="P4" s="459"/>
      <c r="Q4" s="459"/>
      <c r="R4" s="459"/>
      <c r="S4" s="459"/>
    </row>
    <row r="5" spans="1:22">
      <c r="A5" s="2385" t="s">
        <v>1651</v>
      </c>
      <c r="B5" s="3403" t="s">
        <v>1652</v>
      </c>
      <c r="C5" s="3404"/>
      <c r="D5" s="2476"/>
      <c r="E5" s="1727" t="s">
        <v>1653</v>
      </c>
      <c r="F5" s="129" t="s">
        <v>1654</v>
      </c>
      <c r="G5" s="459"/>
      <c r="H5" s="459"/>
      <c r="I5" s="459"/>
      <c r="J5" s="459"/>
      <c r="K5" s="459"/>
      <c r="L5" s="459"/>
      <c r="M5" s="459"/>
      <c r="N5" s="459"/>
      <c r="O5" s="459"/>
      <c r="P5" s="459"/>
      <c r="Q5" s="459"/>
      <c r="R5" s="459"/>
      <c r="S5" s="459"/>
    </row>
    <row r="6" spans="1:22">
      <c r="A6" s="2386" t="str">
        <f>'数据-取费表'!AN6</f>
        <v>收益法</v>
      </c>
      <c r="B6" s="2384">
        <f ca="1">IF(F6="是",'数据-取费表'!AO6,0)</f>
        <v>20446</v>
      </c>
      <c r="C6" s="1725" t="s">
        <v>1649</v>
      </c>
      <c r="D6" s="2475"/>
      <c r="E6" s="2388">
        <f>IF(OR(A6=0,F6="否"),0,'数据-取费表'!K6+'数据-取费表'!S6)</f>
        <v>10413.970000000001</v>
      </c>
      <c r="F6" s="1728" t="s">
        <v>1655</v>
      </c>
      <c r="G6" s="459"/>
      <c r="H6" s="459"/>
      <c r="I6" s="459"/>
      <c r="J6" s="459"/>
      <c r="K6" s="459"/>
      <c r="L6" s="459"/>
      <c r="M6" s="459"/>
      <c r="N6" s="459"/>
      <c r="O6" s="459"/>
      <c r="P6" s="459"/>
      <c r="Q6" s="459"/>
      <c r="R6" s="459"/>
      <c r="S6" s="459"/>
    </row>
    <row r="7" spans="1:22">
      <c r="A7" s="2386" t="str">
        <f>'数据-取费表'!AN7</f>
        <v>收益法车</v>
      </c>
      <c r="B7" s="2384">
        <f ca="1">IF(F7="是",'数据-取费表'!AO7,0)</f>
        <v>6800</v>
      </c>
      <c r="C7" s="1725" t="s">
        <v>1649</v>
      </c>
      <c r="D7" s="2475"/>
      <c r="E7" s="2388">
        <f>IF(OR(A7=0,F7="否"),0,'数据-取费表'!K7+'数据-取费表'!S7)</f>
        <v>16503.550000000127</v>
      </c>
      <c r="F7" s="1728" t="s">
        <v>3381</v>
      </c>
      <c r="G7" s="459"/>
      <c r="H7" s="459"/>
      <c r="I7" s="459"/>
      <c r="J7" s="459"/>
      <c r="K7" s="459"/>
      <c r="L7" s="459"/>
      <c r="M7" s="459"/>
      <c r="N7" s="459"/>
      <c r="O7" s="459"/>
      <c r="P7" s="459"/>
      <c r="Q7" s="459"/>
      <c r="R7" s="459"/>
      <c r="S7" s="459"/>
    </row>
    <row r="8" spans="1:22">
      <c r="A8" s="2386">
        <f>'数据-取费表'!AN8</f>
        <v>0</v>
      </c>
      <c r="B8" s="2384" t="e">
        <f ca="1">IF(F8="是",'数据-取费表'!AO8,0)</f>
        <v>#REF!</v>
      </c>
      <c r="C8" s="1725" t="s">
        <v>1649</v>
      </c>
      <c r="D8" s="2475"/>
      <c r="E8" s="2388">
        <f>IF(OR(A8=0,F8="否"),0,'数据-取费表'!K8+'数据-取费表'!S8)</f>
        <v>0</v>
      </c>
      <c r="F8" s="1728" t="s">
        <v>3381</v>
      </c>
      <c r="G8" s="459"/>
      <c r="H8" s="459"/>
      <c r="I8" s="459"/>
      <c r="J8" s="459"/>
      <c r="K8" s="459"/>
      <c r="L8" s="459"/>
      <c r="M8" s="459"/>
      <c r="N8" s="459"/>
      <c r="O8" s="459"/>
      <c r="P8" s="459"/>
      <c r="Q8" s="459"/>
      <c r="R8" s="459"/>
      <c r="S8" s="459"/>
    </row>
    <row r="9" spans="1:22">
      <c r="A9" s="2386">
        <f>'数据-取费表'!AN9</f>
        <v>0</v>
      </c>
      <c r="B9" s="2384">
        <f>IF(F9="是",'数据-取费表'!AO9,0)</f>
        <v>0</v>
      </c>
      <c r="C9" s="1725" t="s">
        <v>1649</v>
      </c>
      <c r="D9" s="2475"/>
      <c r="E9" s="2388">
        <f>IF(OR(A9=0,F9="否"),0,'数据-取费表'!K9+'数据-取费表'!S9)</f>
        <v>0</v>
      </c>
      <c r="F9" s="1728" t="s">
        <v>3409</v>
      </c>
      <c r="G9" s="459"/>
      <c r="H9" s="459"/>
      <c r="I9" s="459"/>
      <c r="J9" s="459"/>
      <c r="K9" s="459"/>
      <c r="L9" s="459"/>
      <c r="M9" s="459"/>
      <c r="N9" s="459"/>
      <c r="O9" s="459"/>
      <c r="P9" s="459"/>
      <c r="Q9" s="459"/>
      <c r="R9" s="459"/>
      <c r="S9" s="459"/>
    </row>
    <row r="10" spans="1:22">
      <c r="A10" s="2386">
        <f>'数据-取费表'!AN10</f>
        <v>0</v>
      </c>
      <c r="B10" s="2384">
        <f>IF(F10="是",'数据-取费表'!AO10,0)</f>
        <v>0</v>
      </c>
      <c r="C10" s="1725" t="s">
        <v>1649</v>
      </c>
      <c r="D10" s="2475"/>
      <c r="E10" s="2388">
        <f>IF(OR(A10=0,F10="否"),0,'数据-取费表'!K10+'数据-取费表'!S10)</f>
        <v>0</v>
      </c>
      <c r="F10" s="1728" t="s">
        <v>3409</v>
      </c>
      <c r="G10" s="459"/>
      <c r="H10" s="459"/>
      <c r="I10" s="459"/>
      <c r="J10" s="459"/>
      <c r="K10" s="459"/>
      <c r="L10" s="459"/>
      <c r="M10" s="459"/>
      <c r="N10" s="459"/>
      <c r="O10" s="459"/>
      <c r="P10" s="459"/>
      <c r="Q10" s="459"/>
      <c r="R10" s="459"/>
      <c r="S10" s="459"/>
    </row>
    <row r="11" spans="1:22">
      <c r="A11" s="2386">
        <f>'数据-取费表'!AN11</f>
        <v>0</v>
      </c>
      <c r="B11" s="2384">
        <f>IF(F11="是",'数据-取费表'!AO11,0)</f>
        <v>0</v>
      </c>
      <c r="C11" s="1725" t="s">
        <v>1649</v>
      </c>
      <c r="D11" s="2475"/>
      <c r="E11" s="2388">
        <f>IF(OR(A11=0,F11="否"),0,'数据-取费表'!K11+'数据-取费表'!S11)</f>
        <v>0</v>
      </c>
      <c r="F11" s="1728" t="s">
        <v>3409</v>
      </c>
      <c r="G11" s="459"/>
      <c r="H11" s="459"/>
      <c r="I11" s="459"/>
      <c r="J11" s="459"/>
      <c r="K11" s="459"/>
      <c r="L11" s="459"/>
      <c r="M11" s="459"/>
      <c r="N11" s="459"/>
      <c r="O11" s="459"/>
      <c r="P11" s="459"/>
      <c r="Q11" s="459"/>
      <c r="R11" s="459"/>
      <c r="S11" s="459"/>
    </row>
    <row r="12" spans="1:22">
      <c r="A12" s="2386">
        <f>'数据-取费表'!AN12</f>
        <v>0</v>
      </c>
      <c r="B12" s="2384">
        <f>IF(F12="是",'数据-取费表'!AO12,0)</f>
        <v>0</v>
      </c>
      <c r="C12" s="1725" t="s">
        <v>1649</v>
      </c>
      <c r="D12" s="2475"/>
      <c r="E12" s="2388">
        <f>IF(OR(A12=0,F12="否"),0,'数据-取费表'!K12+'数据-取费表'!S12)</f>
        <v>0</v>
      </c>
      <c r="F12" s="1728" t="s">
        <v>3409</v>
      </c>
      <c r="G12" s="459"/>
      <c r="H12" s="459"/>
      <c r="I12" s="459"/>
      <c r="J12" s="459"/>
      <c r="K12" s="459"/>
      <c r="L12" s="459"/>
      <c r="M12" s="459"/>
      <c r="N12" s="459"/>
      <c r="O12" s="459"/>
      <c r="P12" s="459"/>
      <c r="Q12" s="459"/>
      <c r="R12" s="459"/>
      <c r="S12" s="459"/>
    </row>
    <row r="13" spans="1:22" ht="14.5" thickBot="1">
      <c r="A13" s="2387">
        <f>'数据-取费表'!AN13</f>
        <v>0</v>
      </c>
      <c r="B13" s="2384">
        <f>IF(F13="是",'数据-取费表'!AO13,0)</f>
        <v>0</v>
      </c>
      <c r="C13" s="1729" t="s">
        <v>1649</v>
      </c>
      <c r="D13" s="2477"/>
      <c r="E13" s="2388">
        <f>IF(OR(A13=0,F13="否"),0,'数据-取费表'!K13+'数据-取费表'!S13)</f>
        <v>0</v>
      </c>
      <c r="F13" s="1728" t="s">
        <v>3409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115" zoomScaleNormal="70" zoomScaleSheetLayoutView="115" workbookViewId="0">
      <selection activeCell="D18" sqref="D1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68" customWidth="1"/>
    <col min="12" max="12" width="16.36328125" style="250" customWidth="1"/>
    <col min="13" max="13" width="13" style="250" customWidth="1"/>
    <col min="14" max="14" width="13.7265625" style="1288" customWidth="1"/>
    <col min="15" max="15" width="5.08984375" style="1288" customWidth="1"/>
    <col min="16" max="16" width="25.7265625" style="1288" customWidth="1"/>
    <col min="17" max="17" width="13.7265625" style="1288" customWidth="1"/>
    <col min="18" max="18" width="20.453125" style="1288" customWidth="1"/>
    <col min="19" max="19" width="13.26953125" style="1288" customWidth="1"/>
    <col min="20" max="37" width="9" style="1288"/>
    <col min="38" max="16384" width="9" style="250"/>
  </cols>
  <sheetData>
    <row r="1" spans="1:37" s="285" customFormat="1" ht="21">
      <c r="A1" s="1279" t="s">
        <v>875</v>
      </c>
      <c r="B1" s="663"/>
      <c r="C1" s="1283" t="s">
        <v>671</v>
      </c>
      <c r="D1" s="1267" t="s">
        <v>43</v>
      </c>
      <c r="E1" s="1268" t="s">
        <v>676</v>
      </c>
      <c r="F1" s="995">
        <f ca="1">J53</f>
        <v>17.34</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802</v>
      </c>
      <c r="B2" s="1290">
        <f ca="1">C40+J29+L46</f>
        <v>20446</v>
      </c>
      <c r="C2" s="1285" t="s">
        <v>803</v>
      </c>
      <c r="D2" s="1285"/>
      <c r="E2" s="1291"/>
      <c r="F2" s="1292"/>
      <c r="G2" s="2474"/>
      <c r="H2" s="2464"/>
      <c r="I2" s="2464"/>
      <c r="J2" s="2464"/>
      <c r="K2" s="2465"/>
      <c r="L2" s="2464"/>
      <c r="M2" s="2464"/>
    </row>
    <row r="3" spans="1:37" ht="18" customHeight="1" thickBot="1">
      <c r="A3" s="1293" t="s">
        <v>804</v>
      </c>
      <c r="B3" s="1294">
        <f ca="1">IF(ISERROR(B2*10000/F43),0,ROUND(B2*10000/F43,0))</f>
        <v>19633</v>
      </c>
      <c r="C3" s="1285" t="s">
        <v>805</v>
      </c>
      <c r="D3" s="1285"/>
      <c r="E3" s="1291"/>
      <c r="F3" s="1292"/>
      <c r="G3" s="2474"/>
      <c r="H3" s="649"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3">
        <f ca="1">C6+C10+C12</f>
        <v>1884</v>
      </c>
      <c r="D5" s="1269" t="s">
        <v>691</v>
      </c>
      <c r="E5" s="1004"/>
      <c r="F5" s="1005"/>
      <c r="G5" s="1288"/>
      <c r="H5" s="291">
        <v>1</v>
      </c>
      <c r="I5" s="292" t="s">
        <v>690</v>
      </c>
      <c r="J5" s="1003">
        <f ca="1">J6+J10+J12</f>
        <v>0</v>
      </c>
      <c r="K5" s="1269" t="s">
        <v>691</v>
      </c>
      <c r="L5" s="1004"/>
      <c r="M5" s="1005"/>
    </row>
    <row r="6" spans="1:37" ht="18" customHeight="1">
      <c r="A6" s="1002" t="s">
        <v>398</v>
      </c>
      <c r="B6" s="3407" t="s">
        <v>692</v>
      </c>
      <c r="C6" s="1007">
        <f ca="1">ROUND(F6*F8*F7*(1-F9)/10000,0)</f>
        <v>1882</v>
      </c>
      <c r="D6" s="147" t="s">
        <v>2107</v>
      </c>
      <c r="E6" s="294" t="s">
        <v>694</v>
      </c>
      <c r="F6" s="295">
        <f ca="1">INDIRECT("'数据-取费表'!u"&amp;$G$1)</f>
        <v>5.5</v>
      </c>
      <c r="G6" s="1288"/>
      <c r="H6" s="1002" t="s">
        <v>398</v>
      </c>
      <c r="I6" s="3407" t="s">
        <v>692</v>
      </c>
      <c r="J6" s="293">
        <f ca="1">ROUND(M6*M8*M7*(1-M9)/10000,0)</f>
        <v>0</v>
      </c>
      <c r="K6" s="147" t="s">
        <v>2106</v>
      </c>
      <c r="L6" s="294" t="s">
        <v>694</v>
      </c>
      <c r="M6" s="295">
        <f ca="1">INDIRECT("'数据-取费表'!z"&amp;$G$1)</f>
        <v>0</v>
      </c>
    </row>
    <row r="7" spans="1:37" ht="18" customHeight="1">
      <c r="A7" s="1006"/>
      <c r="B7" s="3408"/>
      <c r="C7" s="1008"/>
      <c r="D7" s="299"/>
      <c r="E7" s="1009" t="s">
        <v>695</v>
      </c>
      <c r="F7" s="295">
        <f ca="1">IF(INDIRECT("'数据-取费表'!ah"&amp;$G$1)="",INDIRECT("'数据-取费表'!k"&amp;$G$1),INDIRECT("'数据-取费表'!ah"&amp;$G$1))</f>
        <v>10413.970000000001</v>
      </c>
      <c r="G7" s="1288"/>
      <c r="H7" s="296"/>
      <c r="I7" s="3408"/>
      <c r="J7" s="298"/>
      <c r="K7" s="299"/>
      <c r="L7" s="294" t="s">
        <v>695</v>
      </c>
      <c r="M7" s="295">
        <f ca="1">F7</f>
        <v>10413.970000000001</v>
      </c>
    </row>
    <row r="8" spans="1:37" ht="18" customHeight="1">
      <c r="A8" s="296"/>
      <c r="B8" s="3408"/>
      <c r="C8" s="298"/>
      <c r="D8" s="299"/>
      <c r="E8" s="294" t="s">
        <v>696</v>
      </c>
      <c r="F8" s="295">
        <f ca="1">INDIRECT("'数据-取费表'!ai"&amp;$G$1)</f>
        <v>365</v>
      </c>
      <c r="G8" s="1288"/>
      <c r="H8" s="296"/>
      <c r="I8" s="3408"/>
      <c r="J8" s="298"/>
      <c r="K8" s="299"/>
      <c r="L8" s="294" t="s">
        <v>696</v>
      </c>
      <c r="M8" s="295">
        <f ca="1">INDIRECT("'数据-取费表'!ai"&amp;$G$1)</f>
        <v>365</v>
      </c>
    </row>
    <row r="9" spans="1:37" ht="18" customHeight="1">
      <c r="A9" s="296"/>
      <c r="B9" s="3409"/>
      <c r="C9" s="298"/>
      <c r="D9" s="299"/>
      <c r="E9" s="294" t="s">
        <v>697</v>
      </c>
      <c r="F9" s="304">
        <f ca="1">INDIRECT("'数据-取费表'!w"&amp;$G$1)</f>
        <v>0.1</v>
      </c>
      <c r="G9" s="1288"/>
      <c r="H9" s="296"/>
      <c r="I9" s="3409"/>
      <c r="J9" s="298"/>
      <c r="K9" s="299"/>
      <c r="L9" s="305" t="s">
        <v>697</v>
      </c>
      <c r="M9" s="306">
        <f ca="1">INDIRECT("'数据-取费表'!ab"&amp;$G$1)</f>
        <v>0</v>
      </c>
    </row>
    <row r="10" spans="1:37" ht="18" customHeight="1">
      <c r="A10" s="1002" t="s">
        <v>402</v>
      </c>
      <c r="B10" s="1270" t="s">
        <v>698</v>
      </c>
      <c r="C10" s="308">
        <f ca="1">ROUND(IF(F10="押一",C6/12*F11,IF(F10="押二",C6/12*2*F11,IF(F10="押三",C6/12*3*F11,C11*F11))),0)</f>
        <v>2</v>
      </c>
      <c r="D10" s="150" t="s">
        <v>2115</v>
      </c>
      <c r="E10" s="305" t="s">
        <v>699</v>
      </c>
      <c r="F10" s="1049" t="s">
        <v>3426</v>
      </c>
      <c r="G10" s="1288"/>
      <c r="H10" s="1002" t="s">
        <v>402</v>
      </c>
      <c r="I10" s="1270" t="s">
        <v>698</v>
      </c>
      <c r="J10" s="293">
        <f ca="1">ROUND(IF(M10="押一",J6/12*M11,IF(M10="押二",J6/12*2*M11,IF(M10="押三",J6/12*3*M11,J11*M11))),0)</f>
        <v>0</v>
      </c>
      <c r="K10" s="150" t="s">
        <v>2114</v>
      </c>
      <c r="L10" s="305" t="s">
        <v>699</v>
      </c>
      <c r="M10" s="1049"/>
    </row>
    <row r="11" spans="1:37" ht="18" customHeight="1">
      <c r="A11" s="300"/>
      <c r="B11" s="1271" t="s">
        <v>677</v>
      </c>
      <c r="C11" s="901"/>
      <c r="D11" s="1272"/>
      <c r="E11" s="305" t="s">
        <v>700</v>
      </c>
      <c r="F11" s="306">
        <f ca="1">'数据-取费表'!B39</f>
        <v>1.4999999999999999E-2</v>
      </c>
      <c r="G11" s="1288"/>
      <c r="H11" s="1010"/>
      <c r="I11" s="1271" t="s">
        <v>677</v>
      </c>
      <c r="J11" s="901"/>
      <c r="K11" s="646"/>
      <c r="L11" s="305" t="s">
        <v>700</v>
      </c>
      <c r="M11" s="805">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2">
        <f ca="1">ROUND(C29*F13,0)</f>
        <v>8245</v>
      </c>
      <c r="D13" s="1014" t="s">
        <v>703</v>
      </c>
      <c r="E13" s="1014" t="s">
        <v>704</v>
      </c>
      <c r="F13" s="1015">
        <f ca="1">INDIRECT("'数据-取费表'!y"&amp;$G$1)</f>
        <v>0.78</v>
      </c>
      <c r="G13" s="1288"/>
      <c r="H13" s="1012">
        <v>2</v>
      </c>
      <c r="I13" s="1013" t="s">
        <v>702</v>
      </c>
      <c r="J13" s="1001">
        <f ca="1">ROUND(J14*J15,0)</f>
        <v>0</v>
      </c>
      <c r="K13" s="1020" t="s">
        <v>703</v>
      </c>
      <c r="L13" s="1295"/>
      <c r="M13" s="1296"/>
    </row>
    <row r="14" spans="1:37" ht="18" customHeight="1">
      <c r="A14" s="924" t="s">
        <v>397</v>
      </c>
      <c r="B14" s="294" t="s">
        <v>705</v>
      </c>
      <c r="C14" s="310">
        <f ca="1">INDIRECT("'数据-取费表'!m"&amp;$G$1)+INDIRECT("'数据-取费表'!t"&amp;$G$1)</f>
        <v>6769</v>
      </c>
      <c r="D14" s="1253" t="s">
        <v>706</v>
      </c>
      <c r="E14" s="1251"/>
      <c r="F14" s="311"/>
      <c r="G14" s="1288"/>
      <c r="H14" s="924" t="s">
        <v>398</v>
      </c>
      <c r="I14" s="294" t="s">
        <v>707</v>
      </c>
      <c r="J14" s="21">
        <f ca="1">C29</f>
        <v>10571</v>
      </c>
      <c r="K14" s="12"/>
      <c r="L14" s="755"/>
      <c r="M14" s="756"/>
    </row>
    <row r="15" spans="1:37" s="1300" customFormat="1" ht="18" customHeight="1" thickBot="1">
      <c r="A15" s="924" t="s">
        <v>399</v>
      </c>
      <c r="B15" s="294" t="s">
        <v>708</v>
      </c>
      <c r="C15" s="21">
        <f ca="1">ROUND(C14*F15,0)</f>
        <v>338</v>
      </c>
      <c r="D15" s="312" t="s">
        <v>709</v>
      </c>
      <c r="E15" s="312" t="s">
        <v>710</v>
      </c>
      <c r="F15" s="313">
        <f>'数据-取费表'!B33</f>
        <v>0.05</v>
      </c>
      <c r="G15" s="1299"/>
      <c r="H15" s="1022" t="s">
        <v>402</v>
      </c>
      <c r="I15" s="1023" t="s">
        <v>704</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678</v>
      </c>
      <c r="B16" s="294" t="s">
        <v>711</v>
      </c>
      <c r="C16" s="21">
        <f ca="1">ROUND(INDIRECT("'数据-取费表'!m"&amp;$G$1)*F16,0)</f>
        <v>0</v>
      </c>
      <c r="D16" s="294" t="s">
        <v>709</v>
      </c>
      <c r="E16" s="294" t="s">
        <v>710</v>
      </c>
      <c r="F16" s="314">
        <f ca="1">IF(INDIRECT("'数据-取费表'!c"&amp;$G$1)="住宅",'数据-取费表'!B34,0)</f>
        <v>0</v>
      </c>
      <c r="G16" s="1288"/>
      <c r="H16" s="1012" t="s">
        <v>393</v>
      </c>
      <c r="I16" s="1013" t="s">
        <v>712</v>
      </c>
      <c r="J16" s="302">
        <f ca="1">ROUND(J17+J22+J23+J24,0)</f>
        <v>53</v>
      </c>
      <c r="K16" s="1020" t="s">
        <v>713</v>
      </c>
      <c r="L16" s="1021"/>
      <c r="M16" s="1005"/>
    </row>
    <row r="17" spans="1:37" s="1300" customFormat="1" ht="18" customHeight="1">
      <c r="A17" s="924" t="s">
        <v>679</v>
      </c>
      <c r="B17" s="294" t="s">
        <v>714</v>
      </c>
      <c r="C17" s="21">
        <f ca="1">ROUND(F17*(F43+INDIRECT("'数据-取费表'!S"&amp;$G$1))/10000,0)</f>
        <v>208</v>
      </c>
      <c r="D17" s="294" t="s">
        <v>715</v>
      </c>
      <c r="E17" s="294" t="s">
        <v>716</v>
      </c>
      <c r="F17" s="23">
        <f>'数据-取费表'!B35</f>
        <v>200</v>
      </c>
      <c r="G17" s="1299"/>
      <c r="H17" s="924" t="s">
        <v>398</v>
      </c>
      <c r="I17" s="294" t="s">
        <v>717</v>
      </c>
      <c r="J17" s="2136">
        <f ca="1">ROUND(IF(AND(项目基本情况!B11="自然人",项目基本情况!B10="北京市"),J6*M17/(1+'数据-取费表'!C42),J18+J19+J20),2)</f>
        <v>0</v>
      </c>
      <c r="K17" s="1253" t="s">
        <v>718</v>
      </c>
      <c r="L17" s="1252" t="s">
        <v>719</v>
      </c>
      <c r="M17" s="2135">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680</v>
      </c>
      <c r="B18" s="294" t="s">
        <v>720</v>
      </c>
      <c r="C18" s="21">
        <f ca="1">ROUND(C14*F18,0)</f>
        <v>135</v>
      </c>
      <c r="D18" s="294" t="s">
        <v>709</v>
      </c>
      <c r="E18" s="294" t="s">
        <v>710</v>
      </c>
      <c r="F18" s="314">
        <f>'数据-取费表'!B36</f>
        <v>0.02</v>
      </c>
      <c r="G18" s="1299"/>
      <c r="H18" s="924" t="s">
        <v>397</v>
      </c>
      <c r="I18" s="294" t="s">
        <v>721</v>
      </c>
      <c r="J18" s="21">
        <f ca="1">ROUND(J6*M18/(1+'数据-取费表'!C42),2)</f>
        <v>0</v>
      </c>
      <c r="K18" s="1252" t="s">
        <v>722</v>
      </c>
      <c r="L18" s="294" t="s">
        <v>710</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723</v>
      </c>
      <c r="C19" s="21">
        <f ca="1">SUM(C14:C18)</f>
        <v>7450</v>
      </c>
      <c r="D19" s="123" t="s">
        <v>724</v>
      </c>
      <c r="E19" s="1265"/>
      <c r="F19" s="23"/>
      <c r="G19" s="1288"/>
      <c r="H19" s="924" t="s">
        <v>399</v>
      </c>
      <c r="I19" s="294" t="s">
        <v>725</v>
      </c>
      <c r="J19" s="21">
        <f ca="1">IF(K19="按租金收入计税",ROUND(J6*M19/(1+'数据-取费表'!C42),2),ROUND(C29*M19*0.7,2))</f>
        <v>0</v>
      </c>
      <c r="K19" s="1274" t="s">
        <v>3333</v>
      </c>
      <c r="L19" s="294" t="s">
        <v>710</v>
      </c>
      <c r="M19" s="314">
        <f>IF(K19="按租金收入计税",'数据-取费表'!B51,'数据-取费表'!B50)</f>
        <v>0.12</v>
      </c>
    </row>
    <row r="20" spans="1:37" s="1300" customFormat="1" ht="18" customHeight="1">
      <c r="A20" s="924" t="s">
        <v>402</v>
      </c>
      <c r="B20" s="294" t="s">
        <v>726</v>
      </c>
      <c r="C20" s="21">
        <f ca="1">ROUND(C19*F20,0)</f>
        <v>224</v>
      </c>
      <c r="D20" s="315" t="s">
        <v>727</v>
      </c>
      <c r="E20" s="294" t="s">
        <v>710</v>
      </c>
      <c r="F20" s="314">
        <f>'数据-取费表'!B37</f>
        <v>0.03</v>
      </c>
      <c r="G20" s="1299"/>
      <c r="H20" s="924" t="s">
        <v>678</v>
      </c>
      <c r="I20" s="147" t="s">
        <v>728</v>
      </c>
      <c r="J20" s="22">
        <f ca="1">ROUND(M20*M21/10000,2)</f>
        <v>0</v>
      </c>
      <c r="K20" s="316" t="s">
        <v>729</v>
      </c>
      <c r="L20" s="294" t="s">
        <v>730</v>
      </c>
      <c r="M20" s="317">
        <f>'数据-取费表'!B52</f>
        <v>30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731</v>
      </c>
      <c r="C21" s="21" t="s">
        <v>15</v>
      </c>
      <c r="D21" s="315" t="s">
        <v>732</v>
      </c>
      <c r="E21" s="294" t="s">
        <v>733</v>
      </c>
      <c r="F21" s="314">
        <f>'数据-取费表'!B38</f>
        <v>0.03</v>
      </c>
      <c r="G21" s="1299"/>
      <c r="H21" s="318"/>
      <c r="I21" s="303"/>
      <c r="J21" s="26"/>
      <c r="K21" s="319"/>
      <c r="L21" s="294" t="s">
        <v>734</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681</v>
      </c>
      <c r="B22" s="294" t="s">
        <v>735</v>
      </c>
      <c r="C22" s="21"/>
      <c r="D22" s="123" t="str">
        <f>IF(F23&lt;=1,"单利计息。","复利计息。")&amp;"建造成本、管理费用、销售费用产生的利息。"</f>
        <v>复利计息。建造成本、管理费用、销售费用产生的利息。</v>
      </c>
      <c r="E22" s="1265"/>
      <c r="F22" s="23"/>
      <c r="G22" s="1288"/>
      <c r="H22" s="924" t="s">
        <v>402</v>
      </c>
      <c r="I22" s="294" t="s">
        <v>736</v>
      </c>
      <c r="J22" s="21">
        <f ca="1">ROUND(J14*M22,2)</f>
        <v>52.86</v>
      </c>
      <c r="K22" s="1252" t="s">
        <v>737</v>
      </c>
      <c r="L22" s="294" t="s">
        <v>710</v>
      </c>
      <c r="M22" s="320">
        <f ca="1">INDIRECT("'数据-取费表'!Ak"&amp;$G$1)</f>
        <v>5.0000000000000001E-3</v>
      </c>
    </row>
    <row r="23" spans="1:37" s="1300" customFormat="1" ht="18" customHeight="1">
      <c r="A23" s="924" t="s">
        <v>397</v>
      </c>
      <c r="B23" s="294" t="s">
        <v>738</v>
      </c>
      <c r="C23" s="21">
        <f ca="1">IF('数据-取费表'!B22&lt;=1,ROUND(C19*F24*F23/2,0)+ROUND(C20*F24*F23/2,0),ROUND(C19*(POWER((1+F24),F23/2)-1),0)+ROUND(C20*(POWER((1+F24),F23/2)-1),0))</f>
        <v>401</v>
      </c>
      <c r="D23" s="138" t="str">
        <f>IF(F23&lt;=1,"(建造成本+管理费用)×利率×(建设周期÷2)","(建造成本+管理费用)×((1+利率)^(建设周期÷2)-1)")</f>
        <v>(建造成本+管理费用)×((1+利率)^(建设周期÷2)-1)</v>
      </c>
      <c r="E23" s="294" t="s">
        <v>739</v>
      </c>
      <c r="F23" s="317">
        <f>'数据-取费表'!B20</f>
        <v>3</v>
      </c>
      <c r="G23" s="1299"/>
      <c r="H23" s="924" t="s">
        <v>437</v>
      </c>
      <c r="I23" s="294" t="s">
        <v>740</v>
      </c>
      <c r="J23" s="21">
        <f ca="1">ROUND(J13*M23,2)</f>
        <v>0</v>
      </c>
      <c r="K23" s="1252" t="s">
        <v>741</v>
      </c>
      <c r="L23" s="294" t="s">
        <v>742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743</v>
      </c>
      <c r="B24" s="294" t="s">
        <v>744</v>
      </c>
      <c r="C24" s="21">
        <f ca="1">ROUND(IF('数据-取费表'!B22&lt;=1,F21*F24*F23/2,F21*(POWER((1+F24),F23/2)-1)),4)</f>
        <v>1.6000000000000001E-3</v>
      </c>
      <c r="D24" s="138" t="str">
        <f>IF(F23&lt;=1,"销售费用×利率×(建设周期÷2)","销售费用×((1+利率)^(建设周期÷2)-1)")</f>
        <v>销售费用×((1+利率)^(建设周期÷2)-1)</v>
      </c>
      <c r="E24" s="294" t="s">
        <v>745</v>
      </c>
      <c r="F24" s="322">
        <f ca="1">'数据-取费表'!B40</f>
        <v>3.4500000000000003E-2</v>
      </c>
      <c r="G24" s="1299"/>
      <c r="H24" s="1022" t="s">
        <v>682</v>
      </c>
      <c r="I24" s="1023" t="s">
        <v>726</v>
      </c>
      <c r="J24" s="1024">
        <f ca="1">ROUND(J5*M24,2)</f>
        <v>0</v>
      </c>
      <c r="K24" s="1025" t="s">
        <v>746</v>
      </c>
      <c r="L24" s="1023" t="s">
        <v>742</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747</v>
      </c>
      <c r="B25" s="294" t="s">
        <v>748</v>
      </c>
      <c r="C25" s="21"/>
      <c r="D25" s="123" t="s">
        <v>749</v>
      </c>
      <c r="E25" s="1265"/>
      <c r="F25" s="23"/>
      <c r="G25" s="1288"/>
      <c r="H25" s="1012" t="s">
        <v>394</v>
      </c>
      <c r="I25" s="1027" t="s">
        <v>750</v>
      </c>
      <c r="J25" s="302">
        <f ca="1">J5-J16</f>
        <v>-53</v>
      </c>
      <c r="K25" s="1028" t="s">
        <v>751</v>
      </c>
      <c r="L25" s="1029"/>
      <c r="M25" s="1030"/>
    </row>
    <row r="26" spans="1:37" ht="13">
      <c r="A26" s="924" t="s">
        <v>397</v>
      </c>
      <c r="B26" s="294" t="s">
        <v>752</v>
      </c>
      <c r="C26" s="21">
        <f ca="1">ROUND((C19+C20)*F26,0)</f>
        <v>1535</v>
      </c>
      <c r="D26" s="315" t="s">
        <v>753</v>
      </c>
      <c r="E26" s="305" t="s">
        <v>754</v>
      </c>
      <c r="F26" s="304">
        <f ca="1">INDIRECT("'数据-取费表'!q"&amp;$G$1)</f>
        <v>0.2</v>
      </c>
      <c r="G26" s="1288"/>
      <c r="H26" s="291" t="s">
        <v>395</v>
      </c>
      <c r="I26" s="292" t="s">
        <v>755</v>
      </c>
      <c r="J26" s="293">
        <f ca="1">IF(J5&lt;&gt;0,ROUND(J25*(1-((1+M28)/(1+M26))^M27)/(M26-M28),0),0)</f>
        <v>0</v>
      </c>
      <c r="K26" s="316" t="s">
        <v>756</v>
      </c>
      <c r="L26" s="294" t="s">
        <v>757</v>
      </c>
      <c r="M26" s="304">
        <f ca="1">INDIRECT("'数据-取费表'!I"&amp;$G$1)</f>
        <v>5.5E-2</v>
      </c>
    </row>
    <row r="27" spans="1:37" ht="18" customHeight="1">
      <c r="A27" s="924" t="s">
        <v>399</v>
      </c>
      <c r="B27" s="294" t="s">
        <v>758</v>
      </c>
      <c r="C27" s="21">
        <f ca="1">ROUND(F21*F26,4)</f>
        <v>6.0000000000000001E-3</v>
      </c>
      <c r="D27" s="315" t="s">
        <v>759</v>
      </c>
      <c r="E27" s="312"/>
      <c r="F27" s="313"/>
      <c r="G27" s="1288"/>
      <c r="H27" s="296"/>
      <c r="I27" s="297"/>
      <c r="J27" s="298"/>
      <c r="K27" s="323" t="s">
        <v>760</v>
      </c>
      <c r="L27" s="294" t="s">
        <v>761</v>
      </c>
      <c r="M27" s="324">
        <f ca="1">INDIRECT("'数据-取费表'!ag"&amp;$G$1)</f>
        <v>0</v>
      </c>
    </row>
    <row r="28" spans="1:37" s="1300" customFormat="1" ht="18" customHeight="1">
      <c r="A28" s="924" t="s">
        <v>400</v>
      </c>
      <c r="B28" s="294" t="s">
        <v>762</v>
      </c>
      <c r="C28" s="21">
        <f>ROUND(F28/(1+'数据-取费表'!C42),4)</f>
        <v>5.33E-2</v>
      </c>
      <c r="D28" s="315" t="s">
        <v>763</v>
      </c>
      <c r="E28" s="294" t="s">
        <v>710</v>
      </c>
      <c r="F28" s="314">
        <f>'数据-取费表'!B41</f>
        <v>5.6000000000000001E-2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f ca="1">ROUND((C19+C20+C23+C26)/(1-F21-C24-C27-C28),0)</f>
        <v>10571</v>
      </c>
      <c r="D29" s="1025"/>
      <c r="E29" s="1023"/>
      <c r="F29" s="1026"/>
      <c r="G29" s="1299"/>
      <c r="H29" s="325" t="s">
        <v>396</v>
      </c>
      <c r="I29" s="326" t="s">
        <v>766</v>
      </c>
      <c r="J29" s="327">
        <f ca="1">ROUND(J26/(1+F40)^F41,0)</f>
        <v>0</v>
      </c>
      <c r="K29" s="328" t="s">
        <v>767</v>
      </c>
      <c r="L29" s="329"/>
      <c r="M29" s="330">
        <f ca="1">INDIRECT("'数据-取费表'!k"&amp;$G$1)</f>
        <v>10413.970000000001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2">
        <f ca="1">ROUND(C31+C36+C37+C38,0)</f>
        <v>386</v>
      </c>
      <c r="D30" s="1020" t="s">
        <v>713</v>
      </c>
      <c r="E30" s="1021"/>
      <c r="F30" s="1005"/>
      <c r="G30" s="1288"/>
      <c r="H30" s="2466"/>
      <c r="I30" s="1301"/>
      <c r="J30" s="1302"/>
      <c r="K30" s="121"/>
      <c r="L30" s="2467"/>
      <c r="M30" s="2468"/>
    </row>
    <row r="31" spans="1:37" ht="18" customHeight="1">
      <c r="A31" s="924" t="s">
        <v>398</v>
      </c>
      <c r="B31" s="294" t="s">
        <v>717</v>
      </c>
      <c r="C31" s="2136">
        <f ca="1">ROUND(IF(AND(项目基本情况!B11="自然人",项目基本情况!B10="北京市"),C6*F31/(1+'数据-取费表'!C42),C32+C33+C34),2)</f>
        <v>315.45999999999998</v>
      </c>
      <c r="D31" s="1253" t="s">
        <v>718</v>
      </c>
      <c r="E31" s="1252" t="s">
        <v>768</v>
      </c>
      <c r="F31" s="2135">
        <f ca="1">IF(项目基本情况!B11="企业","——",IF(M47="住宅",IF(F6*F7*F8/12/(1+'数据-取费表'!F30)&gt;100000,4%,2.5%),IF(F6*F7*F8/12/(1+'数据-取费表'!F30)&gt;100000,12%,7%)))</f>
        <v>0.12</v>
      </c>
      <c r="G31" s="1288"/>
      <c r="H31" s="2565" t="s">
        <v>2304</v>
      </c>
      <c r="I31" s="1301"/>
      <c r="J31" s="1302"/>
      <c r="K31" s="121"/>
      <c r="L31" s="2467"/>
      <c r="M31" s="2468"/>
    </row>
    <row r="32" spans="1:37" ht="18" customHeight="1">
      <c r="A32" s="924" t="s">
        <v>397</v>
      </c>
      <c r="B32" s="294" t="s">
        <v>721</v>
      </c>
      <c r="C32" s="21">
        <f ca="1">IF(项目基本情况!B11="自然人","——",ROUND(C6*F32/(1+'数据-取费表'!C42),2))</f>
        <v>100.37</v>
      </c>
      <c r="D32" s="1252" t="s">
        <v>722</v>
      </c>
      <c r="E32" s="294" t="s">
        <v>710</v>
      </c>
      <c r="F32" s="322">
        <f>'数据-取费表'!B41</f>
        <v>5.6000000000000001E-2</v>
      </c>
      <c r="G32" s="1288"/>
      <c r="H32" s="2466"/>
      <c r="I32" s="1301"/>
      <c r="J32" s="1302"/>
      <c r="K32" s="121"/>
      <c r="L32" s="2467"/>
      <c r="M32" s="2468"/>
    </row>
    <row r="33" spans="1:18" ht="18" customHeight="1">
      <c r="A33" s="924" t="s">
        <v>399</v>
      </c>
      <c r="B33" s="294" t="s">
        <v>725</v>
      </c>
      <c r="C33" s="21">
        <f ca="1">IF(项目基本情况!B11="自然人","——",IF(D33="按租金收入计税",ROUND(C6*F33/(1+'数据-取费表'!C42),2),IF(D33="按房产原值计税",ROUND(C29*F33*0.7,2),INDIRECT("'数据-取费表'!Aj"&amp;$G$1))))</f>
        <v>215.09</v>
      </c>
      <c r="D33" s="1274" t="s">
        <v>3333</v>
      </c>
      <c r="E33" s="294" t="s">
        <v>710</v>
      </c>
      <c r="F33" s="314">
        <f>IF(D33="按票据","——",IF(D33="按租金收入计税",'数据-取费表'!B51,'数据-取费表'!B50))</f>
        <v>0.12</v>
      </c>
      <c r="G33" s="1288"/>
      <c r="H33" s="2469"/>
      <c r="I33" s="1301"/>
      <c r="J33" s="1302"/>
      <c r="K33" s="2470"/>
      <c r="L33" s="2469"/>
      <c r="M33" s="2469"/>
    </row>
    <row r="34" spans="1:18" ht="18" customHeight="1">
      <c r="A34" s="1002" t="s">
        <v>678</v>
      </c>
      <c r="B34" s="147" t="s">
        <v>728</v>
      </c>
      <c r="C34" s="22">
        <f ca="1">IF(项目基本情况!B11="自然人","——",ROUND(F34*F35/10000,2))</f>
        <v>0</v>
      </c>
      <c r="D34" s="316" t="s">
        <v>729</v>
      </c>
      <c r="E34" s="294" t="s">
        <v>730</v>
      </c>
      <c r="F34" s="317">
        <f>'数据-取费表'!B52</f>
        <v>30</v>
      </c>
      <c r="G34" s="1288"/>
      <c r="H34" s="2466"/>
      <c r="I34" s="1301"/>
      <c r="J34" s="1302"/>
      <c r="K34" s="2471"/>
      <c r="L34" s="2472"/>
      <c r="M34" s="2472"/>
    </row>
    <row r="35" spans="1:18" ht="18" customHeight="1">
      <c r="A35" s="1036"/>
      <c r="B35" s="1034"/>
      <c r="C35" s="26"/>
      <c r="D35" s="319"/>
      <c r="E35" s="294" t="s">
        <v>734</v>
      </c>
      <c r="F35" s="295">
        <f ca="1">INDIRECT("'数据-取费表'!r"&amp;$G$1)</f>
        <v>0</v>
      </c>
      <c r="G35" s="1288"/>
      <c r="H35" s="2466"/>
      <c r="I35" s="1301"/>
      <c r="J35" s="1302"/>
      <c r="K35" s="2470"/>
      <c r="L35" s="2469"/>
      <c r="M35" s="2469"/>
    </row>
    <row r="36" spans="1:18" ht="18" customHeight="1">
      <c r="A36" s="1035" t="s">
        <v>402</v>
      </c>
      <c r="B36" s="294" t="s">
        <v>736</v>
      </c>
      <c r="C36" s="21">
        <f ca="1">ROUND(C29*F36,2)</f>
        <v>52.86</v>
      </c>
      <c r="D36" s="1252" t="s">
        <v>769</v>
      </c>
      <c r="E36" s="294" t="s">
        <v>710</v>
      </c>
      <c r="F36" s="320">
        <f ca="1">INDIRECT("'数据-取费表'!Ak"&amp;$G$1)</f>
        <v>5.0000000000000001E-3</v>
      </c>
      <c r="G36" s="1288"/>
      <c r="H36" s="2469"/>
      <c r="I36" s="1301"/>
      <c r="J36" s="1302"/>
      <c r="K36" s="2327"/>
      <c r="L36" s="2469"/>
      <c r="M36" s="2469"/>
    </row>
    <row r="37" spans="1:18" ht="18" customHeight="1">
      <c r="A37" s="924" t="s">
        <v>437</v>
      </c>
      <c r="B37" s="294" t="s">
        <v>740</v>
      </c>
      <c r="C37" s="21">
        <f ca="1">ROUND(C13*F37,2)</f>
        <v>8.25</v>
      </c>
      <c r="D37" s="1252" t="s">
        <v>741</v>
      </c>
      <c r="E37" s="294" t="s">
        <v>742</v>
      </c>
      <c r="F37" s="321">
        <f ca="1">INDIRECT("'数据-取费表'!Al"&amp;$G$1)</f>
        <v>1E-3</v>
      </c>
      <c r="G37" s="1288"/>
      <c r="H37" s="2469"/>
      <c r="I37" s="1301"/>
      <c r="J37" s="1302"/>
      <c r="K37" s="2327"/>
      <c r="L37" s="2469"/>
      <c r="M37" s="2469"/>
    </row>
    <row r="38" spans="1:18" ht="18" customHeight="1" thickBot="1">
      <c r="A38" s="1022" t="s">
        <v>682</v>
      </c>
      <c r="B38" s="1023" t="s">
        <v>726</v>
      </c>
      <c r="C38" s="1024">
        <f ca="1">ROUND(C5*F38,2)</f>
        <v>9.42</v>
      </c>
      <c r="D38" s="1025" t="s">
        <v>746</v>
      </c>
      <c r="E38" s="1023" t="s">
        <v>742</v>
      </c>
      <c r="F38" s="1019">
        <f ca="1">INDIRECT("'数据-取费表'!Am"&amp;$G$1)</f>
        <v>5.0000000000000001E-3</v>
      </c>
      <c r="G38" s="1288"/>
      <c r="H38" s="2469"/>
      <c r="I38" s="1301"/>
      <c r="J38" s="1302"/>
      <c r="K38" s="2467"/>
      <c r="L38" s="2469"/>
      <c r="M38" s="2469"/>
    </row>
    <row r="39" spans="1:18" ht="24.65" customHeight="1" thickTop="1">
      <c r="A39" s="1012" t="s">
        <v>394</v>
      </c>
      <c r="B39" s="1027" t="s">
        <v>770</v>
      </c>
      <c r="C39" s="302">
        <f ca="1">C5-C30</f>
        <v>1498</v>
      </c>
      <c r="D39" s="1028" t="s">
        <v>771</v>
      </c>
      <c r="E39" s="1029"/>
      <c r="F39" s="1030"/>
      <c r="G39" s="1288"/>
      <c r="H39" s="2469">
        <f ca="1">C39/C6</f>
        <v>0.79596174282678001</v>
      </c>
      <c r="I39" s="1301"/>
      <c r="J39" s="1302"/>
      <c r="K39" s="2467"/>
      <c r="L39" s="2469"/>
      <c r="M39" s="2469"/>
    </row>
    <row r="40" spans="1:18" ht="18" customHeight="1">
      <c r="A40" s="291" t="s">
        <v>395</v>
      </c>
      <c r="B40" s="292" t="s">
        <v>772</v>
      </c>
      <c r="C40" s="293">
        <f ca="1">ROUND(C39*(1-((1+F42)/(1+F40))^F41)/(F40-F42),0)</f>
        <v>18956</v>
      </c>
      <c r="D40" s="316" t="s">
        <v>756</v>
      </c>
      <c r="E40" s="294" t="s">
        <v>757</v>
      </c>
      <c r="F40" s="304">
        <f ca="1">INDIRECT("'数据-取费表'!I"&amp;$G$1)</f>
        <v>5.5E-2</v>
      </c>
      <c r="G40" s="1288"/>
      <c r="H40" s="1362"/>
      <c r="I40" s="1301"/>
      <c r="J40" s="1302"/>
      <c r="K40" s="2467"/>
      <c r="L40" s="1362"/>
      <c r="M40" s="1362"/>
    </row>
    <row r="41" spans="1:18" ht="18" customHeight="1">
      <c r="A41" s="296"/>
      <c r="B41" s="297"/>
      <c r="C41" s="298"/>
      <c r="D41" s="323" t="s">
        <v>773</v>
      </c>
      <c r="E41" s="294" t="s">
        <v>761</v>
      </c>
      <c r="F41" s="324">
        <f ca="1">IF(INDIRECT("'数据-取费表'!af"&amp;$G$1)=0,INDIRECT("'数据-取费表'!ae"&amp;$G$1),INDIRECT("'数据-取费表'!af"&amp;$G$1))</f>
        <v>17.34</v>
      </c>
      <c r="G41" s="1288"/>
      <c r="H41" s="121"/>
      <c r="I41" s="1301"/>
      <c r="J41" s="1302"/>
      <c r="K41" s="2327"/>
      <c r="L41" s="121"/>
      <c r="M41" s="121"/>
    </row>
    <row r="42" spans="1:18" ht="18" customHeight="1">
      <c r="A42" s="300"/>
      <c r="B42" s="301"/>
      <c r="C42" s="302"/>
      <c r="D42" s="319"/>
      <c r="E42" s="294" t="s">
        <v>764</v>
      </c>
      <c r="F42" s="304">
        <f ca="1">INDIRECT("'数据-取费表'!v"&amp;$G$1)</f>
        <v>0.02</v>
      </c>
      <c r="G42" s="1288"/>
      <c r="H42" s="121"/>
      <c r="I42" s="1301"/>
      <c r="J42" s="1302"/>
      <c r="K42" s="2327"/>
      <c r="L42" s="121"/>
      <c r="M42" s="121"/>
    </row>
    <row r="43" spans="1:18" ht="18" customHeight="1" thickBot="1">
      <c r="A43" s="325" t="s">
        <v>396</v>
      </c>
      <c r="B43" s="326" t="s">
        <v>774</v>
      </c>
      <c r="C43" s="327">
        <f ca="1">ROUND(C40*10000/F43,0)</f>
        <v>18202</v>
      </c>
      <c r="D43" s="328" t="s">
        <v>775</v>
      </c>
      <c r="E43" s="329" t="s">
        <v>776</v>
      </c>
      <c r="F43" s="330">
        <f ca="1">INDIRECT("'数据-取费表'!k"&amp;$G$1)</f>
        <v>10413.970000000001</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806</v>
      </c>
      <c r="P45" s="1362"/>
      <c r="Q45" s="1362"/>
      <c r="R45" s="1362"/>
    </row>
    <row r="46" spans="1:18" s="1288" customFormat="1" ht="14" thickBot="1">
      <c r="A46" s="1307" t="s">
        <v>807</v>
      </c>
      <c r="C46" s="1308">
        <f ca="1">C68-C40</f>
        <v>-19627</v>
      </c>
      <c r="D46" s="1309" t="str">
        <f>C2</f>
        <v>万元</v>
      </c>
      <c r="E46" s="1303"/>
      <c r="F46" s="1303"/>
      <c r="I46" s="1310" t="s">
        <v>808</v>
      </c>
      <c r="J46" s="1311"/>
      <c r="K46" s="1312"/>
      <c r="L46" s="1313">
        <f ca="1">IF(M47="住宅",0,IF(L48&gt;J51,L60,J60))</f>
        <v>1490</v>
      </c>
      <c r="O46" s="1314" t="s">
        <v>809</v>
      </c>
      <c r="P46" s="1315" t="s">
        <v>810</v>
      </c>
      <c r="Q46" s="1316" t="s">
        <v>811</v>
      </c>
      <c r="R46" s="1316" t="s">
        <v>812</v>
      </c>
    </row>
    <row r="47" spans="1:18" s="1288" customFormat="1" ht="13.5" thickBot="1">
      <c r="A47" s="888" t="s">
        <v>685</v>
      </c>
      <c r="B47" s="920" t="s">
        <v>686</v>
      </c>
      <c r="C47" s="1050" t="s">
        <v>687</v>
      </c>
      <c r="D47" s="920" t="s">
        <v>688</v>
      </c>
      <c r="E47" s="991" t="s">
        <v>689</v>
      </c>
      <c r="F47" s="992"/>
      <c r="G47" s="681"/>
      <c r="I47" s="1317" t="s">
        <v>813</v>
      </c>
      <c r="J47" s="1318" t="s">
        <v>3427</v>
      </c>
      <c r="K47" s="1319" t="s">
        <v>814</v>
      </c>
      <c r="L47" s="1320">
        <f ca="1">INDIRECT("'数据-取费表'!d"&amp;$G$1)</f>
        <v>40</v>
      </c>
      <c r="M47" s="1284" t="str">
        <f>IF(ISNUMBER(FIND("住宅",C1)),"住宅","非住宅")</f>
        <v>非住宅</v>
      </c>
      <c r="O47" s="1321" t="s">
        <v>403</v>
      </c>
      <c r="P47" s="1322" t="s">
        <v>815</v>
      </c>
      <c r="Q47" s="1323">
        <f ca="1">C40+J29</f>
        <v>18956</v>
      </c>
      <c r="R47" s="1323" t="s">
        <v>816</v>
      </c>
    </row>
    <row r="48" spans="1:18" s="1288" customFormat="1" ht="43.5" thickBot="1">
      <c r="A48" s="1043" t="s">
        <v>438</v>
      </c>
      <c r="B48" s="292" t="s">
        <v>690</v>
      </c>
      <c r="C48" s="1264">
        <f ca="1">C49+C53+C55</f>
        <v>0</v>
      </c>
      <c r="D48" s="1045"/>
      <c r="E48" s="1046"/>
      <c r="F48" s="904"/>
      <c r="G48" s="681"/>
      <c r="H48" s="682"/>
      <c r="I48" s="1324" t="s">
        <v>817</v>
      </c>
      <c r="J48" s="1325" t="s">
        <v>3428</v>
      </c>
      <c r="K48" s="1326" t="s">
        <v>818</v>
      </c>
      <c r="L48" s="1327">
        <f ca="1">INDIRECT("'数据-取费表'!f"&amp;$G$1)</f>
        <v>17.34</v>
      </c>
      <c r="O48" s="1321" t="s">
        <v>404</v>
      </c>
      <c r="P48" s="1322" t="s">
        <v>819</v>
      </c>
      <c r="Q48" s="1323">
        <f ca="1">J60</f>
        <v>1490</v>
      </c>
      <c r="R48" s="1323" t="s">
        <v>820</v>
      </c>
    </row>
    <row r="49" spans="1:18" s="1288" customFormat="1" ht="13.5" thickBot="1">
      <c r="A49" s="917" t="s">
        <v>439</v>
      </c>
      <c r="B49" s="1275" t="s">
        <v>777</v>
      </c>
      <c r="C49" s="1047">
        <f ca="1">ROUND(F49*F51*F50*(1-F52)/10000,0)</f>
        <v>0</v>
      </c>
      <c r="D49" s="988" t="s">
        <v>2108</v>
      </c>
      <c r="E49" s="1276" t="s">
        <v>778</v>
      </c>
      <c r="F49" s="993"/>
      <c r="H49" s="682"/>
      <c r="I49" s="1324" t="s">
        <v>821</v>
      </c>
      <c r="J49" s="1328">
        <f>取值过程!C16</f>
        <v>2011</v>
      </c>
      <c r="K49" s="1326" t="s">
        <v>822</v>
      </c>
      <c r="L49" s="1329"/>
      <c r="O49" s="1330" t="s">
        <v>405</v>
      </c>
      <c r="P49" s="1322" t="s">
        <v>823</v>
      </c>
      <c r="Q49" s="1323">
        <f ca="1">C29</f>
        <v>10571</v>
      </c>
      <c r="R49" s="1323" t="s">
        <v>816</v>
      </c>
    </row>
    <row r="50" spans="1:18" s="1288" customFormat="1" ht="13.5" thickBot="1">
      <c r="A50" s="918"/>
      <c r="B50" s="921"/>
      <c r="C50" s="1051"/>
      <c r="D50" s="895"/>
      <c r="E50" s="989" t="s">
        <v>695</v>
      </c>
      <c r="F50" s="990">
        <f ca="1">F7</f>
        <v>10413.970000000001</v>
      </c>
      <c r="H50" s="682"/>
      <c r="I50" s="1324" t="s">
        <v>824</v>
      </c>
      <c r="J50" s="1331">
        <f>SUMPRODUCT((I63:I65=J47)*(J62:L62=J48)*(J63:L65))</f>
        <v>60</v>
      </c>
      <c r="K50" s="1326" t="s">
        <v>825</v>
      </c>
      <c r="L50" s="1329"/>
      <c r="M50" s="1332"/>
      <c r="O50" s="1330" t="s">
        <v>406</v>
      </c>
      <c r="P50" s="1322" t="s">
        <v>826</v>
      </c>
      <c r="Q50" s="1333">
        <f ca="1">J58</f>
        <v>0.49399999999999999</v>
      </c>
      <c r="R50" s="1323"/>
    </row>
    <row r="51" spans="1:18" s="1288" customFormat="1" ht="13.5" thickBot="1">
      <c r="A51" s="919"/>
      <c r="B51" s="921"/>
      <c r="C51" s="922"/>
      <c r="D51" s="895"/>
      <c r="E51" s="923" t="s">
        <v>696</v>
      </c>
      <c r="F51" s="295">
        <f ca="1">F8</f>
        <v>365</v>
      </c>
      <c r="I51" s="1334" t="s">
        <v>827</v>
      </c>
      <c r="J51" s="1327">
        <f>IF(J49="",J50,J49+J50-YEAR('数据-取费表'!B2))</f>
        <v>47</v>
      </c>
      <c r="K51" s="1335" t="s">
        <v>828</v>
      </c>
      <c r="L51" s="1336">
        <f ca="1">ROUND(-PV(INDIRECT("'数据-取费表'!h"&amp;$G$1),J51,(C39-C13*C76),0),0)</f>
        <v>16558</v>
      </c>
      <c r="M51" s="1337"/>
      <c r="O51" s="1330" t="s">
        <v>407</v>
      </c>
      <c r="P51" s="1322" t="s">
        <v>829</v>
      </c>
      <c r="Q51" s="1333">
        <f>J52</f>
        <v>7.4999999999999997E-2</v>
      </c>
      <c r="R51" s="1323"/>
    </row>
    <row r="52" spans="1:18" s="1288" customFormat="1" ht="13.5" thickBot="1">
      <c r="A52" s="919"/>
      <c r="B52" s="921"/>
      <c r="C52" s="922"/>
      <c r="D52" s="895"/>
      <c r="E52" s="923" t="s">
        <v>697</v>
      </c>
      <c r="F52" s="987"/>
      <c r="I52" s="1338" t="s">
        <v>830</v>
      </c>
      <c r="J52" s="1339">
        <v>7.4999999999999997E-2</v>
      </c>
      <c r="K52" s="1338" t="s">
        <v>831</v>
      </c>
      <c r="L52" s="1339"/>
      <c r="O52" s="1330" t="s">
        <v>408</v>
      </c>
      <c r="P52" s="1322" t="s">
        <v>832</v>
      </c>
      <c r="Q52" s="1323">
        <f ca="1">J53</f>
        <v>17.34</v>
      </c>
      <c r="R52" s="1323" t="s">
        <v>833</v>
      </c>
    </row>
    <row r="53" spans="1:18" s="1288" customFormat="1" ht="26.5" thickBot="1">
      <c r="A53" s="1075" t="s">
        <v>440</v>
      </c>
      <c r="B53" s="1277" t="s">
        <v>698</v>
      </c>
      <c r="C53" s="308">
        <f ca="1">ROUND(IF(F53="押一",C49/12*F11,IF(F53="押二",C49/12*2*F11,IF(F53="押三",C49/12*3*F11,C54*F11))),0)</f>
        <v>0</v>
      </c>
      <c r="D53" s="150" t="s">
        <v>2114</v>
      </c>
      <c r="E53" s="305" t="s">
        <v>699</v>
      </c>
      <c r="F53" s="1049"/>
      <c r="I53" s="1340" t="s">
        <v>834</v>
      </c>
      <c r="J53" s="2002">
        <f ca="1">IF(M47="住宅",IF(D1="——",MAX(J51,L48),MAX(J51,L48-'数据-取费表'!B24)),IF(D1="——",MIN(J51,L48),MIN(J51,L48-'数据-取费表'!B24)))</f>
        <v>17.34</v>
      </c>
      <c r="K53" s="3405" t="s">
        <v>835</v>
      </c>
      <c r="L53" s="3406"/>
      <c r="O53" s="1321" t="s">
        <v>409</v>
      </c>
      <c r="P53" s="1322" t="s">
        <v>836</v>
      </c>
      <c r="Q53" s="1323">
        <f ca="1">Q47+Q48</f>
        <v>20446</v>
      </c>
      <c r="R53" s="1323" t="s">
        <v>410</v>
      </c>
    </row>
    <row r="54" spans="1:18" s="1288" customFormat="1" ht="26.5" thickBot="1">
      <c r="A54" s="1076"/>
      <c r="B54" s="1271" t="s">
        <v>677</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6" t="s">
        <v>437</v>
      </c>
      <c r="B55" s="1273" t="s">
        <v>701</v>
      </c>
      <c r="C55" s="1017"/>
      <c r="D55" s="150"/>
      <c r="E55" s="1278"/>
      <c r="F55" s="1341"/>
      <c r="I55" s="1344" t="s">
        <v>838</v>
      </c>
      <c r="J55" s="1345">
        <f ca="1">ROUND(IF(J47="钢混",J57/J50,1-(1-2%)*(J50-J57)/J50),3)</f>
        <v>0.49399999999999999</v>
      </c>
      <c r="K55" s="1346" t="s">
        <v>839</v>
      </c>
      <c r="L55" s="1347"/>
      <c r="O55" s="1314" t="s">
        <v>809</v>
      </c>
      <c r="P55" s="1315" t="s">
        <v>810</v>
      </c>
      <c r="Q55" s="1316" t="s">
        <v>811</v>
      </c>
      <c r="R55" s="1316" t="s">
        <v>812</v>
      </c>
    </row>
    <row r="56" spans="1:18" s="1288" customFormat="1" ht="40" thickTop="1" thickBot="1">
      <c r="A56" s="899">
        <v>2</v>
      </c>
      <c r="B56" s="900" t="s">
        <v>702</v>
      </c>
      <c r="C56" s="224">
        <f ca="1">C13</f>
        <v>8245</v>
      </c>
      <c r="D56" s="1348"/>
      <c r="E56" s="1349"/>
      <c r="F56" s="1341"/>
      <c r="I56" s="1350" t="s">
        <v>840</v>
      </c>
      <c r="J56" s="1351" t="s">
        <v>3409</v>
      </c>
      <c r="K56" s="1324" t="s">
        <v>841</v>
      </c>
      <c r="L56" s="1327" t="str">
        <f ca="1">IF(L48&lt;J51,"——",L48-J53)</f>
        <v>——</v>
      </c>
      <c r="O56" s="1321" t="s">
        <v>403</v>
      </c>
      <c r="P56" s="1322" t="s">
        <v>815</v>
      </c>
      <c r="Q56" s="1323">
        <f ca="1">C40+J29</f>
        <v>18956</v>
      </c>
      <c r="R56" s="1323" t="s">
        <v>816</v>
      </c>
    </row>
    <row r="57" spans="1:18" s="1288" customFormat="1" ht="26.5" thickBot="1">
      <c r="A57" s="1352"/>
      <c r="B57" s="892" t="s">
        <v>765</v>
      </c>
      <c r="C57" s="230">
        <f ca="1">C29</f>
        <v>10571</v>
      </c>
      <c r="D57" s="1353"/>
      <c r="E57" s="1354"/>
      <c r="F57" s="1355"/>
      <c r="I57" s="1356" t="s">
        <v>842</v>
      </c>
      <c r="J57" s="1357">
        <f ca="1">IF(OR(M47="住宅",J51&lt;L48,J56="是"),"——",J51-L48)</f>
        <v>29.66</v>
      </c>
      <c r="K57" s="1324" t="s">
        <v>843</v>
      </c>
      <c r="L57" s="1327" t="str">
        <f ca="1">IF(L48&lt;J51,"——",IF(L55="比较法",L49,IF(L55="基准地价",L50,L51)))</f>
        <v>——</v>
      </c>
      <c r="O57" s="1321" t="s">
        <v>404</v>
      </c>
      <c r="P57" s="1322" t="s">
        <v>844</v>
      </c>
      <c r="Q57" s="1323">
        <f ca="1">L60</f>
        <v>0</v>
      </c>
      <c r="R57" s="1323" t="s">
        <v>845</v>
      </c>
    </row>
    <row r="58" spans="1:18" s="1288" customFormat="1" ht="26.5" thickBot="1">
      <c r="A58" s="307" t="s">
        <v>393</v>
      </c>
      <c r="B58" s="900" t="s">
        <v>712</v>
      </c>
      <c r="C58" s="308">
        <f ca="1">ROUND(C59+C64+C65+C66,0)</f>
        <v>61</v>
      </c>
      <c r="D58" s="902" t="s">
        <v>713</v>
      </c>
      <c r="E58" s="903"/>
      <c r="F58" s="904"/>
      <c r="I58" s="1356" t="s">
        <v>846</v>
      </c>
      <c r="J58" s="1358">
        <f ca="1">IF(J55&lt;0.4,0.4,J55)</f>
        <v>0.49399999999999999</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6.5" thickBot="1">
      <c r="A59" s="924" t="s">
        <v>398</v>
      </c>
      <c r="B59" s="892" t="s">
        <v>717</v>
      </c>
      <c r="C59" s="2136">
        <f ca="1">ROUND(IF(AND(项目基本情况!B11="自然人",项目基本情况!B10="北京市"),C49*F59/(1+'数据-取费表'!C42),C60+C61+C62),0)</f>
        <v>0</v>
      </c>
      <c r="D59" s="905" t="s">
        <v>718</v>
      </c>
      <c r="E59" s="906" t="s">
        <v>719</v>
      </c>
      <c r="F59" s="2135">
        <f ca="1">IF(项目基本情况!B11="企业","——",IF('数据-取费表'!B10="住宅",IF(F49*F50*F51/12/(1+'数据-取费表'!F30)&gt;100000,4%,2.5%),IF(F49*F50*F51/12/(1+'数据-取费表'!F30)&gt;100000,12%,7%)))</f>
        <v>7.0000000000000007E-2</v>
      </c>
      <c r="I59" s="1356" t="s">
        <v>849</v>
      </c>
      <c r="J59" s="1357">
        <f ca="1">IF(OR(M47="住宅",J51&lt;L48,J56="是"),"——",ROUND(C29*J58,0))</f>
        <v>5222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 thickBot="1">
      <c r="A60" s="924" t="s">
        <v>397</v>
      </c>
      <c r="B60" s="892" t="s">
        <v>721</v>
      </c>
      <c r="C60" s="21">
        <f ca="1">IF(项目基本情况!B11="自然人","——",ROUND(C48*F60/(1+'数据-取费表'!C42),2))</f>
        <v>0</v>
      </c>
      <c r="D60" s="906" t="s">
        <v>722</v>
      </c>
      <c r="E60" s="892" t="s">
        <v>710</v>
      </c>
      <c r="F60" s="322">
        <f t="shared" ref="F60:F66" si="0">F32</f>
        <v>5.6000000000000001E-2</v>
      </c>
      <c r="I60" s="1359" t="s">
        <v>851</v>
      </c>
      <c r="J60" s="1360">
        <f ca="1">IF(OR(M47="住宅",J51&lt;L48,J56="是"),"0",ROUND(J59/(1+J52)^J53,0))</f>
        <v>1490</v>
      </c>
      <c r="K60" s="1361" t="s">
        <v>852</v>
      </c>
      <c r="L60" s="1360">
        <f ca="1">IF(OR(M47="住宅",L48&lt;J51),0,ROUND(L57*(L58/L59-1),0))</f>
        <v>0</v>
      </c>
      <c r="O60" s="1330" t="s">
        <v>407</v>
      </c>
      <c r="P60" s="1322" t="s">
        <v>853</v>
      </c>
      <c r="Q60" s="1323" t="e">
        <f ca="1">L58</f>
        <v>#DIV/0!</v>
      </c>
      <c r="R60" s="1323" t="s">
        <v>854</v>
      </c>
    </row>
    <row r="61" spans="1:18" s="1288" customFormat="1" ht="13.5" thickBot="1">
      <c r="A61" s="924" t="s">
        <v>779</v>
      </c>
      <c r="B61" s="892" t="s">
        <v>780</v>
      </c>
      <c r="C61" s="21">
        <f ca="1">IF(项目基本情况!B11="自然人","——",IF(D61="按租金收入计税",ROUND(C49*F61/(1+'数据-取费表'!C42),2),IF(D61="按房产原值计税",ROUND(C57*F61*0.7,2),INDIRECT("'数据-取费表'!Aj"&amp;$G$1))))</f>
        <v>0</v>
      </c>
      <c r="D61" s="1274" t="s">
        <v>3333</v>
      </c>
      <c r="E61" s="892" t="s">
        <v>781</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4" t="s">
        <v>782</v>
      </c>
      <c r="B62" s="891" t="s">
        <v>783</v>
      </c>
      <c r="C62" s="22">
        <f ca="1">IF(项目基本情况!B11="自然人","——",ROUND(F62*F63/10000,2))</f>
        <v>0</v>
      </c>
      <c r="D62" s="907" t="s">
        <v>784</v>
      </c>
      <c r="E62" s="892" t="s">
        <v>785</v>
      </c>
      <c r="F62" s="317">
        <f t="shared" si="0"/>
        <v>30</v>
      </c>
      <c r="I62" s="1363" t="s">
        <v>856</v>
      </c>
      <c r="J62" s="610" t="s">
        <v>857</v>
      </c>
      <c r="K62" s="610" t="s">
        <v>858</v>
      </c>
      <c r="L62" s="610" t="s">
        <v>859</v>
      </c>
      <c r="M62" s="1364" t="s">
        <v>860</v>
      </c>
      <c r="O62" s="1321" t="s">
        <v>409</v>
      </c>
      <c r="P62" s="1322" t="s">
        <v>861</v>
      </c>
      <c r="Q62" s="1323">
        <f ca="1">Q56+Q57</f>
        <v>18956</v>
      </c>
      <c r="R62" s="1323" t="s">
        <v>410</v>
      </c>
    </row>
    <row r="63" spans="1:18" s="1288" customFormat="1" ht="13.5" thickBot="1">
      <c r="A63" s="318"/>
      <c r="B63" s="898"/>
      <c r="C63" s="26"/>
      <c r="D63" s="908"/>
      <c r="E63" s="892" t="s">
        <v>786</v>
      </c>
      <c r="F63" s="295">
        <f t="shared" ca="1" si="0"/>
        <v>0</v>
      </c>
      <c r="I63" s="1363" t="s">
        <v>862</v>
      </c>
      <c r="J63" s="610">
        <v>70</v>
      </c>
      <c r="K63" s="610">
        <v>50</v>
      </c>
      <c r="L63" s="610">
        <v>80</v>
      </c>
      <c r="M63" s="1365">
        <v>0.02</v>
      </c>
      <c r="O63" s="1306" t="s">
        <v>863</v>
      </c>
      <c r="P63" s="1285"/>
      <c r="Q63" s="1285"/>
      <c r="R63" s="1285"/>
    </row>
    <row r="64" spans="1:18" s="1288" customFormat="1" ht="13.5" thickBot="1">
      <c r="A64" s="924" t="s">
        <v>787</v>
      </c>
      <c r="B64" s="892" t="s">
        <v>788</v>
      </c>
      <c r="C64" s="21">
        <f ca="1">ROUND(C57*F64,2)</f>
        <v>52.86</v>
      </c>
      <c r="D64" s="906" t="s">
        <v>789</v>
      </c>
      <c r="E64" s="892" t="s">
        <v>781</v>
      </c>
      <c r="F64" s="320">
        <f t="shared" ca="1" si="0"/>
        <v>5.0000000000000001E-3</v>
      </c>
      <c r="I64" s="1363" t="s">
        <v>864</v>
      </c>
      <c r="J64" s="610">
        <v>50</v>
      </c>
      <c r="K64" s="610">
        <v>35</v>
      </c>
      <c r="L64" s="610">
        <v>60</v>
      </c>
      <c r="M64" s="1364">
        <v>0</v>
      </c>
      <c r="O64" s="1314" t="s">
        <v>809</v>
      </c>
      <c r="P64" s="1315" t="s">
        <v>810</v>
      </c>
      <c r="Q64" s="1316" t="s">
        <v>811</v>
      </c>
      <c r="R64" s="1316" t="s">
        <v>812</v>
      </c>
    </row>
    <row r="65" spans="1:18" s="1288" customFormat="1" ht="13.5" thickBot="1">
      <c r="A65" s="924" t="s">
        <v>790</v>
      </c>
      <c r="B65" s="892" t="s">
        <v>740</v>
      </c>
      <c r="C65" s="21">
        <f ca="1">ROUND(C56*F65,2)</f>
        <v>8.25</v>
      </c>
      <c r="D65" s="906" t="s">
        <v>741</v>
      </c>
      <c r="E65" s="892" t="s">
        <v>742</v>
      </c>
      <c r="F65" s="321">
        <f t="shared" ca="1" si="0"/>
        <v>1E-3</v>
      </c>
      <c r="I65" s="1363" t="s">
        <v>865</v>
      </c>
      <c r="J65" s="610">
        <v>40</v>
      </c>
      <c r="K65" s="610">
        <v>30</v>
      </c>
      <c r="L65" s="610">
        <v>50</v>
      </c>
      <c r="M65" s="1365">
        <v>0.02</v>
      </c>
      <c r="O65" s="1321" t="s">
        <v>403</v>
      </c>
      <c r="P65" s="1322" t="s">
        <v>866</v>
      </c>
      <c r="Q65" s="1323">
        <f ca="1">C40+J29</f>
        <v>18956</v>
      </c>
      <c r="R65" s="1323" t="s">
        <v>816</v>
      </c>
    </row>
    <row r="66" spans="1:18" s="1288" customFormat="1" ht="16" thickBot="1">
      <c r="A66" s="924" t="s">
        <v>791</v>
      </c>
      <c r="B66" s="892" t="s">
        <v>726</v>
      </c>
      <c r="C66" s="21">
        <f ca="1">ROUND(C48*F66,2)</f>
        <v>0</v>
      </c>
      <c r="D66" s="906" t="s">
        <v>792</v>
      </c>
      <c r="E66" s="892" t="s">
        <v>710</v>
      </c>
      <c r="F66" s="304">
        <f t="shared" ca="1" si="0"/>
        <v>5.0000000000000001E-3</v>
      </c>
      <c r="O66" s="1321" t="s">
        <v>404</v>
      </c>
      <c r="P66" s="1322" t="s">
        <v>844</v>
      </c>
      <c r="Q66" s="1323">
        <f ca="1">L60</f>
        <v>0</v>
      </c>
      <c r="R66" s="1323" t="s">
        <v>867</v>
      </c>
    </row>
    <row r="67" spans="1:18" s="1288" customFormat="1" ht="26.5" thickBot="1">
      <c r="A67" s="899" t="s">
        <v>394</v>
      </c>
      <c r="B67" s="909" t="s">
        <v>750</v>
      </c>
      <c r="C67" s="308">
        <f ca="1">C48-C58</f>
        <v>-61</v>
      </c>
      <c r="D67" s="905" t="s">
        <v>751</v>
      </c>
      <c r="E67" s="910"/>
      <c r="F67" s="911"/>
      <c r="O67" s="1330" t="s">
        <v>405</v>
      </c>
      <c r="P67" s="1322" t="s">
        <v>848</v>
      </c>
      <c r="Q67" s="1366">
        <f ca="1">L51</f>
        <v>16558</v>
      </c>
      <c r="R67" s="1323" t="s">
        <v>868</v>
      </c>
    </row>
    <row r="68" spans="1:18" s="1288" customFormat="1" ht="16" thickBot="1">
      <c r="A68" s="889" t="s">
        <v>395</v>
      </c>
      <c r="B68" s="890" t="s">
        <v>772</v>
      </c>
      <c r="C68" s="293">
        <f ca="1">ROUND(C67*(1-((1+F70)/(1+F68))^F69)/(F68-F70),0)</f>
        <v>-671</v>
      </c>
      <c r="D68" s="907" t="s">
        <v>756</v>
      </c>
      <c r="E68" s="892" t="s">
        <v>757</v>
      </c>
      <c r="F68" s="304">
        <f ca="1">F40</f>
        <v>5.5E-2</v>
      </c>
      <c r="O68" s="1330" t="s">
        <v>406</v>
      </c>
      <c r="P68" s="1367" t="s">
        <v>869</v>
      </c>
      <c r="Q68" s="1323">
        <f ca="1">ROUND(Q69-Q70*Q71,0)</f>
        <v>921</v>
      </c>
      <c r="R68" s="1323" t="s">
        <v>414</v>
      </c>
    </row>
    <row r="69" spans="1:18" s="1288" customFormat="1" ht="13.5" thickBot="1">
      <c r="A69" s="893"/>
      <c r="B69" s="894"/>
      <c r="C69" s="298"/>
      <c r="D69" s="912" t="s">
        <v>760</v>
      </c>
      <c r="E69" s="892" t="s">
        <v>761</v>
      </c>
      <c r="F69" s="324">
        <f ca="1">F41</f>
        <v>17.34</v>
      </c>
      <c r="O69" s="1330" t="s">
        <v>411</v>
      </c>
      <c r="P69" s="1367" t="s">
        <v>870</v>
      </c>
      <c r="Q69" s="1323">
        <f ca="1">C39</f>
        <v>1498</v>
      </c>
      <c r="R69" s="1323" t="s">
        <v>816</v>
      </c>
    </row>
    <row r="70" spans="1:18" s="1288" customFormat="1" ht="13.5" thickBot="1">
      <c r="A70" s="896"/>
      <c r="B70" s="897"/>
      <c r="C70" s="302"/>
      <c r="D70" s="908"/>
      <c r="E70" s="892" t="s">
        <v>764</v>
      </c>
      <c r="F70" s="987"/>
      <c r="O70" s="1330" t="s">
        <v>412</v>
      </c>
      <c r="P70" s="1367" t="s">
        <v>871</v>
      </c>
      <c r="Q70" s="1323">
        <f ca="1">C13</f>
        <v>8245</v>
      </c>
      <c r="R70" s="1323" t="s">
        <v>816</v>
      </c>
    </row>
    <row r="71" spans="1:18" s="1288" customFormat="1" ht="13.5" thickBot="1">
      <c r="A71" s="913" t="s">
        <v>396</v>
      </c>
      <c r="B71" s="914" t="s">
        <v>774</v>
      </c>
      <c r="C71" s="327">
        <f ca="1">ROUND(C68*10000/F71,0)</f>
        <v>-644</v>
      </c>
      <c r="D71" s="915" t="s">
        <v>775</v>
      </c>
      <c r="E71" s="916" t="s">
        <v>776</v>
      </c>
      <c r="F71" s="330">
        <f ca="1">F43</f>
        <v>10413.970000000001</v>
      </c>
      <c r="O71" s="1330" t="s">
        <v>413</v>
      </c>
      <c r="P71" s="1367" t="s">
        <v>872</v>
      </c>
      <c r="Q71" s="1333">
        <f ca="1">C76</f>
        <v>7.0000000000000007E-2</v>
      </c>
      <c r="R71" s="1323"/>
    </row>
    <row r="72" spans="1:18" s="1288" customFormat="1" ht="13.5" thickBot="1">
      <c r="B72" s="685"/>
      <c r="C72" s="685"/>
      <c r="O72" s="1330" t="s">
        <v>407</v>
      </c>
      <c r="P72" s="1322" t="s">
        <v>850</v>
      </c>
      <c r="Q72" s="1333">
        <f>L52</f>
        <v>0</v>
      </c>
      <c r="R72" s="1323"/>
    </row>
    <row r="73" spans="1:18" ht="16" thickBot="1">
      <c r="A73" s="1288"/>
      <c r="B73" s="685"/>
      <c r="C73" s="685"/>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577</v>
      </c>
      <c r="D75" s="1288"/>
      <c r="E75" s="1288"/>
      <c r="F75" s="1288"/>
      <c r="K75" s="1305"/>
      <c r="L75" s="1288"/>
      <c r="O75" s="1321" t="s">
        <v>409</v>
      </c>
      <c r="P75" s="1322" t="s">
        <v>836</v>
      </c>
      <c r="Q75" s="1323">
        <f ca="1">Q65+Q66</f>
        <v>18956</v>
      </c>
      <c r="R75" s="1323" t="s">
        <v>410</v>
      </c>
    </row>
    <row r="76" spans="1:18" ht="13">
      <c r="B76" s="333" t="s">
        <v>794</v>
      </c>
      <c r="C76" s="334">
        <f ca="1">INDIRECT("'数据-取费表'!j"&amp;$G$1)</f>
        <v>7.0000000000000007E-2</v>
      </c>
      <c r="I76" s="1288"/>
      <c r="J76" s="1288"/>
      <c r="K76" s="1305"/>
      <c r="L76" s="1288"/>
    </row>
    <row r="77" spans="1:18" ht="13.5">
      <c r="B77" s="335" t="s">
        <v>795</v>
      </c>
      <c r="C77" s="336"/>
      <c r="I77" s="1288"/>
      <c r="J77" s="1288"/>
      <c r="K77" s="1305"/>
      <c r="L77" s="1288"/>
    </row>
    <row r="78" spans="1:18" ht="13.5">
      <c r="B78" s="262" t="s">
        <v>796</v>
      </c>
      <c r="C78" s="337"/>
    </row>
    <row r="79" spans="1:18" ht="13">
      <c r="B79" s="331" t="s">
        <v>797</v>
      </c>
      <c r="C79" s="266">
        <f ca="1">1-C80</f>
        <v>0.61499999999999999</v>
      </c>
    </row>
    <row r="80" spans="1:18" ht="13">
      <c r="B80" s="331" t="s">
        <v>798</v>
      </c>
      <c r="C80" s="266">
        <f ca="1">ROUND(C75/C39,3)</f>
        <v>0.38500000000000001</v>
      </c>
    </row>
    <row r="81" spans="2:3" ht="13.5">
      <c r="B81" s="262" t="s">
        <v>799</v>
      </c>
      <c r="C81" s="230"/>
    </row>
    <row r="82" spans="2:3" ht="13">
      <c r="B82" s="265" t="s">
        <v>800</v>
      </c>
      <c r="C82" s="267">
        <f ca="1">1-C83</f>
        <v>0.56499999999999995</v>
      </c>
    </row>
    <row r="83" spans="2:3" ht="13">
      <c r="B83" s="265" t="s">
        <v>801</v>
      </c>
      <c r="C83" s="266">
        <f ca="1">ROUND(C13/C40,3)</f>
        <v>0.435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68" customWidth="1"/>
    <col min="12" max="12" width="16.36328125" style="250" customWidth="1"/>
    <col min="13" max="13" width="13" style="250" customWidth="1"/>
    <col min="14" max="14" width="13.7265625" style="1288" customWidth="1"/>
    <col min="15" max="15" width="5.08984375" style="1288" customWidth="1"/>
    <col min="16" max="16" width="25.7265625" style="1288" customWidth="1"/>
    <col min="17" max="17" width="13.7265625" style="1288" customWidth="1"/>
    <col min="18" max="18" width="20.453125" style="1288" customWidth="1"/>
    <col min="19" max="19" width="13.26953125" style="1288" customWidth="1"/>
    <col min="20" max="37" width="9" style="1288"/>
    <col min="38" max="16384" width="9" style="250"/>
  </cols>
  <sheetData>
    <row r="1" spans="1:37" s="285" customFormat="1" ht="21">
      <c r="A1" s="1279" t="s">
        <v>875</v>
      </c>
      <c r="B1" s="663"/>
      <c r="C1" s="1283"/>
      <c r="D1" s="1267" t="s">
        <v>43</v>
      </c>
      <c r="E1" s="1268" t="s">
        <v>676</v>
      </c>
      <c r="F1" s="995">
        <f ca="1">J53</f>
        <v>0</v>
      </c>
      <c r="G1" s="1282">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876</v>
      </c>
      <c r="B2" s="3119" t="e">
        <f ca="1">ROUND(D2/10000,4)</f>
        <v>#DIV/0!</v>
      </c>
      <c r="C2" s="1285" t="s">
        <v>877</v>
      </c>
      <c r="D2" s="1371" t="e">
        <f ca="1">C40+J29+L46</f>
        <v>#DIV/0!</v>
      </c>
      <c r="E2" s="1291" t="s">
        <v>878</v>
      </c>
      <c r="F2" s="1292"/>
      <c r="G2" s="2474"/>
      <c r="H2" s="2464"/>
      <c r="I2" s="2464"/>
      <c r="J2" s="2464"/>
      <c r="K2" s="2465"/>
      <c r="L2" s="2464"/>
      <c r="M2" s="2464"/>
    </row>
    <row r="3" spans="1:37" ht="18" customHeight="1" thickBot="1">
      <c r="A3" s="1293" t="s">
        <v>879</v>
      </c>
      <c r="B3" s="1294">
        <f ca="1">IF(ISERROR(D2/F43),0,ROUND(D2/F43,0))</f>
        <v>0</v>
      </c>
      <c r="C3" s="1285" t="s">
        <v>880</v>
      </c>
      <c r="D3" s="1285"/>
      <c r="E3" s="1291"/>
      <c r="F3" s="1292"/>
      <c r="G3" s="2474"/>
      <c r="H3" s="649" t="s">
        <v>874</v>
      </c>
      <c r="I3" s="1286"/>
      <c r="J3" s="1286"/>
      <c r="K3" s="1287"/>
      <c r="L3" s="1286"/>
      <c r="M3" s="1286"/>
    </row>
    <row r="4" spans="1:37" ht="18" customHeight="1">
      <c r="A4" s="287" t="s">
        <v>881</v>
      </c>
      <c r="B4" s="288" t="s">
        <v>882</v>
      </c>
      <c r="C4" s="288" t="s">
        <v>883</v>
      </c>
      <c r="D4" s="288" t="s">
        <v>884</v>
      </c>
      <c r="E4" s="289" t="s">
        <v>885</v>
      </c>
      <c r="F4" s="290"/>
      <c r="G4" s="1288"/>
      <c r="H4" s="287" t="s">
        <v>881</v>
      </c>
      <c r="I4" s="288" t="s">
        <v>882</v>
      </c>
      <c r="J4" s="288" t="s">
        <v>883</v>
      </c>
      <c r="K4" s="288" t="s">
        <v>884</v>
      </c>
      <c r="L4" s="289" t="s">
        <v>885</v>
      </c>
      <c r="M4" s="290"/>
    </row>
    <row r="5" spans="1:37" ht="18" customHeight="1">
      <c r="A5" s="291">
        <v>1</v>
      </c>
      <c r="B5" s="292" t="s">
        <v>886</v>
      </c>
      <c r="C5" s="1003">
        <f ca="1">C6+C10+C12</f>
        <v>0</v>
      </c>
      <c r="D5" s="1269" t="s">
        <v>887</v>
      </c>
      <c r="E5" s="1004"/>
      <c r="F5" s="1005"/>
      <c r="G5" s="1288"/>
      <c r="H5" s="291">
        <v>1</v>
      </c>
      <c r="I5" s="292" t="s">
        <v>886</v>
      </c>
      <c r="J5" s="1003">
        <f ca="1">J6+J10+J12</f>
        <v>0</v>
      </c>
      <c r="K5" s="1269" t="s">
        <v>887</v>
      </c>
      <c r="L5" s="1004"/>
      <c r="M5" s="1005"/>
    </row>
    <row r="6" spans="1:37" ht="18" customHeight="1">
      <c r="A6" s="1002" t="s">
        <v>398</v>
      </c>
      <c r="B6" s="3407" t="s">
        <v>692</v>
      </c>
      <c r="C6" s="1007">
        <f ca="1">ROUND(F6*F8*F7*(1-F9),0)</f>
        <v>0</v>
      </c>
      <c r="D6" s="147" t="s">
        <v>2104</v>
      </c>
      <c r="E6" s="294" t="s">
        <v>694</v>
      </c>
      <c r="F6" s="295">
        <f ca="1">INDIRECT("'数据-取费表'!u"&amp;$G$1)</f>
        <v>0</v>
      </c>
      <c r="G6" s="1288"/>
      <c r="H6" s="1002" t="s">
        <v>398</v>
      </c>
      <c r="I6" s="3407" t="s">
        <v>692</v>
      </c>
      <c r="J6" s="293">
        <f ca="1">ROUND(M6*M8*M7*(1-M9),0)</f>
        <v>0</v>
      </c>
      <c r="K6" s="1280" t="s">
        <v>2105</v>
      </c>
      <c r="L6" s="294" t="s">
        <v>694</v>
      </c>
      <c r="M6" s="295">
        <f ca="1">INDIRECT("'数据-取费表'!z"&amp;$G$1)</f>
        <v>0</v>
      </c>
    </row>
    <row r="7" spans="1:37" ht="18" customHeight="1">
      <c r="A7" s="1006"/>
      <c r="B7" s="3408"/>
      <c r="C7" s="1008"/>
      <c r="D7" s="299"/>
      <c r="E7" s="1009" t="s">
        <v>695</v>
      </c>
      <c r="F7" s="295">
        <f ca="1">IF(INDIRECT("'数据-取费表'!ah"&amp;$G$1)="",INDIRECT("'数据-取费表'!k"&amp;$G$1),INDIRECT("'数据-取费表'!ah"&amp;$G$1))</f>
        <v>0</v>
      </c>
      <c r="G7" s="1288"/>
      <c r="H7" s="296"/>
      <c r="I7" s="3408"/>
      <c r="J7" s="298"/>
      <c r="K7" s="299"/>
      <c r="L7" s="294" t="s">
        <v>695</v>
      </c>
      <c r="M7" s="295">
        <f ca="1">F7</f>
        <v>0</v>
      </c>
    </row>
    <row r="8" spans="1:37" ht="18" customHeight="1">
      <c r="A8" s="296"/>
      <c r="B8" s="3408"/>
      <c r="C8" s="298"/>
      <c r="D8" s="299"/>
      <c r="E8" s="294" t="s">
        <v>696</v>
      </c>
      <c r="F8" s="295">
        <f ca="1">INDIRECT("'数据-取费表'!ai"&amp;$G$1)</f>
        <v>0</v>
      </c>
      <c r="G8" s="1288"/>
      <c r="H8" s="296"/>
      <c r="I8" s="3408"/>
      <c r="J8" s="298"/>
      <c r="K8" s="299"/>
      <c r="L8" s="294" t="s">
        <v>696</v>
      </c>
      <c r="M8" s="295">
        <f ca="1">INDIRECT("'数据-取费表'!ai"&amp;$G$1)</f>
        <v>0</v>
      </c>
    </row>
    <row r="9" spans="1:37" ht="18" customHeight="1">
      <c r="A9" s="296"/>
      <c r="B9" s="3409"/>
      <c r="C9" s="298"/>
      <c r="D9" s="299"/>
      <c r="E9" s="294" t="s">
        <v>697</v>
      </c>
      <c r="F9" s="304">
        <f ca="1">INDIRECT("'数据-取费表'!w"&amp;$G$1)</f>
        <v>0</v>
      </c>
      <c r="G9" s="1288"/>
      <c r="H9" s="296"/>
      <c r="I9" s="3409"/>
      <c r="J9" s="298"/>
      <c r="K9" s="299"/>
      <c r="L9" s="305" t="s">
        <v>697</v>
      </c>
      <c r="M9" s="306">
        <f ca="1">INDIRECT("'数据-取费表'!ab"&amp;$G$1)</f>
        <v>0</v>
      </c>
    </row>
    <row r="10" spans="1:37" ht="18" customHeight="1">
      <c r="A10" s="1002" t="s">
        <v>402</v>
      </c>
      <c r="B10" s="1270" t="s">
        <v>698</v>
      </c>
      <c r="C10" s="308">
        <f ca="1">ROUND(IF(F10="押一",C6/12*F11,IF(F10="押二",C6/12*2*F11,IF(F10="押三",C6/12*3*F11,C11*F11))),0)</f>
        <v>0</v>
      </c>
      <c r="D10" s="150" t="s">
        <v>2114</v>
      </c>
      <c r="E10" s="305" t="s">
        <v>699</v>
      </c>
      <c r="F10" s="1049"/>
      <c r="G10" s="1288"/>
      <c r="H10" s="1002" t="s">
        <v>402</v>
      </c>
      <c r="I10" s="1270" t="s">
        <v>698</v>
      </c>
      <c r="J10" s="293">
        <f ca="1">ROUND(IF(M10="押一",J6/12*M11,IF(M10="押二",J6/12*2*M11,IF(M10="押三",J6/12*3*M11,J11*M11))),0)</f>
        <v>0</v>
      </c>
      <c r="K10" s="1281" t="s">
        <v>2116</v>
      </c>
      <c r="L10" s="305" t="s">
        <v>699</v>
      </c>
      <c r="M10" s="1049"/>
    </row>
    <row r="11" spans="1:37" ht="18" customHeight="1">
      <c r="A11" s="300"/>
      <c r="B11" s="1271" t="s">
        <v>888</v>
      </c>
      <c r="C11" s="901"/>
      <c r="D11" s="299"/>
      <c r="E11" s="305" t="s">
        <v>700</v>
      </c>
      <c r="F11" s="306">
        <f ca="1">'数据-取费表'!B39</f>
        <v>1.4999999999999999E-2</v>
      </c>
      <c r="G11" s="1288"/>
      <c r="H11" s="1010"/>
      <c r="I11" s="1271" t="s">
        <v>889</v>
      </c>
      <c r="J11" s="901"/>
      <c r="K11" s="646"/>
      <c r="L11" s="305" t="s">
        <v>700</v>
      </c>
      <c r="M11" s="805">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2">
        <f ca="1">ROUND(C29*F13,0)</f>
        <v>0</v>
      </c>
      <c r="D13" s="1014" t="s">
        <v>703</v>
      </c>
      <c r="E13" s="1014" t="s">
        <v>704</v>
      </c>
      <c r="F13" s="1015">
        <f ca="1">INDIRECT("'数据-取费表'!y"&amp;$G$1)</f>
        <v>0</v>
      </c>
      <c r="G13" s="1288"/>
      <c r="H13" s="1012">
        <v>2</v>
      </c>
      <c r="I13" s="1013" t="s">
        <v>702</v>
      </c>
      <c r="J13" s="1001">
        <f ca="1">ROUND(J14*J15,0)</f>
        <v>0</v>
      </c>
      <c r="K13" s="1020" t="s">
        <v>703</v>
      </c>
      <c r="L13" s="1295"/>
      <c r="M13" s="1296"/>
    </row>
    <row r="14" spans="1:37" ht="18" customHeight="1">
      <c r="A14" s="924" t="s">
        <v>397</v>
      </c>
      <c r="B14" s="294" t="s">
        <v>705</v>
      </c>
      <c r="C14" s="310">
        <f ca="1">ROUND(INDIRECT("'数据-取费表'!l"&amp;$G$1)*F43+'数据-取费表'!L14*INDIRECT("'数据-取费表'!S"&amp;$G$1),0)</f>
        <v>0</v>
      </c>
      <c r="D14" s="1253" t="s">
        <v>706</v>
      </c>
      <c r="E14" s="1251"/>
      <c r="F14" s="311"/>
      <c r="G14" s="1288"/>
      <c r="H14" s="924" t="s">
        <v>398</v>
      </c>
      <c r="I14" s="294" t="s">
        <v>707</v>
      </c>
      <c r="J14" s="21">
        <f ca="1">C29</f>
        <v>0</v>
      </c>
      <c r="K14" s="12"/>
      <c r="L14" s="755"/>
      <c r="M14" s="756"/>
    </row>
    <row r="15" spans="1:37" s="1300" customFormat="1" ht="18" customHeight="1" thickBot="1">
      <c r="A15" s="924" t="s">
        <v>399</v>
      </c>
      <c r="B15" s="294" t="s">
        <v>708</v>
      </c>
      <c r="C15" s="21">
        <f ca="1">ROUND(C14*F15,0)</f>
        <v>0</v>
      </c>
      <c r="D15" s="312" t="s">
        <v>709</v>
      </c>
      <c r="E15" s="312" t="s">
        <v>710</v>
      </c>
      <c r="F15" s="313">
        <f>'数据-取费表'!B33</f>
        <v>0.05</v>
      </c>
      <c r="G15" s="1299"/>
      <c r="H15" s="1022" t="s">
        <v>402</v>
      </c>
      <c r="I15" s="1023" t="s">
        <v>704</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678</v>
      </c>
      <c r="B16" s="294" t="s">
        <v>711</v>
      </c>
      <c r="C16" s="21">
        <f ca="1">ROUND(INDIRECT("'数据-取费表'!l"&amp;$G$1)*F43*F16,0)</f>
        <v>0</v>
      </c>
      <c r="D16" s="294" t="s">
        <v>709</v>
      </c>
      <c r="E16" s="294" t="s">
        <v>710</v>
      </c>
      <c r="F16" s="314">
        <f ca="1">IF(INDIRECT("'数据-取费表'!c"&amp;$G$1)="住宅",'数据-取费表'!B34,0)</f>
        <v>0</v>
      </c>
      <c r="G16" s="1288"/>
      <c r="H16" s="1012" t="s">
        <v>393</v>
      </c>
      <c r="I16" s="1013" t="s">
        <v>712</v>
      </c>
      <c r="J16" s="302">
        <f ca="1">ROUND(J17+J22+J23+J24,0)</f>
        <v>0</v>
      </c>
      <c r="K16" s="1020" t="s">
        <v>713</v>
      </c>
      <c r="L16" s="1021"/>
      <c r="M16" s="1005"/>
    </row>
    <row r="17" spans="1:37" s="1300" customFormat="1" ht="18" customHeight="1">
      <c r="A17" s="924" t="s">
        <v>679</v>
      </c>
      <c r="B17" s="294" t="s">
        <v>714</v>
      </c>
      <c r="C17" s="21">
        <f ca="1">ROUND(F17*(F43+INDIRECT("'数据-取费表'!S"&amp;$G$1)),0)</f>
        <v>0</v>
      </c>
      <c r="D17" s="294" t="s">
        <v>715</v>
      </c>
      <c r="E17" s="294" t="s">
        <v>716</v>
      </c>
      <c r="F17" s="23">
        <f>'数据-取费表'!B35</f>
        <v>200</v>
      </c>
      <c r="G17" s="1299"/>
      <c r="H17" s="924" t="s">
        <v>398</v>
      </c>
      <c r="I17" s="294" t="s">
        <v>717</v>
      </c>
      <c r="J17" s="2136">
        <f ca="1">ROUND(IF(AND(项目基本情况!B11="自然人",项目基本情况!B10="北京市"),J6*M17/(1+'数据-取费表'!C42),J18+J19+J20),0)</f>
        <v>0</v>
      </c>
      <c r="K17" s="1253" t="s">
        <v>718</v>
      </c>
      <c r="L17" s="1252" t="s">
        <v>719</v>
      </c>
      <c r="M17" s="2135">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680</v>
      </c>
      <c r="B18" s="294" t="s">
        <v>720</v>
      </c>
      <c r="C18" s="21">
        <f ca="1">ROUND(C14*F18,0)</f>
        <v>0</v>
      </c>
      <c r="D18" s="294" t="s">
        <v>709</v>
      </c>
      <c r="E18" s="294" t="s">
        <v>710</v>
      </c>
      <c r="F18" s="314">
        <f>'数据-取费表'!B36</f>
        <v>0.02</v>
      </c>
      <c r="G18" s="1299"/>
      <c r="H18" s="924" t="s">
        <v>397</v>
      </c>
      <c r="I18" s="294" t="s">
        <v>721</v>
      </c>
      <c r="J18" s="21">
        <f ca="1">ROUND(J6*M18/(1+'数据-取费表'!C42),0)</f>
        <v>0</v>
      </c>
      <c r="K18" s="1252" t="s">
        <v>722</v>
      </c>
      <c r="L18" s="294" t="s">
        <v>710</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723</v>
      </c>
      <c r="C19" s="21">
        <f ca="1">SUM(C14:C18)</f>
        <v>0</v>
      </c>
      <c r="D19" s="123" t="s">
        <v>724</v>
      </c>
      <c r="E19" s="1265"/>
      <c r="F19" s="23"/>
      <c r="G19" s="1288"/>
      <c r="H19" s="924" t="s">
        <v>399</v>
      </c>
      <c r="I19" s="294" t="s">
        <v>725</v>
      </c>
      <c r="J19" s="21">
        <f ca="1">IF(K19="按租金收入计税",ROUND(J6*M19/(1+'数据-取费表'!C42),0),ROUND(C29*M19*0.7,0))</f>
        <v>0</v>
      </c>
      <c r="K19" s="1274" t="s">
        <v>3333</v>
      </c>
      <c r="L19" s="294" t="s">
        <v>710</v>
      </c>
      <c r="M19" s="314">
        <f>IF(K19="按租金收入计税",'数据-取费表'!B51,'数据-取费表'!B50)</f>
        <v>0.12</v>
      </c>
    </row>
    <row r="20" spans="1:37" s="1300" customFormat="1" ht="18" customHeight="1">
      <c r="A20" s="924" t="s">
        <v>402</v>
      </c>
      <c r="B20" s="294" t="s">
        <v>726</v>
      </c>
      <c r="C20" s="21">
        <f ca="1">ROUND(C19*F20,0)</f>
        <v>0</v>
      </c>
      <c r="D20" s="315" t="s">
        <v>727</v>
      </c>
      <c r="E20" s="294" t="s">
        <v>710</v>
      </c>
      <c r="F20" s="314">
        <f>'数据-取费表'!B37</f>
        <v>0.03</v>
      </c>
      <c r="G20" s="1299"/>
      <c r="H20" s="924" t="s">
        <v>678</v>
      </c>
      <c r="I20" s="147" t="s">
        <v>728</v>
      </c>
      <c r="J20" s="22">
        <f ca="1">ROUND(M20*M21,0)</f>
        <v>0</v>
      </c>
      <c r="K20" s="316" t="s">
        <v>729</v>
      </c>
      <c r="L20" s="294" t="s">
        <v>730</v>
      </c>
      <c r="M20" s="317">
        <f>'数据-取费表'!B52</f>
        <v>30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731</v>
      </c>
      <c r="C21" s="21" t="s">
        <v>0</v>
      </c>
      <c r="D21" s="315" t="s">
        <v>732</v>
      </c>
      <c r="E21" s="294" t="s">
        <v>733</v>
      </c>
      <c r="F21" s="314">
        <f>'数据-取费表'!B38</f>
        <v>0.03</v>
      </c>
      <c r="G21" s="1299"/>
      <c r="H21" s="318"/>
      <c r="I21" s="303"/>
      <c r="J21" s="26"/>
      <c r="K21" s="319"/>
      <c r="L21" s="294" t="s">
        <v>734</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681</v>
      </c>
      <c r="B22" s="294" t="s">
        <v>735</v>
      </c>
      <c r="C22" s="21"/>
      <c r="D22" s="123" t="str">
        <f>IF(F23&lt;=1,"单利计息。","复利计息。")&amp;"建造成本、管理费用、销售费用产生的利息。"</f>
        <v>复利计息。建造成本、管理费用、销售费用产生的利息。</v>
      </c>
      <c r="E22" s="1265"/>
      <c r="F22" s="23"/>
      <c r="G22" s="1288"/>
      <c r="H22" s="924" t="s">
        <v>402</v>
      </c>
      <c r="I22" s="294" t="s">
        <v>736</v>
      </c>
      <c r="J22" s="21">
        <f ca="1">ROUND(J14*M22,0)</f>
        <v>0</v>
      </c>
      <c r="K22" s="1252" t="s">
        <v>737</v>
      </c>
      <c r="L22" s="294" t="s">
        <v>710</v>
      </c>
      <c r="M22" s="320">
        <f ca="1">INDIRECT("'数据-取费表'!Ak"&amp;$G$1)</f>
        <v>0</v>
      </c>
    </row>
    <row r="23" spans="1:37" s="1300" customFormat="1" ht="18" customHeight="1">
      <c r="A23" s="924"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3</v>
      </c>
      <c r="G23" s="1299"/>
      <c r="H23" s="924" t="s">
        <v>437</v>
      </c>
      <c r="I23" s="294" t="s">
        <v>740</v>
      </c>
      <c r="J23" s="21">
        <f ca="1">ROUND(J13*M23,0)</f>
        <v>0</v>
      </c>
      <c r="K23" s="1252" t="s">
        <v>741</v>
      </c>
      <c r="L23" s="294" t="s">
        <v>742</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743</v>
      </c>
      <c r="B24" s="294" t="s">
        <v>744</v>
      </c>
      <c r="C24" s="21">
        <f ca="1">ROUND(IF('数据-取费表'!B22&lt;=1,F21*F24*F23/2,F21*(POWER((1+F24),F23/2)-1)),4)</f>
        <v>1.6000000000000001E-3</v>
      </c>
      <c r="D24" s="138" t="str">
        <f>IF(F23&lt;=1,"销售费用×利率×(建设周期÷2)","销售费用×((1+利率)^(建设周期÷2)-1)")</f>
        <v>销售费用×((1+利率)^(建设周期÷2)-1)</v>
      </c>
      <c r="E24" s="294" t="s">
        <v>745</v>
      </c>
      <c r="F24" s="322">
        <f ca="1">'数据-取费表'!B40</f>
        <v>3.4500000000000003E-2</v>
      </c>
      <c r="G24" s="1299"/>
      <c r="H24" s="1022" t="s">
        <v>682</v>
      </c>
      <c r="I24" s="1023" t="s">
        <v>726</v>
      </c>
      <c r="J24" s="1024">
        <f ca="1">ROUND(J5*M24,0)</f>
        <v>0</v>
      </c>
      <c r="K24" s="1025" t="s">
        <v>746</v>
      </c>
      <c r="L24" s="1023" t="s">
        <v>742</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747</v>
      </c>
      <c r="B25" s="294" t="s">
        <v>748</v>
      </c>
      <c r="C25" s="21"/>
      <c r="D25" s="123" t="s">
        <v>749</v>
      </c>
      <c r="E25" s="1265"/>
      <c r="F25" s="23"/>
      <c r="G25" s="1288"/>
      <c r="H25" s="1012" t="s">
        <v>394</v>
      </c>
      <c r="I25" s="1027" t="s">
        <v>750</v>
      </c>
      <c r="J25" s="302">
        <f ca="1">J5-J16</f>
        <v>0</v>
      </c>
      <c r="K25" s="1028" t="s">
        <v>751</v>
      </c>
      <c r="L25" s="1029"/>
      <c r="M25" s="1030"/>
    </row>
    <row r="26" spans="1:37" ht="18" customHeight="1">
      <c r="A26" s="924" t="s">
        <v>397</v>
      </c>
      <c r="B26" s="294" t="s">
        <v>752</v>
      </c>
      <c r="C26" s="21">
        <f ca="1">ROUND((C19+C20)*F26,0)</f>
        <v>0</v>
      </c>
      <c r="D26" s="315" t="s">
        <v>753</v>
      </c>
      <c r="E26" s="305" t="s">
        <v>754</v>
      </c>
      <c r="F26" s="304">
        <f ca="1">INDIRECT("'数据-取费表'!q"&amp;$G$1)</f>
        <v>0.05</v>
      </c>
      <c r="G26" s="1288"/>
      <c r="H26" s="291" t="s">
        <v>395</v>
      </c>
      <c r="I26" s="292" t="s">
        <v>755</v>
      </c>
      <c r="J26" s="293">
        <f ca="1">IF(J5&lt;&gt;0,ROUND(J25*(1-((1+M28)/(1+M26))^M27)/(M26-M28),0),0)</f>
        <v>0</v>
      </c>
      <c r="K26" s="316" t="s">
        <v>756</v>
      </c>
      <c r="L26" s="294" t="s">
        <v>757</v>
      </c>
      <c r="M26" s="304">
        <f ca="1">INDIRECT("'数据-取费表'!I"&amp;$G$1)</f>
        <v>0</v>
      </c>
    </row>
    <row r="27" spans="1:37" ht="18" customHeight="1">
      <c r="A27" s="924" t="s">
        <v>399</v>
      </c>
      <c r="B27" s="294" t="s">
        <v>758</v>
      </c>
      <c r="C27" s="21">
        <f ca="1">ROUND(F21*F26,4)</f>
        <v>1.5E-3</v>
      </c>
      <c r="D27" s="315" t="s">
        <v>759</v>
      </c>
      <c r="E27" s="312"/>
      <c r="F27" s="313"/>
      <c r="G27" s="1288"/>
      <c r="H27" s="296"/>
      <c r="I27" s="297"/>
      <c r="J27" s="298"/>
      <c r="K27" s="323" t="s">
        <v>760</v>
      </c>
      <c r="L27" s="294" t="s">
        <v>761</v>
      </c>
      <c r="M27" s="324">
        <f ca="1">INDIRECT("'数据-取费表'!ag"&amp;$G$1)</f>
        <v>0</v>
      </c>
    </row>
    <row r="28" spans="1:37" s="1300" customFormat="1" ht="18" customHeight="1">
      <c r="A28" s="924" t="s">
        <v>400</v>
      </c>
      <c r="B28" s="294" t="s">
        <v>762</v>
      </c>
      <c r="C28" s="21">
        <f>ROUND(F28/(1+'数据-取费表'!C42),4)</f>
        <v>5.33E-2</v>
      </c>
      <c r="D28" s="315" t="s">
        <v>763</v>
      </c>
      <c r="E28" s="294" t="s">
        <v>710</v>
      </c>
      <c r="F28" s="314">
        <f>'数据-取费表'!B41</f>
        <v>5.6000000000000001E-2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f ca="1">ROUND((C19+C20+C23+C26)/(1-F21-C24-C27-C28),0)</f>
        <v>0</v>
      </c>
      <c r="D29" s="1025"/>
      <c r="E29" s="1023"/>
      <c r="F29" s="1026"/>
      <c r="G29" s="1299"/>
      <c r="H29" s="325" t="s">
        <v>396</v>
      </c>
      <c r="I29" s="326" t="s">
        <v>766</v>
      </c>
      <c r="J29" s="327">
        <f ca="1">ROUND(J26/(1+F40)^F41,0)</f>
        <v>0</v>
      </c>
      <c r="K29" s="328" t="s">
        <v>767</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2">
        <f ca="1">ROUND(C31+C36+C37+C38,0)</f>
        <v>0</v>
      </c>
      <c r="D30" s="1020" t="s">
        <v>713</v>
      </c>
      <c r="E30" s="1021"/>
      <c r="F30" s="1005"/>
      <c r="G30" s="1288"/>
      <c r="H30" s="2466"/>
      <c r="I30" s="1301"/>
      <c r="J30" s="1302"/>
      <c r="K30" s="121"/>
      <c r="L30" s="2467"/>
      <c r="M30" s="2468"/>
    </row>
    <row r="31" spans="1:37" ht="18" customHeight="1">
      <c r="A31" s="924" t="s">
        <v>398</v>
      </c>
      <c r="B31" s="294" t="s">
        <v>717</v>
      </c>
      <c r="C31" s="2136">
        <f ca="1">ROUND(IF(AND(项目基本情况!B11="自然人",项目基本情况!B10="北京市"),C6*F31/(1+'数据-取费表'!C42),C32+C33+C34),0)</f>
        <v>0</v>
      </c>
      <c r="D31" s="1253" t="s">
        <v>718</v>
      </c>
      <c r="E31" s="1252" t="s">
        <v>768</v>
      </c>
      <c r="F31" s="2135">
        <f ca="1">IF(项目基本情况!B11="企业","——",IF(M47="住宅",IF(F6*F7*F8/12/(1+'数据-取费表'!F30)&gt;100000,4%,2.5%),IF(F6*F7*F8/12/(1+'数据-取费表'!F30)&gt;100000,12%,7%)))</f>
        <v>7.0000000000000007E-2</v>
      </c>
      <c r="G31" s="1288"/>
      <c r="H31" s="2565" t="s">
        <v>2304</v>
      </c>
      <c r="I31" s="1301"/>
      <c r="J31" s="1302"/>
      <c r="K31" s="121"/>
      <c r="L31" s="2467"/>
      <c r="M31" s="2468"/>
    </row>
    <row r="32" spans="1:37" ht="18" customHeight="1">
      <c r="A32" s="924" t="s">
        <v>397</v>
      </c>
      <c r="B32" s="294" t="s">
        <v>721</v>
      </c>
      <c r="C32" s="21">
        <f ca="1">IF(项目基本情况!B11="自然人","——",ROUND(C6*F32/(1+'数据-取费表'!C42),0))</f>
        <v>0</v>
      </c>
      <c r="D32" s="1252" t="s">
        <v>722</v>
      </c>
      <c r="E32" s="294" t="s">
        <v>710</v>
      </c>
      <c r="F32" s="322">
        <f>'数据-取费表'!B41</f>
        <v>5.6000000000000001E-2</v>
      </c>
      <c r="G32" s="1288"/>
      <c r="H32" s="2466"/>
      <c r="I32" s="1301"/>
      <c r="J32" s="1302"/>
      <c r="K32" s="121"/>
      <c r="L32" s="2467"/>
      <c r="M32" s="2468"/>
    </row>
    <row r="33" spans="1:18" ht="18" customHeight="1">
      <c r="A33" s="924" t="s">
        <v>399</v>
      </c>
      <c r="B33" s="294" t="s">
        <v>725</v>
      </c>
      <c r="C33" s="21">
        <f ca="1">IF(项目基本情况!B11="自然人","——",IF(D33="按租金收入计税",ROUND(C6*F33/(1+'数据-取费表'!C42),0),IF(D33="按房产原值计税",ROUND(C29*F33*0.7,0),INDIRECT("'数据-取费表'!Aj"&amp;$G$1))))</f>
        <v>0</v>
      </c>
      <c r="D33" s="1274" t="s">
        <v>3333</v>
      </c>
      <c r="E33" s="294" t="s">
        <v>710</v>
      </c>
      <c r="F33" s="314">
        <f>IF(D33="按票据","——",IF(D33="按租金收入计税",'数据-取费表'!B51,'数据-取费表'!B50))</f>
        <v>0.12</v>
      </c>
      <c r="G33" s="1288"/>
      <c r="H33" s="2469"/>
      <c r="I33" s="1301"/>
      <c r="J33" s="1302"/>
      <c r="K33" s="2470"/>
      <c r="L33" s="2469"/>
      <c r="M33" s="2469"/>
    </row>
    <row r="34" spans="1:18" ht="18" customHeight="1">
      <c r="A34" s="1002" t="s">
        <v>678</v>
      </c>
      <c r="B34" s="147" t="s">
        <v>728</v>
      </c>
      <c r="C34" s="22">
        <f ca="1">IF(项目基本情况!B11="自然人","——",ROUND(F34*F35,0))</f>
        <v>0</v>
      </c>
      <c r="D34" s="316" t="s">
        <v>729</v>
      </c>
      <c r="E34" s="294" t="s">
        <v>730</v>
      </c>
      <c r="F34" s="317">
        <f>'数据-取费表'!B52</f>
        <v>30</v>
      </c>
      <c r="G34" s="1288"/>
      <c r="H34" s="2466"/>
      <c r="I34" s="1301"/>
      <c r="J34" s="1302"/>
      <c r="K34" s="2471"/>
      <c r="L34" s="2472"/>
      <c r="M34" s="2472"/>
    </row>
    <row r="35" spans="1:18" ht="18" customHeight="1">
      <c r="A35" s="1036"/>
      <c r="B35" s="1034"/>
      <c r="C35" s="26"/>
      <c r="D35" s="319"/>
      <c r="E35" s="294" t="s">
        <v>734</v>
      </c>
      <c r="F35" s="295">
        <f ca="1">INDIRECT("'数据-取费表'!r"&amp;$G$1)</f>
        <v>0</v>
      </c>
      <c r="G35" s="1288"/>
      <c r="H35" s="2466"/>
      <c r="I35" s="1301"/>
      <c r="J35" s="1302"/>
      <c r="K35" s="2470"/>
      <c r="L35" s="2469"/>
      <c r="M35" s="2469"/>
    </row>
    <row r="36" spans="1:18" ht="18" customHeight="1">
      <c r="A36" s="1035" t="s">
        <v>402</v>
      </c>
      <c r="B36" s="294" t="s">
        <v>736</v>
      </c>
      <c r="C36" s="21">
        <f ca="1">ROUND(C29*F36,0)</f>
        <v>0</v>
      </c>
      <c r="D36" s="1252" t="s">
        <v>769</v>
      </c>
      <c r="E36" s="294" t="s">
        <v>710</v>
      </c>
      <c r="F36" s="320">
        <f ca="1">INDIRECT("'数据-取费表'!Ak"&amp;$G$1)</f>
        <v>0</v>
      </c>
      <c r="G36" s="1288"/>
      <c r="H36" s="2469"/>
      <c r="I36" s="1301"/>
      <c r="J36" s="1302"/>
      <c r="K36" s="2327"/>
      <c r="L36" s="2469"/>
      <c r="M36" s="2469"/>
    </row>
    <row r="37" spans="1:18" ht="18" customHeight="1">
      <c r="A37" s="924" t="s">
        <v>437</v>
      </c>
      <c r="B37" s="294" t="s">
        <v>740</v>
      </c>
      <c r="C37" s="21">
        <f ca="1">ROUND(C13*F37,0)</f>
        <v>0</v>
      </c>
      <c r="D37" s="1252" t="s">
        <v>741</v>
      </c>
      <c r="E37" s="294" t="s">
        <v>742</v>
      </c>
      <c r="F37" s="321">
        <f ca="1">INDIRECT("'数据-取费表'!Al"&amp;$G$1)</f>
        <v>0</v>
      </c>
      <c r="G37" s="1288"/>
      <c r="H37" s="2469"/>
      <c r="I37" s="1301"/>
      <c r="J37" s="1302"/>
      <c r="K37" s="2327"/>
      <c r="L37" s="2469"/>
      <c r="M37" s="2469"/>
    </row>
    <row r="38" spans="1:18" ht="18" customHeight="1" thickBot="1">
      <c r="A38" s="1022" t="s">
        <v>682</v>
      </c>
      <c r="B38" s="1023" t="s">
        <v>726</v>
      </c>
      <c r="C38" s="1024">
        <f ca="1">ROUND(C5*F38,0)</f>
        <v>0</v>
      </c>
      <c r="D38" s="1025" t="s">
        <v>746</v>
      </c>
      <c r="E38" s="1023" t="s">
        <v>742</v>
      </c>
      <c r="F38" s="1019">
        <f ca="1">INDIRECT("'数据-取费表'!Am"&amp;$G$1)</f>
        <v>0</v>
      </c>
      <c r="G38" s="1288"/>
      <c r="H38" s="2469"/>
      <c r="I38" s="1301"/>
      <c r="J38" s="1302"/>
      <c r="K38" s="2467"/>
      <c r="L38" s="2469"/>
      <c r="M38" s="2469"/>
    </row>
    <row r="39" spans="1:18" ht="24.65" customHeight="1" thickTop="1">
      <c r="A39" s="1012" t="s">
        <v>394</v>
      </c>
      <c r="B39" s="1027" t="s">
        <v>770</v>
      </c>
      <c r="C39" s="302">
        <f ca="1">C5-C30</f>
        <v>0</v>
      </c>
      <c r="D39" s="1028" t="s">
        <v>771</v>
      </c>
      <c r="E39" s="1029"/>
      <c r="F39" s="1030"/>
      <c r="G39" s="1288"/>
      <c r="H39" s="2469"/>
      <c r="I39" s="1301"/>
      <c r="J39" s="1302"/>
      <c r="K39" s="2467"/>
      <c r="L39" s="2469"/>
      <c r="M39" s="2469"/>
    </row>
    <row r="40" spans="1:18" ht="18" customHeight="1">
      <c r="A40" s="291" t="s">
        <v>395</v>
      </c>
      <c r="B40" s="292" t="s">
        <v>772</v>
      </c>
      <c r="C40" s="293" t="e">
        <f ca="1">ROUND(C39*(1-((1+F42)/(1+F40))^F41)/(F40-F42),0)</f>
        <v>#DIV/0!</v>
      </c>
      <c r="D40" s="316" t="s">
        <v>756</v>
      </c>
      <c r="E40" s="294" t="s">
        <v>757</v>
      </c>
      <c r="F40" s="304">
        <f ca="1">INDIRECT("'数据-取费表'!I"&amp;$G$1)</f>
        <v>0</v>
      </c>
      <c r="G40" s="1288"/>
      <c r="H40" s="1362"/>
      <c r="I40" s="1301"/>
      <c r="J40" s="1302"/>
      <c r="K40" s="2467"/>
      <c r="L40" s="1362"/>
      <c r="M40" s="1362"/>
    </row>
    <row r="41" spans="1:18" ht="18" customHeight="1">
      <c r="A41" s="296"/>
      <c r="B41" s="297"/>
      <c r="C41" s="298"/>
      <c r="D41" s="323" t="s">
        <v>773</v>
      </c>
      <c r="E41" s="294" t="s">
        <v>761</v>
      </c>
      <c r="F41" s="324">
        <f ca="1">IF(INDIRECT("'数据-取费表'!af"&amp;$G$1)=0,INDIRECT("'数据-取费表'!ae"&amp;$G$1),INDIRECT("'数据-取费表'!af"&amp;$G$1))</f>
        <v>0</v>
      </c>
      <c r="G41" s="1288"/>
      <c r="H41" s="121"/>
      <c r="I41" s="1301"/>
      <c r="J41" s="1302"/>
      <c r="K41" s="2327"/>
      <c r="L41" s="121"/>
      <c r="M41" s="121"/>
    </row>
    <row r="42" spans="1:18" ht="18" customHeight="1">
      <c r="A42" s="300"/>
      <c r="B42" s="301"/>
      <c r="C42" s="302"/>
      <c r="D42" s="319"/>
      <c r="E42" s="294" t="s">
        <v>764</v>
      </c>
      <c r="F42" s="304">
        <f ca="1">INDIRECT("'数据-取费表'!v"&amp;$G$1)</f>
        <v>0</v>
      </c>
      <c r="G42" s="1288"/>
      <c r="H42" s="121"/>
      <c r="I42" s="1301"/>
      <c r="J42" s="1302"/>
      <c r="K42" s="2327"/>
      <c r="L42" s="121"/>
      <c r="M42" s="121"/>
    </row>
    <row r="43" spans="1:18" ht="18" customHeight="1" thickBot="1">
      <c r="A43" s="325" t="s">
        <v>396</v>
      </c>
      <c r="B43" s="326" t="s">
        <v>774</v>
      </c>
      <c r="C43" s="327" t="e">
        <f ca="1">ROUND(C40/F43,0)</f>
        <v>#DIV/0!</v>
      </c>
      <c r="D43" s="328" t="s">
        <v>775</v>
      </c>
      <c r="E43" s="329" t="s">
        <v>776</v>
      </c>
      <c r="F43" s="330">
        <f ca="1">INDIRECT("'数据-取费表'!k"&amp;$G$1)</f>
        <v>0</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3124" t="s">
        <v>3349</v>
      </c>
      <c r="B45" s="1303"/>
      <c r="C45" s="1372" t="e">
        <f ca="1">ROUND((C68-C40)/10000,4)</f>
        <v>#DIV/0!</v>
      </c>
      <c r="D45" s="3125" t="s">
        <v>3350</v>
      </c>
      <c r="E45" s="1303"/>
      <c r="F45" s="1303"/>
      <c r="O45" s="1306" t="s">
        <v>806</v>
      </c>
      <c r="P45" s="1362"/>
      <c r="Q45" s="1362"/>
      <c r="R45" s="1362"/>
    </row>
    <row r="46" spans="1:18" s="1288" customFormat="1" ht="14" thickBot="1">
      <c r="A46" s="1307" t="s">
        <v>807</v>
      </c>
      <c r="C46" s="1308" t="e">
        <f ca="1">ROUND(C45,0)</f>
        <v>#DIV/0!</v>
      </c>
      <c r="D46" s="1309" t="str">
        <f>C2</f>
        <v>万元</v>
      </c>
      <c r="I46" s="1310" t="s">
        <v>808</v>
      </c>
      <c r="J46" s="1311"/>
      <c r="K46" s="1312"/>
      <c r="L46" s="1313" t="e">
        <f ca="1">IF(M47="住宅",0,IF(L48&gt;J51,L60,J60))</f>
        <v>#DIV/0!</v>
      </c>
      <c r="O46" s="1314" t="s">
        <v>809</v>
      </c>
      <c r="P46" s="1315" t="s">
        <v>810</v>
      </c>
      <c r="Q46" s="1316" t="s">
        <v>811</v>
      </c>
      <c r="R46" s="1316" t="s">
        <v>812</v>
      </c>
    </row>
    <row r="47" spans="1:18" s="1288" customFormat="1" ht="13.5" thickBot="1">
      <c r="A47" s="888" t="s">
        <v>685</v>
      </c>
      <c r="B47" s="920" t="s">
        <v>686</v>
      </c>
      <c r="C47" s="920" t="s">
        <v>687</v>
      </c>
      <c r="D47" s="920" t="s">
        <v>688</v>
      </c>
      <c r="E47" s="991" t="s">
        <v>689</v>
      </c>
      <c r="F47" s="992"/>
      <c r="G47" s="681"/>
      <c r="I47" s="1317" t="s">
        <v>813</v>
      </c>
      <c r="J47" s="1318"/>
      <c r="K47" s="1319" t="s">
        <v>814</v>
      </c>
      <c r="L47" s="1320">
        <f ca="1">INDIRECT("'数据-取费表'!d"&amp;$G$1)</f>
        <v>0</v>
      </c>
      <c r="M47" s="1284" t="str">
        <f>IF(ISNUMBER(FIND("住宅",C1)),"住宅","非住宅")</f>
        <v>非住宅</v>
      </c>
      <c r="O47" s="1321" t="s">
        <v>403</v>
      </c>
      <c r="P47" s="1322" t="s">
        <v>815</v>
      </c>
      <c r="Q47" s="1323" t="e">
        <f ca="1">C40+J29</f>
        <v>#DIV/0!</v>
      </c>
      <c r="R47" s="1323" t="s">
        <v>816</v>
      </c>
    </row>
    <row r="48" spans="1:18" s="1288" customFormat="1" ht="43.5" thickBot="1">
      <c r="A48" s="1043" t="s">
        <v>438</v>
      </c>
      <c r="B48" s="292" t="s">
        <v>690</v>
      </c>
      <c r="C48" s="1264">
        <f ca="1">C49+C53+C55</f>
        <v>0</v>
      </c>
      <c r="D48" s="1045"/>
      <c r="E48" s="1046"/>
      <c r="F48" s="904"/>
      <c r="G48" s="681"/>
      <c r="H48" s="682"/>
      <c r="I48" s="1324" t="s">
        <v>817</v>
      </c>
      <c r="J48" s="1325"/>
      <c r="K48" s="1326" t="s">
        <v>818</v>
      </c>
      <c r="L48" s="1327">
        <f ca="1">INDIRECT("'数据-取费表'!f"&amp;$G$1)</f>
        <v>0</v>
      </c>
      <c r="O48" s="1321" t="s">
        <v>404</v>
      </c>
      <c r="P48" s="1322" t="s">
        <v>819</v>
      </c>
      <c r="Q48" s="1323" t="e">
        <f ca="1">J60</f>
        <v>#DIV/0!</v>
      </c>
      <c r="R48" s="1323" t="s">
        <v>820</v>
      </c>
    </row>
    <row r="49" spans="1:18" s="1288" customFormat="1" ht="13.5" thickBot="1">
      <c r="A49" s="917" t="s">
        <v>439</v>
      </c>
      <c r="B49" s="1275" t="s">
        <v>777</v>
      </c>
      <c r="C49" s="1047">
        <f ca="1">ROUND(F49*F51*F50*(1-F52),0)</f>
        <v>0</v>
      </c>
      <c r="D49" s="988" t="s">
        <v>693</v>
      </c>
      <c r="E49" s="1276" t="s">
        <v>778</v>
      </c>
      <c r="F49" s="993"/>
      <c r="H49" s="682"/>
      <c r="I49" s="1324" t="s">
        <v>821</v>
      </c>
      <c r="J49" s="1328"/>
      <c r="K49" s="1326" t="s">
        <v>822</v>
      </c>
      <c r="L49" s="1329"/>
      <c r="O49" s="1330" t="s">
        <v>405</v>
      </c>
      <c r="P49" s="1322" t="s">
        <v>823</v>
      </c>
      <c r="Q49" s="1323">
        <f ca="1">C29</f>
        <v>0</v>
      </c>
      <c r="R49" s="1323" t="s">
        <v>816</v>
      </c>
    </row>
    <row r="50" spans="1:18" s="1288" customFormat="1" ht="13.5" thickBot="1">
      <c r="A50" s="918"/>
      <c r="B50" s="921"/>
      <c r="C50" s="922"/>
      <c r="D50" s="895"/>
      <c r="E50" s="989" t="s">
        <v>695</v>
      </c>
      <c r="F50" s="990">
        <f ca="1">F7</f>
        <v>0</v>
      </c>
      <c r="H50" s="682"/>
      <c r="I50" s="1324" t="s">
        <v>824</v>
      </c>
      <c r="J50" s="1331">
        <f>SUMPRODUCT((I63:I65=J47)*(J62:L62=J48)*(J63:L65))</f>
        <v>0</v>
      </c>
      <c r="K50" s="1326" t="s">
        <v>825</v>
      </c>
      <c r="L50" s="1329"/>
      <c r="M50" s="1332"/>
      <c r="O50" s="1330" t="s">
        <v>406</v>
      </c>
      <c r="P50" s="1322" t="s">
        <v>826</v>
      </c>
      <c r="Q50" s="1333" t="e">
        <f ca="1">J58</f>
        <v>#DIV/0!</v>
      </c>
      <c r="R50" s="1323"/>
    </row>
    <row r="51" spans="1:18" s="1288" customFormat="1" ht="13.5" thickBot="1">
      <c r="A51" s="919"/>
      <c r="B51" s="921"/>
      <c r="C51" s="922"/>
      <c r="D51" s="895"/>
      <c r="E51" s="923" t="s">
        <v>696</v>
      </c>
      <c r="F51" s="295">
        <f ca="1">F8</f>
        <v>0</v>
      </c>
      <c r="I51" s="1334" t="s">
        <v>827</v>
      </c>
      <c r="J51" s="1327">
        <f>IF(J49="",J50,J49+J50-YEAR('数据-取费表'!B2))</f>
        <v>0</v>
      </c>
      <c r="K51" s="1335" t="s">
        <v>828</v>
      </c>
      <c r="L51" s="1336">
        <f ca="1">ROUND(-PV(INDIRECT("'数据-取费表'!h"&amp;$G$1),J51,(C39-C13*C76),0),0)</f>
        <v>0</v>
      </c>
      <c r="M51" s="1337"/>
      <c r="O51" s="1330" t="s">
        <v>407</v>
      </c>
      <c r="P51" s="1322" t="s">
        <v>829</v>
      </c>
      <c r="Q51" s="1333">
        <f>J52</f>
        <v>0</v>
      </c>
      <c r="R51" s="1323"/>
    </row>
    <row r="52" spans="1:18" s="1288" customFormat="1" ht="13.5" thickBot="1">
      <c r="A52" s="919"/>
      <c r="B52" s="921"/>
      <c r="C52" s="922"/>
      <c r="D52" s="895"/>
      <c r="E52" s="923" t="s">
        <v>697</v>
      </c>
      <c r="F52" s="987"/>
      <c r="I52" s="1338" t="s">
        <v>830</v>
      </c>
      <c r="J52" s="1339"/>
      <c r="K52" s="1338" t="s">
        <v>831</v>
      </c>
      <c r="L52" s="1339"/>
      <c r="O52" s="1330" t="s">
        <v>408</v>
      </c>
      <c r="P52" s="1322" t="s">
        <v>832</v>
      </c>
      <c r="Q52" s="1323">
        <f ca="1">J53</f>
        <v>0</v>
      </c>
      <c r="R52" s="1323" t="s">
        <v>833</v>
      </c>
    </row>
    <row r="53" spans="1:18" s="1288" customFormat="1" ht="30.75" customHeight="1" thickBot="1">
      <c r="A53" s="1044" t="s">
        <v>440</v>
      </c>
      <c r="B53" s="315" t="s">
        <v>698</v>
      </c>
      <c r="C53" s="308">
        <f ca="1">ROUND(IF(F53="押一",C49/12*F11,IF(F53="押二",C49/12*2*F11,IF(F53="押三",C49/12*3*F11,C54*F11))),0)</f>
        <v>0</v>
      </c>
      <c r="D53" s="150" t="s">
        <v>2117</v>
      </c>
      <c r="E53" s="305" t="s">
        <v>699</v>
      </c>
      <c r="F53" s="1049"/>
      <c r="I53" s="1340" t="s">
        <v>834</v>
      </c>
      <c r="J53" s="2002">
        <f ca="1">IF(M47="住宅",IF(D1="——",MAX(J51,L48),MAX(J51,L48-'数据-取费表'!B24)),IF(D1="——",MIN(J51,L48),MIN(J51,L48-'数据-取费表'!B24)))</f>
        <v>0</v>
      </c>
      <c r="K53" s="3405" t="s">
        <v>835</v>
      </c>
      <c r="L53" s="3406"/>
      <c r="O53" s="1321" t="s">
        <v>409</v>
      </c>
      <c r="P53" s="1322" t="s">
        <v>836</v>
      </c>
      <c r="Q53" s="1323" t="e">
        <f ca="1">Q47+Q48</f>
        <v>#DIV/0!</v>
      </c>
      <c r="R53" s="1323" t="s">
        <v>410</v>
      </c>
    </row>
    <row r="54" spans="1:18" s="1288" customFormat="1" ht="13.5" thickBot="1">
      <c r="A54" s="917"/>
      <c r="B54" s="1373" t="s">
        <v>889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837</v>
      </c>
      <c r="P54" s="1285"/>
      <c r="Q54" s="1285"/>
      <c r="R54" s="1285"/>
    </row>
    <row r="55" spans="1:18" s="1288" customFormat="1" ht="13.5" thickBot="1">
      <c r="A55" s="1016" t="s">
        <v>437</v>
      </c>
      <c r="B55" s="1273" t="s">
        <v>701</v>
      </c>
      <c r="C55" s="1017"/>
      <c r="D55" s="150"/>
      <c r="E55" s="1278"/>
      <c r="F55" s="1341"/>
      <c r="I55" s="1344" t="s">
        <v>838</v>
      </c>
      <c r="J55" s="1345" t="e">
        <f ca="1">ROUND(IF(J47="钢混",J57/J50,1-(1-2%)*(J50-J57)/J50),3)</f>
        <v>#DIV/0!</v>
      </c>
      <c r="K55" s="1346" t="s">
        <v>839</v>
      </c>
      <c r="L55" s="1347"/>
      <c r="O55" s="1314" t="s">
        <v>809</v>
      </c>
      <c r="P55" s="1315" t="s">
        <v>810</v>
      </c>
      <c r="Q55" s="1316" t="s">
        <v>811</v>
      </c>
      <c r="R55" s="1316" t="s">
        <v>812</v>
      </c>
    </row>
    <row r="56" spans="1:18" s="1288" customFormat="1" ht="36" customHeight="1" thickTop="1" thickBot="1">
      <c r="A56" s="899">
        <v>2</v>
      </c>
      <c r="B56" s="900" t="s">
        <v>702</v>
      </c>
      <c r="C56" s="224">
        <f ca="1">C13</f>
        <v>0</v>
      </c>
      <c r="D56" s="1348"/>
      <c r="E56" s="1349"/>
      <c r="F56" s="1341"/>
      <c r="I56" s="1350" t="s">
        <v>840</v>
      </c>
      <c r="J56" s="1351"/>
      <c r="K56" s="1324" t="s">
        <v>841</v>
      </c>
      <c r="L56" s="1327">
        <f ca="1">IF(L48&lt;J51,"——",L48-J51)</f>
        <v>0</v>
      </c>
      <c r="O56" s="1321" t="s">
        <v>403</v>
      </c>
      <c r="P56" s="1322" t="s">
        <v>815</v>
      </c>
      <c r="Q56" s="1323" t="e">
        <f ca="1">C40+J29</f>
        <v>#DIV/0!</v>
      </c>
      <c r="R56" s="1323" t="s">
        <v>816</v>
      </c>
    </row>
    <row r="57" spans="1:18" s="1288" customFormat="1" ht="26.5" thickBot="1">
      <c r="A57" s="1352"/>
      <c r="B57" s="892" t="s">
        <v>765</v>
      </c>
      <c r="C57" s="230">
        <f ca="1">C29</f>
        <v>0</v>
      </c>
      <c r="D57" s="1353"/>
      <c r="E57" s="1354"/>
      <c r="F57" s="1355"/>
      <c r="I57" s="1356" t="s">
        <v>842</v>
      </c>
      <c r="J57" s="1357">
        <f ca="1">IF(OR(M47="住宅",J51&lt;L48,J56="是"),"——",J51-L48)</f>
        <v>0</v>
      </c>
      <c r="K57" s="1324" t="s">
        <v>890</v>
      </c>
      <c r="L57" s="1327">
        <f ca="1">IF(L48&lt;J51,"——",IF(L55="比较法",L49,IF(L55="基准地价",L50,L51)))</f>
        <v>0</v>
      </c>
      <c r="O57" s="1321" t="s">
        <v>404</v>
      </c>
      <c r="P57" s="1322" t="s">
        <v>891</v>
      </c>
      <c r="Q57" s="1323" t="e">
        <f ca="1">L60</f>
        <v>#DIV/0!</v>
      </c>
      <c r="R57" s="1323" t="s">
        <v>892</v>
      </c>
    </row>
    <row r="58" spans="1:18" s="1288" customFormat="1" ht="26.5" thickBot="1">
      <c r="A58" s="307" t="s">
        <v>393</v>
      </c>
      <c r="B58" s="900" t="s">
        <v>712</v>
      </c>
      <c r="C58" s="308">
        <f ca="1">ROUND(C59+C64+C65+C66,0)</f>
        <v>0</v>
      </c>
      <c r="D58" s="902" t="s">
        <v>713</v>
      </c>
      <c r="E58" s="903"/>
      <c r="F58" s="904"/>
      <c r="I58" s="1356" t="s">
        <v>846</v>
      </c>
      <c r="J58" s="1358" t="e">
        <f ca="1">IF(J55&lt;0.4,0.4,J55)</f>
        <v>#DIV/0!</v>
      </c>
      <c r="K58" s="1335" t="s">
        <v>893</v>
      </c>
      <c r="L58" s="1327" t="e">
        <f ca="1">ROUND(POWER(1+L52,L47-L48)*(POWER(1+L52,L48)-1)/(POWER(1+L52,L47)-1),4)</f>
        <v>#DIV/0!</v>
      </c>
      <c r="O58" s="1330" t="s">
        <v>405</v>
      </c>
      <c r="P58" s="1322" t="s">
        <v>848</v>
      </c>
      <c r="Q58" s="1323">
        <f>IF(L55="比较法",L49,IF(L55="基准地价",L50,0))</f>
        <v>0</v>
      </c>
      <c r="R58" s="1323" t="s">
        <v>816</v>
      </c>
    </row>
    <row r="59" spans="1:18" s="1288" customFormat="1" ht="26.5" thickBot="1">
      <c r="A59" s="924" t="s">
        <v>398</v>
      </c>
      <c r="B59" s="892" t="s">
        <v>717</v>
      </c>
      <c r="C59" s="2136">
        <f ca="1">ROUND(IF(AND(项目基本情况!B11="自然人",项目基本情况!B10="北京市"),C49*F59/(1+'数据-取费表'!C42),C60+C61+C62),0)</f>
        <v>0</v>
      </c>
      <c r="D59" s="905" t="s">
        <v>718</v>
      </c>
      <c r="E59" s="906" t="s">
        <v>719</v>
      </c>
      <c r="F59" s="2135">
        <f ca="1">IF(项目基本情况!B11="企业","——",IF('数据-取费表'!B10="住宅",IF(F49*F50*F51/12/(1+'数据-取费表'!F30)&gt;100000,4%,2.5%),IF(F49*F50*F51/12/(1+'数据-取费表'!F30)&gt;100000,12%,7%)))</f>
        <v>7.0000000000000007E-2</v>
      </c>
      <c r="I59" s="1356" t="s">
        <v>849</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850</v>
      </c>
      <c r="Q59" s="1333">
        <f>L52</f>
        <v>0</v>
      </c>
      <c r="R59" s="1323"/>
    </row>
    <row r="60" spans="1:18" s="1288" customFormat="1" ht="16" thickBot="1">
      <c r="A60" s="924" t="s">
        <v>397</v>
      </c>
      <c r="B60" s="892" t="s">
        <v>721</v>
      </c>
      <c r="C60" s="21">
        <f ca="1">IF(项目基本情况!B11="自然人","——",ROUND(C48*F60/(1+'数据-取费表'!C42),0))</f>
        <v>0</v>
      </c>
      <c r="D60" s="906" t="s">
        <v>722</v>
      </c>
      <c r="E60" s="892" t="s">
        <v>710</v>
      </c>
      <c r="F60" s="322">
        <f t="shared" ref="F60:F66" si="0">F32</f>
        <v>5.6000000000000001E-2</v>
      </c>
      <c r="I60" s="1359" t="s">
        <v>851</v>
      </c>
      <c r="J60" s="1360" t="e">
        <f ca="1">IF(OR(M47="住宅",J51&lt;L48,J56="是"),"0",ROUND(J59/(1+J52)^J53,0))</f>
        <v>#DIV/0!</v>
      </c>
      <c r="K60" s="1361" t="s">
        <v>852</v>
      </c>
      <c r="L60" s="1360" t="e">
        <f ca="1">IF(OR(M47="住宅",L48&lt;J51),0,ROUND(L57*(L58/L59-1),0))</f>
        <v>#DIV/0!</v>
      </c>
      <c r="O60" s="1330" t="s">
        <v>407</v>
      </c>
      <c r="P60" s="1322" t="s">
        <v>853</v>
      </c>
      <c r="Q60" s="1323" t="e">
        <f ca="1">L58</f>
        <v>#DIV/0!</v>
      </c>
      <c r="R60" s="1323" t="s">
        <v>854</v>
      </c>
    </row>
    <row r="61" spans="1:18" s="1288" customFormat="1" ht="13.5" thickBot="1">
      <c r="A61" s="924" t="s">
        <v>779</v>
      </c>
      <c r="B61" s="892" t="s">
        <v>780</v>
      </c>
      <c r="C61" s="21">
        <f ca="1">IF(项目基本情况!B11="自然人","——",IF(D61="按租金收入计税",ROUND(C49*F61/(1+'数据-取费表'!C42),0),IF(D61="按房产原值计税",ROUND(C57*F61*0.7,0),INDIRECT("'数据-取费表'!Aj"&amp;$G$1))))</f>
        <v>0</v>
      </c>
      <c r="D61" s="1274" t="s">
        <v>3333</v>
      </c>
      <c r="E61" s="892" t="s">
        <v>781</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4" t="s">
        <v>782</v>
      </c>
      <c r="B62" s="891" t="s">
        <v>783</v>
      </c>
      <c r="C62" s="22">
        <f ca="1">IF(项目基本情况!B11="自然人","——",ROUND(F62*F63,0))</f>
        <v>0</v>
      </c>
      <c r="D62" s="907" t="s">
        <v>784</v>
      </c>
      <c r="E62" s="892" t="s">
        <v>785</v>
      </c>
      <c r="F62" s="317">
        <f t="shared" si="0"/>
        <v>30</v>
      </c>
      <c r="I62" s="1363" t="s">
        <v>856</v>
      </c>
      <c r="J62" s="610" t="s">
        <v>857</v>
      </c>
      <c r="K62" s="610" t="s">
        <v>858</v>
      </c>
      <c r="L62" s="610" t="s">
        <v>859</v>
      </c>
      <c r="M62" s="1364" t="s">
        <v>860</v>
      </c>
      <c r="O62" s="1321" t="s">
        <v>409</v>
      </c>
      <c r="P62" s="1322" t="s">
        <v>861</v>
      </c>
      <c r="Q62" s="1323" t="e">
        <f ca="1">Q56+Q57</f>
        <v>#DIV/0!</v>
      </c>
      <c r="R62" s="1323" t="s">
        <v>410</v>
      </c>
    </row>
    <row r="63" spans="1:18" s="1288" customFormat="1" ht="13.5" thickBot="1">
      <c r="A63" s="318"/>
      <c r="B63" s="898"/>
      <c r="C63" s="26"/>
      <c r="D63" s="908"/>
      <c r="E63" s="892" t="s">
        <v>786</v>
      </c>
      <c r="F63" s="295">
        <f t="shared" ca="1" si="0"/>
        <v>0</v>
      </c>
      <c r="I63" s="1363" t="s">
        <v>862</v>
      </c>
      <c r="J63" s="610">
        <v>70</v>
      </c>
      <c r="K63" s="610">
        <v>50</v>
      </c>
      <c r="L63" s="610">
        <v>80</v>
      </c>
      <c r="M63" s="1365">
        <v>0.02</v>
      </c>
      <c r="O63" s="1306" t="s">
        <v>863</v>
      </c>
      <c r="P63" s="1285"/>
      <c r="Q63" s="1285"/>
      <c r="R63" s="1285"/>
    </row>
    <row r="64" spans="1:18" s="1288" customFormat="1" ht="13.5" thickBot="1">
      <c r="A64" s="924" t="s">
        <v>787</v>
      </c>
      <c r="B64" s="892" t="s">
        <v>788</v>
      </c>
      <c r="C64" s="21">
        <f ca="1">ROUND(C57*F64,0)</f>
        <v>0</v>
      </c>
      <c r="D64" s="906" t="s">
        <v>789</v>
      </c>
      <c r="E64" s="892" t="s">
        <v>781</v>
      </c>
      <c r="F64" s="320">
        <f t="shared" ca="1" si="0"/>
        <v>0</v>
      </c>
      <c r="I64" s="1363" t="s">
        <v>864</v>
      </c>
      <c r="J64" s="610">
        <v>50</v>
      </c>
      <c r="K64" s="610">
        <v>35</v>
      </c>
      <c r="L64" s="610">
        <v>60</v>
      </c>
      <c r="M64" s="1364">
        <v>0</v>
      </c>
      <c r="O64" s="1314" t="s">
        <v>809</v>
      </c>
      <c r="P64" s="1315" t="s">
        <v>810</v>
      </c>
      <c r="Q64" s="1316" t="s">
        <v>811</v>
      </c>
      <c r="R64" s="1316" t="s">
        <v>812</v>
      </c>
    </row>
    <row r="65" spans="1:18" s="1288" customFormat="1" ht="13.5" thickBot="1">
      <c r="A65" s="924" t="s">
        <v>790</v>
      </c>
      <c r="B65" s="892" t="s">
        <v>740</v>
      </c>
      <c r="C65" s="21">
        <f ca="1">ROUND(C56*F65,0)</f>
        <v>0</v>
      </c>
      <c r="D65" s="906" t="s">
        <v>741</v>
      </c>
      <c r="E65" s="892" t="s">
        <v>742</v>
      </c>
      <c r="F65" s="321">
        <f t="shared" ca="1" si="0"/>
        <v>0</v>
      </c>
      <c r="I65" s="1363" t="s">
        <v>865</v>
      </c>
      <c r="J65" s="610">
        <v>40</v>
      </c>
      <c r="K65" s="610">
        <v>30</v>
      </c>
      <c r="L65" s="610">
        <v>50</v>
      </c>
      <c r="M65" s="1365">
        <v>0.02</v>
      </c>
      <c r="O65" s="1321" t="s">
        <v>403</v>
      </c>
      <c r="P65" s="1322" t="s">
        <v>866</v>
      </c>
      <c r="Q65" s="1323" t="e">
        <f ca="1">C40+J29</f>
        <v>#DIV/0!</v>
      </c>
      <c r="R65" s="1323" t="s">
        <v>816</v>
      </c>
    </row>
    <row r="66" spans="1:18" s="1288" customFormat="1" ht="16" thickBot="1">
      <c r="A66" s="924" t="s">
        <v>791</v>
      </c>
      <c r="B66" s="892" t="s">
        <v>726</v>
      </c>
      <c r="C66" s="21">
        <f ca="1">ROUND(C48*F66,0)</f>
        <v>0</v>
      </c>
      <c r="D66" s="906" t="s">
        <v>792</v>
      </c>
      <c r="E66" s="892" t="s">
        <v>710</v>
      </c>
      <c r="F66" s="304">
        <f t="shared" ca="1" si="0"/>
        <v>0</v>
      </c>
      <c r="O66" s="1321" t="s">
        <v>404</v>
      </c>
      <c r="P66" s="1322" t="s">
        <v>844</v>
      </c>
      <c r="Q66" s="1323" t="e">
        <f ca="1">L60</f>
        <v>#DIV/0!</v>
      </c>
      <c r="R66" s="1323" t="s">
        <v>867</v>
      </c>
    </row>
    <row r="67" spans="1:18" s="1288" customFormat="1" ht="26.5" thickBot="1">
      <c r="A67" s="899" t="s">
        <v>394</v>
      </c>
      <c r="B67" s="909" t="s">
        <v>750</v>
      </c>
      <c r="C67" s="308">
        <f ca="1">C48-C58</f>
        <v>0</v>
      </c>
      <c r="D67" s="905" t="s">
        <v>751</v>
      </c>
      <c r="E67" s="910"/>
      <c r="F67" s="911"/>
      <c r="O67" s="1330" t="s">
        <v>405</v>
      </c>
      <c r="P67" s="1322" t="s">
        <v>848</v>
      </c>
      <c r="Q67" s="1366">
        <f ca="1">L51</f>
        <v>0</v>
      </c>
      <c r="R67" s="1323" t="s">
        <v>868</v>
      </c>
    </row>
    <row r="68" spans="1:18" s="1288" customFormat="1" ht="16" thickBot="1">
      <c r="A68" s="889" t="s">
        <v>395</v>
      </c>
      <c r="B68" s="890" t="s">
        <v>772</v>
      </c>
      <c r="C68" s="293" t="e">
        <f ca="1">ROUND(C67*(1-((1+F70)/(1+F68))^F69)/(F68-F70),0)</f>
        <v>#DIV/0!</v>
      </c>
      <c r="D68" s="907" t="s">
        <v>756</v>
      </c>
      <c r="E68" s="892" t="s">
        <v>757</v>
      </c>
      <c r="F68" s="304">
        <f ca="1">F40</f>
        <v>0</v>
      </c>
      <c r="O68" s="1330" t="s">
        <v>406</v>
      </c>
      <c r="P68" s="1367" t="s">
        <v>869</v>
      </c>
      <c r="Q68" s="1323">
        <f ca="1">ROUND(Q69-Q70*Q71,0)</f>
        <v>0</v>
      </c>
      <c r="R68" s="1323" t="s">
        <v>414</v>
      </c>
    </row>
    <row r="69" spans="1:18" s="1288" customFormat="1" ht="13.5" thickBot="1">
      <c r="A69" s="893"/>
      <c r="B69" s="894"/>
      <c r="C69" s="298"/>
      <c r="D69" s="912" t="s">
        <v>760</v>
      </c>
      <c r="E69" s="892" t="s">
        <v>761</v>
      </c>
      <c r="F69" s="324">
        <f ca="1">F41</f>
        <v>0</v>
      </c>
      <c r="O69" s="1330" t="s">
        <v>411</v>
      </c>
      <c r="P69" s="1367" t="s">
        <v>870</v>
      </c>
      <c r="Q69" s="1323">
        <f ca="1">C39</f>
        <v>0</v>
      </c>
      <c r="R69" s="1323" t="s">
        <v>816</v>
      </c>
    </row>
    <row r="70" spans="1:18" s="1288" customFormat="1" ht="13.5" thickBot="1">
      <c r="A70" s="896"/>
      <c r="B70" s="897"/>
      <c r="C70" s="302"/>
      <c r="D70" s="908"/>
      <c r="E70" s="892" t="s">
        <v>764</v>
      </c>
      <c r="F70" s="987"/>
      <c r="O70" s="1330" t="s">
        <v>412</v>
      </c>
      <c r="P70" s="1367" t="s">
        <v>871</v>
      </c>
      <c r="Q70" s="1323">
        <f ca="1">C13</f>
        <v>0</v>
      </c>
      <c r="R70" s="1323" t="s">
        <v>816</v>
      </c>
    </row>
    <row r="71" spans="1:18" s="1288" customFormat="1" ht="13.5" thickBot="1">
      <c r="A71" s="913" t="s">
        <v>396</v>
      </c>
      <c r="B71" s="914" t="s">
        <v>774</v>
      </c>
      <c r="C71" s="327" t="e">
        <f ca="1">ROUND(C68/F71,0)</f>
        <v>#DIV/0!</v>
      </c>
      <c r="D71" s="915" t="s">
        <v>775</v>
      </c>
      <c r="E71" s="916" t="s">
        <v>776</v>
      </c>
      <c r="F71" s="330">
        <f ca="1">F43</f>
        <v>0</v>
      </c>
      <c r="O71" s="1330" t="s">
        <v>413</v>
      </c>
      <c r="P71" s="1367" t="s">
        <v>872</v>
      </c>
      <c r="Q71" s="1333">
        <f ca="1">C76</f>
        <v>0</v>
      </c>
      <c r="R71" s="1323"/>
    </row>
    <row r="72" spans="1:18" s="1288" customFormat="1" ht="13.5" thickBot="1">
      <c r="B72" s="685"/>
      <c r="C72" s="685"/>
      <c r="O72" s="1330" t="s">
        <v>407</v>
      </c>
      <c r="P72" s="1322" t="s">
        <v>850</v>
      </c>
      <c r="Q72" s="1333">
        <f>L52</f>
        <v>0</v>
      </c>
      <c r="R72" s="1323"/>
    </row>
    <row r="73" spans="1:18" ht="16" thickBot="1">
      <c r="A73" s="1288"/>
      <c r="B73" s="685"/>
      <c r="C73" s="685"/>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0</v>
      </c>
      <c r="D75" s="1288"/>
      <c r="E75" s="1288"/>
      <c r="F75" s="1288"/>
      <c r="K75" s="1305"/>
      <c r="L75" s="1288"/>
      <c r="O75" s="1321" t="s">
        <v>409</v>
      </c>
      <c r="P75" s="1322" t="s">
        <v>836</v>
      </c>
      <c r="Q75" s="1323" t="e">
        <f ca="1">Q65+Q66</f>
        <v>#DIV/0!</v>
      </c>
      <c r="R75" s="1323" t="s">
        <v>410</v>
      </c>
    </row>
    <row r="76" spans="1:18" ht="13">
      <c r="B76" s="333" t="s">
        <v>794</v>
      </c>
      <c r="C76" s="334">
        <f ca="1">INDIRECT("'数据-取费表'!j"&amp;$G$1)</f>
        <v>0</v>
      </c>
      <c r="I76" s="1288"/>
      <c r="J76" s="1288"/>
      <c r="K76" s="1305"/>
      <c r="L76" s="1288"/>
    </row>
    <row r="77" spans="1:18" ht="13.5">
      <c r="B77" s="335" t="s">
        <v>795</v>
      </c>
      <c r="C77" s="336"/>
      <c r="I77" s="1288"/>
      <c r="J77" s="1288"/>
      <c r="K77" s="1305"/>
      <c r="L77" s="1288"/>
    </row>
    <row r="78" spans="1:18" ht="13.5">
      <c r="B78" s="262" t="s">
        <v>796</v>
      </c>
      <c r="C78" s="337"/>
    </row>
    <row r="79" spans="1:18" ht="13">
      <c r="B79" s="331" t="s">
        <v>797</v>
      </c>
      <c r="C79" s="266" t="e">
        <f ca="1">1-C80</f>
        <v>#DIV/0!</v>
      </c>
    </row>
    <row r="80" spans="1:18" ht="13">
      <c r="B80" s="331" t="s">
        <v>798</v>
      </c>
      <c r="C80" s="266" t="e">
        <f ca="1">ROUND(C75/C39,3)</f>
        <v>#DIV/0!</v>
      </c>
    </row>
    <row r="81" spans="2:3" ht="13.5">
      <c r="B81" s="262" t="s">
        <v>799</v>
      </c>
      <c r="C81" s="230"/>
    </row>
    <row r="82" spans="2:3" ht="13">
      <c r="B82" s="265" t="s">
        <v>800</v>
      </c>
      <c r="C82" s="267" t="e">
        <f ca="1">1-C83</f>
        <v>#DIV/0!</v>
      </c>
    </row>
    <row r="83" spans="2:3" ht="1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89" customWidth="1"/>
    <col min="2" max="2" width="8.90625" style="2589"/>
    <col min="3" max="5" width="12.90625" style="2589" customWidth="1"/>
    <col min="6" max="6" width="47.453125" style="2589" customWidth="1"/>
    <col min="7" max="7" width="13" style="2583" customWidth="1"/>
    <col min="8" max="8" width="8.90625" style="2583"/>
    <col min="9" max="9" width="8.90625" style="2584"/>
    <col min="10" max="10" width="5.7265625" style="2743" customWidth="1"/>
    <col min="11" max="11" width="11.7265625" style="2743" customWidth="1"/>
    <col min="12" max="13" width="10.7265625" style="2743" customWidth="1"/>
    <col min="14" max="14" width="10" style="2743" customWidth="1"/>
    <col min="15" max="16" width="10.453125" style="2743" bestFit="1" customWidth="1"/>
    <col min="17" max="17" width="10" style="2743" customWidth="1"/>
    <col min="18" max="18" width="10.08984375" style="2743" customWidth="1"/>
    <col min="19" max="19" width="10" style="2743" customWidth="1"/>
    <col min="20" max="20" width="26.08984375" style="2743" customWidth="1"/>
    <col min="21" max="21" width="8.90625" style="2743"/>
    <col min="22" max="22" width="8.90625" style="2584"/>
    <col min="23" max="256" width="8.90625" style="2589"/>
    <col min="257" max="257" width="9.453125" style="2589" customWidth="1"/>
    <col min="258" max="258" width="8.90625" style="2589"/>
    <col min="259" max="261" width="12.90625" style="2589" customWidth="1"/>
    <col min="262" max="262" width="47.453125" style="2589" customWidth="1"/>
    <col min="263" max="263" width="13" style="2589" customWidth="1"/>
    <col min="264" max="265" width="8.90625" style="2589"/>
    <col min="266" max="266" width="5.7265625" style="2589" customWidth="1"/>
    <col min="267" max="267" width="11.7265625" style="2589" customWidth="1"/>
    <col min="268" max="269" width="10.7265625" style="2589" customWidth="1"/>
    <col min="270" max="270" width="10" style="2589" customWidth="1"/>
    <col min="271" max="272" width="10.453125" style="2589" bestFit="1" customWidth="1"/>
    <col min="273" max="273" width="10" style="2589" customWidth="1"/>
    <col min="274" max="274" width="10.08984375" style="2589" customWidth="1"/>
    <col min="275" max="275" width="10" style="2589" customWidth="1"/>
    <col min="276" max="276" width="26.08984375" style="2589" customWidth="1"/>
    <col min="277" max="512" width="8.90625" style="2589"/>
    <col min="513" max="513" width="9.453125" style="2589" customWidth="1"/>
    <col min="514" max="514" width="8.90625" style="2589"/>
    <col min="515" max="517" width="12.90625" style="2589" customWidth="1"/>
    <col min="518" max="518" width="47.453125" style="2589" customWidth="1"/>
    <col min="519" max="519" width="13" style="2589" customWidth="1"/>
    <col min="520" max="521" width="8.90625" style="2589"/>
    <col min="522" max="522" width="5.7265625" style="2589" customWidth="1"/>
    <col min="523" max="523" width="11.7265625" style="2589" customWidth="1"/>
    <col min="524" max="525" width="10.7265625" style="2589" customWidth="1"/>
    <col min="526" max="526" width="10" style="2589" customWidth="1"/>
    <col min="527" max="528" width="10.453125" style="2589" bestFit="1" customWidth="1"/>
    <col min="529" max="529" width="10" style="2589" customWidth="1"/>
    <col min="530" max="530" width="10.08984375" style="2589" customWidth="1"/>
    <col min="531" max="531" width="10" style="2589" customWidth="1"/>
    <col min="532" max="532" width="26.08984375" style="2589" customWidth="1"/>
    <col min="533" max="768" width="8.90625" style="2589"/>
    <col min="769" max="769" width="9.453125" style="2589" customWidth="1"/>
    <col min="770" max="770" width="8.90625" style="2589"/>
    <col min="771" max="773" width="12.90625" style="2589" customWidth="1"/>
    <col min="774" max="774" width="47.453125" style="2589" customWidth="1"/>
    <col min="775" max="775" width="13" style="2589" customWidth="1"/>
    <col min="776" max="777" width="8.90625" style="2589"/>
    <col min="778" max="778" width="5.7265625" style="2589" customWidth="1"/>
    <col min="779" max="779" width="11.7265625" style="2589" customWidth="1"/>
    <col min="780" max="781" width="10.7265625" style="2589" customWidth="1"/>
    <col min="782" max="782" width="10" style="2589" customWidth="1"/>
    <col min="783" max="784" width="10.453125" style="2589" bestFit="1" customWidth="1"/>
    <col min="785" max="785" width="10" style="2589" customWidth="1"/>
    <col min="786" max="786" width="10.08984375" style="2589" customWidth="1"/>
    <col min="787" max="787" width="10" style="2589" customWidth="1"/>
    <col min="788" max="788" width="26.08984375" style="2589" customWidth="1"/>
    <col min="789" max="1024" width="8.90625" style="2589"/>
    <col min="1025" max="1025" width="9.453125" style="2589" customWidth="1"/>
    <col min="1026" max="1026" width="8.90625" style="2589"/>
    <col min="1027" max="1029" width="12.90625" style="2589" customWidth="1"/>
    <col min="1030" max="1030" width="47.453125" style="2589" customWidth="1"/>
    <col min="1031" max="1031" width="13" style="2589" customWidth="1"/>
    <col min="1032" max="1033" width="8.90625" style="2589"/>
    <col min="1034" max="1034" width="5.7265625" style="2589" customWidth="1"/>
    <col min="1035" max="1035" width="11.7265625" style="2589" customWidth="1"/>
    <col min="1036" max="1037" width="10.7265625" style="2589" customWidth="1"/>
    <col min="1038" max="1038" width="10" style="2589" customWidth="1"/>
    <col min="1039" max="1040" width="10.453125" style="2589" bestFit="1" customWidth="1"/>
    <col min="1041" max="1041" width="10" style="2589" customWidth="1"/>
    <col min="1042" max="1042" width="10.08984375" style="2589" customWidth="1"/>
    <col min="1043" max="1043" width="10" style="2589" customWidth="1"/>
    <col min="1044" max="1044" width="26.08984375" style="2589" customWidth="1"/>
    <col min="1045" max="1280" width="8.90625" style="2589"/>
    <col min="1281" max="1281" width="9.453125" style="2589" customWidth="1"/>
    <col min="1282" max="1282" width="8.90625" style="2589"/>
    <col min="1283" max="1285" width="12.90625" style="2589" customWidth="1"/>
    <col min="1286" max="1286" width="47.453125" style="2589" customWidth="1"/>
    <col min="1287" max="1287" width="13" style="2589" customWidth="1"/>
    <col min="1288" max="1289" width="8.90625" style="2589"/>
    <col min="1290" max="1290" width="5.7265625" style="2589" customWidth="1"/>
    <col min="1291" max="1291" width="11.7265625" style="2589" customWidth="1"/>
    <col min="1292" max="1293" width="10.7265625" style="2589" customWidth="1"/>
    <col min="1294" max="1294" width="10" style="2589" customWidth="1"/>
    <col min="1295" max="1296" width="10.453125" style="2589" bestFit="1" customWidth="1"/>
    <col min="1297" max="1297" width="10" style="2589" customWidth="1"/>
    <col min="1298" max="1298" width="10.08984375" style="2589" customWidth="1"/>
    <col min="1299" max="1299" width="10" style="2589" customWidth="1"/>
    <col min="1300" max="1300" width="26.08984375" style="2589" customWidth="1"/>
    <col min="1301" max="1536" width="8.90625" style="2589"/>
    <col min="1537" max="1537" width="9.453125" style="2589" customWidth="1"/>
    <col min="1538" max="1538" width="8.90625" style="2589"/>
    <col min="1539" max="1541" width="12.90625" style="2589" customWidth="1"/>
    <col min="1542" max="1542" width="47.453125" style="2589" customWidth="1"/>
    <col min="1543" max="1543" width="13" style="2589" customWidth="1"/>
    <col min="1544" max="1545" width="8.90625" style="2589"/>
    <col min="1546" max="1546" width="5.7265625" style="2589" customWidth="1"/>
    <col min="1547" max="1547" width="11.7265625" style="2589" customWidth="1"/>
    <col min="1548" max="1549" width="10.7265625" style="2589" customWidth="1"/>
    <col min="1550" max="1550" width="10" style="2589" customWidth="1"/>
    <col min="1551" max="1552" width="10.453125" style="2589" bestFit="1" customWidth="1"/>
    <col min="1553" max="1553" width="10" style="2589" customWidth="1"/>
    <col min="1554" max="1554" width="10.08984375" style="2589" customWidth="1"/>
    <col min="1555" max="1555" width="10" style="2589" customWidth="1"/>
    <col min="1556" max="1556" width="26.08984375" style="2589" customWidth="1"/>
    <col min="1557" max="1792" width="8.90625" style="2589"/>
    <col min="1793" max="1793" width="9.453125" style="2589" customWidth="1"/>
    <col min="1794" max="1794" width="8.90625" style="2589"/>
    <col min="1795" max="1797" width="12.90625" style="2589" customWidth="1"/>
    <col min="1798" max="1798" width="47.453125" style="2589" customWidth="1"/>
    <col min="1799" max="1799" width="13" style="2589" customWidth="1"/>
    <col min="1800" max="1801" width="8.90625" style="2589"/>
    <col min="1802" max="1802" width="5.7265625" style="2589" customWidth="1"/>
    <col min="1803" max="1803" width="11.7265625" style="2589" customWidth="1"/>
    <col min="1804" max="1805" width="10.7265625" style="2589" customWidth="1"/>
    <col min="1806" max="1806" width="10" style="2589" customWidth="1"/>
    <col min="1807" max="1808" width="10.453125" style="2589" bestFit="1" customWidth="1"/>
    <col min="1809" max="1809" width="10" style="2589" customWidth="1"/>
    <col min="1810" max="1810" width="10.08984375" style="2589" customWidth="1"/>
    <col min="1811" max="1811" width="10" style="2589" customWidth="1"/>
    <col min="1812" max="1812" width="26.08984375" style="2589" customWidth="1"/>
    <col min="1813" max="2048" width="8.90625" style="2589"/>
    <col min="2049" max="2049" width="9.453125" style="2589" customWidth="1"/>
    <col min="2050" max="2050" width="8.90625" style="2589"/>
    <col min="2051" max="2053" width="12.90625" style="2589" customWidth="1"/>
    <col min="2054" max="2054" width="47.453125" style="2589" customWidth="1"/>
    <col min="2055" max="2055" width="13" style="2589" customWidth="1"/>
    <col min="2056" max="2057" width="8.90625" style="2589"/>
    <col min="2058" max="2058" width="5.7265625" style="2589" customWidth="1"/>
    <col min="2059" max="2059" width="11.7265625" style="2589" customWidth="1"/>
    <col min="2060" max="2061" width="10.7265625" style="2589" customWidth="1"/>
    <col min="2062" max="2062" width="10" style="2589" customWidth="1"/>
    <col min="2063" max="2064" width="10.453125" style="2589" bestFit="1" customWidth="1"/>
    <col min="2065" max="2065" width="10" style="2589" customWidth="1"/>
    <col min="2066" max="2066" width="10.08984375" style="2589" customWidth="1"/>
    <col min="2067" max="2067" width="10" style="2589" customWidth="1"/>
    <col min="2068" max="2068" width="26.08984375" style="2589" customWidth="1"/>
    <col min="2069" max="2304" width="8.90625" style="2589"/>
    <col min="2305" max="2305" width="9.453125" style="2589" customWidth="1"/>
    <col min="2306" max="2306" width="8.90625" style="2589"/>
    <col min="2307" max="2309" width="12.90625" style="2589" customWidth="1"/>
    <col min="2310" max="2310" width="47.453125" style="2589" customWidth="1"/>
    <col min="2311" max="2311" width="13" style="2589" customWidth="1"/>
    <col min="2312" max="2313" width="8.90625" style="2589"/>
    <col min="2314" max="2314" width="5.7265625" style="2589" customWidth="1"/>
    <col min="2315" max="2315" width="11.7265625" style="2589" customWidth="1"/>
    <col min="2316" max="2317" width="10.7265625" style="2589" customWidth="1"/>
    <col min="2318" max="2318" width="10" style="2589" customWidth="1"/>
    <col min="2319" max="2320" width="10.453125" style="2589" bestFit="1" customWidth="1"/>
    <col min="2321" max="2321" width="10" style="2589" customWidth="1"/>
    <col min="2322" max="2322" width="10.08984375" style="2589" customWidth="1"/>
    <col min="2323" max="2323" width="10" style="2589" customWidth="1"/>
    <col min="2324" max="2324" width="26.08984375" style="2589" customWidth="1"/>
    <col min="2325" max="2560" width="8.90625" style="2589"/>
    <col min="2561" max="2561" width="9.453125" style="2589" customWidth="1"/>
    <col min="2562" max="2562" width="8.90625" style="2589"/>
    <col min="2563" max="2565" width="12.90625" style="2589" customWidth="1"/>
    <col min="2566" max="2566" width="47.453125" style="2589" customWidth="1"/>
    <col min="2567" max="2567" width="13" style="2589" customWidth="1"/>
    <col min="2568" max="2569" width="8.90625" style="2589"/>
    <col min="2570" max="2570" width="5.7265625" style="2589" customWidth="1"/>
    <col min="2571" max="2571" width="11.7265625" style="2589" customWidth="1"/>
    <col min="2572" max="2573" width="10.7265625" style="2589" customWidth="1"/>
    <col min="2574" max="2574" width="10" style="2589" customWidth="1"/>
    <col min="2575" max="2576" width="10.453125" style="2589" bestFit="1" customWidth="1"/>
    <col min="2577" max="2577" width="10" style="2589" customWidth="1"/>
    <col min="2578" max="2578" width="10.08984375" style="2589" customWidth="1"/>
    <col min="2579" max="2579" width="10" style="2589" customWidth="1"/>
    <col min="2580" max="2580" width="26.08984375" style="2589" customWidth="1"/>
    <col min="2581" max="2816" width="8.90625" style="2589"/>
    <col min="2817" max="2817" width="9.453125" style="2589" customWidth="1"/>
    <col min="2818" max="2818" width="8.90625" style="2589"/>
    <col min="2819" max="2821" width="12.90625" style="2589" customWidth="1"/>
    <col min="2822" max="2822" width="47.453125" style="2589" customWidth="1"/>
    <col min="2823" max="2823" width="13" style="2589" customWidth="1"/>
    <col min="2824" max="2825" width="8.90625" style="2589"/>
    <col min="2826" max="2826" width="5.7265625" style="2589" customWidth="1"/>
    <col min="2827" max="2827" width="11.7265625" style="2589" customWidth="1"/>
    <col min="2828" max="2829" width="10.7265625" style="2589" customWidth="1"/>
    <col min="2830" max="2830" width="10" style="2589" customWidth="1"/>
    <col min="2831" max="2832" width="10.453125" style="2589" bestFit="1" customWidth="1"/>
    <col min="2833" max="2833" width="10" style="2589" customWidth="1"/>
    <col min="2834" max="2834" width="10.08984375" style="2589" customWidth="1"/>
    <col min="2835" max="2835" width="10" style="2589" customWidth="1"/>
    <col min="2836" max="2836" width="26.08984375" style="2589" customWidth="1"/>
    <col min="2837" max="3072" width="8.90625" style="2589"/>
    <col min="3073" max="3073" width="9.453125" style="2589" customWidth="1"/>
    <col min="3074" max="3074" width="8.90625" style="2589"/>
    <col min="3075" max="3077" width="12.90625" style="2589" customWidth="1"/>
    <col min="3078" max="3078" width="47.453125" style="2589" customWidth="1"/>
    <col min="3079" max="3079" width="13" style="2589" customWidth="1"/>
    <col min="3080" max="3081" width="8.90625" style="2589"/>
    <col min="3082" max="3082" width="5.7265625" style="2589" customWidth="1"/>
    <col min="3083" max="3083" width="11.7265625" style="2589" customWidth="1"/>
    <col min="3084" max="3085" width="10.7265625" style="2589" customWidth="1"/>
    <col min="3086" max="3086" width="10" style="2589" customWidth="1"/>
    <col min="3087" max="3088" width="10.453125" style="2589" bestFit="1" customWidth="1"/>
    <col min="3089" max="3089" width="10" style="2589" customWidth="1"/>
    <col min="3090" max="3090" width="10.08984375" style="2589" customWidth="1"/>
    <col min="3091" max="3091" width="10" style="2589" customWidth="1"/>
    <col min="3092" max="3092" width="26.08984375" style="2589" customWidth="1"/>
    <col min="3093" max="3328" width="8.90625" style="2589"/>
    <col min="3329" max="3329" width="9.453125" style="2589" customWidth="1"/>
    <col min="3330" max="3330" width="8.90625" style="2589"/>
    <col min="3331" max="3333" width="12.90625" style="2589" customWidth="1"/>
    <col min="3334" max="3334" width="47.453125" style="2589" customWidth="1"/>
    <col min="3335" max="3335" width="13" style="2589" customWidth="1"/>
    <col min="3336" max="3337" width="8.90625" style="2589"/>
    <col min="3338" max="3338" width="5.7265625" style="2589" customWidth="1"/>
    <col min="3339" max="3339" width="11.7265625" style="2589" customWidth="1"/>
    <col min="3340" max="3341" width="10.7265625" style="2589" customWidth="1"/>
    <col min="3342" max="3342" width="10" style="2589" customWidth="1"/>
    <col min="3343" max="3344" width="10.453125" style="2589" bestFit="1" customWidth="1"/>
    <col min="3345" max="3345" width="10" style="2589" customWidth="1"/>
    <col min="3346" max="3346" width="10.08984375" style="2589" customWidth="1"/>
    <col min="3347" max="3347" width="10" style="2589" customWidth="1"/>
    <col min="3348" max="3348" width="26.08984375" style="2589" customWidth="1"/>
    <col min="3349" max="3584" width="8.90625" style="2589"/>
    <col min="3585" max="3585" width="9.453125" style="2589" customWidth="1"/>
    <col min="3586" max="3586" width="8.90625" style="2589"/>
    <col min="3587" max="3589" width="12.90625" style="2589" customWidth="1"/>
    <col min="3590" max="3590" width="47.453125" style="2589" customWidth="1"/>
    <col min="3591" max="3591" width="13" style="2589" customWidth="1"/>
    <col min="3592" max="3593" width="8.90625" style="2589"/>
    <col min="3594" max="3594" width="5.7265625" style="2589" customWidth="1"/>
    <col min="3595" max="3595" width="11.7265625" style="2589" customWidth="1"/>
    <col min="3596" max="3597" width="10.7265625" style="2589" customWidth="1"/>
    <col min="3598" max="3598" width="10" style="2589" customWidth="1"/>
    <col min="3599" max="3600" width="10.453125" style="2589" bestFit="1" customWidth="1"/>
    <col min="3601" max="3601" width="10" style="2589" customWidth="1"/>
    <col min="3602" max="3602" width="10.08984375" style="2589" customWidth="1"/>
    <col min="3603" max="3603" width="10" style="2589" customWidth="1"/>
    <col min="3604" max="3604" width="26.08984375" style="2589" customWidth="1"/>
    <col min="3605" max="3840" width="8.90625" style="2589"/>
    <col min="3841" max="3841" width="9.453125" style="2589" customWidth="1"/>
    <col min="3842" max="3842" width="8.90625" style="2589"/>
    <col min="3843" max="3845" width="12.90625" style="2589" customWidth="1"/>
    <col min="3846" max="3846" width="47.453125" style="2589" customWidth="1"/>
    <col min="3847" max="3847" width="13" style="2589" customWidth="1"/>
    <col min="3848" max="3849" width="8.90625" style="2589"/>
    <col min="3850" max="3850" width="5.7265625" style="2589" customWidth="1"/>
    <col min="3851" max="3851" width="11.7265625" style="2589" customWidth="1"/>
    <col min="3852" max="3853" width="10.7265625" style="2589" customWidth="1"/>
    <col min="3854" max="3854" width="10" style="2589" customWidth="1"/>
    <col min="3855" max="3856" width="10.453125" style="2589" bestFit="1" customWidth="1"/>
    <col min="3857" max="3857" width="10" style="2589" customWidth="1"/>
    <col min="3858" max="3858" width="10.08984375" style="2589" customWidth="1"/>
    <col min="3859" max="3859" width="10" style="2589" customWidth="1"/>
    <col min="3860" max="3860" width="26.08984375" style="2589" customWidth="1"/>
    <col min="3861" max="4096" width="8.90625" style="2589"/>
    <col min="4097" max="4097" width="9.453125" style="2589" customWidth="1"/>
    <col min="4098" max="4098" width="8.90625" style="2589"/>
    <col min="4099" max="4101" width="12.90625" style="2589" customWidth="1"/>
    <col min="4102" max="4102" width="47.453125" style="2589" customWidth="1"/>
    <col min="4103" max="4103" width="13" style="2589" customWidth="1"/>
    <col min="4104" max="4105" width="8.90625" style="2589"/>
    <col min="4106" max="4106" width="5.7265625" style="2589" customWidth="1"/>
    <col min="4107" max="4107" width="11.7265625" style="2589" customWidth="1"/>
    <col min="4108" max="4109" width="10.7265625" style="2589" customWidth="1"/>
    <col min="4110" max="4110" width="10" style="2589" customWidth="1"/>
    <col min="4111" max="4112" width="10.453125" style="2589" bestFit="1" customWidth="1"/>
    <col min="4113" max="4113" width="10" style="2589" customWidth="1"/>
    <col min="4114" max="4114" width="10.08984375" style="2589" customWidth="1"/>
    <col min="4115" max="4115" width="10" style="2589" customWidth="1"/>
    <col min="4116" max="4116" width="26.08984375" style="2589" customWidth="1"/>
    <col min="4117" max="4352" width="8.90625" style="2589"/>
    <col min="4353" max="4353" width="9.453125" style="2589" customWidth="1"/>
    <col min="4354" max="4354" width="8.90625" style="2589"/>
    <col min="4355" max="4357" width="12.90625" style="2589" customWidth="1"/>
    <col min="4358" max="4358" width="47.453125" style="2589" customWidth="1"/>
    <col min="4359" max="4359" width="13" style="2589" customWidth="1"/>
    <col min="4360" max="4361" width="8.90625" style="2589"/>
    <col min="4362" max="4362" width="5.7265625" style="2589" customWidth="1"/>
    <col min="4363" max="4363" width="11.7265625" style="2589" customWidth="1"/>
    <col min="4364" max="4365" width="10.7265625" style="2589" customWidth="1"/>
    <col min="4366" max="4366" width="10" style="2589" customWidth="1"/>
    <col min="4367" max="4368" width="10.453125" style="2589" bestFit="1" customWidth="1"/>
    <col min="4369" max="4369" width="10" style="2589" customWidth="1"/>
    <col min="4370" max="4370" width="10.08984375" style="2589" customWidth="1"/>
    <col min="4371" max="4371" width="10" style="2589" customWidth="1"/>
    <col min="4372" max="4372" width="26.08984375" style="2589" customWidth="1"/>
    <col min="4373" max="4608" width="8.90625" style="2589"/>
    <col min="4609" max="4609" width="9.453125" style="2589" customWidth="1"/>
    <col min="4610" max="4610" width="8.90625" style="2589"/>
    <col min="4611" max="4613" width="12.90625" style="2589" customWidth="1"/>
    <col min="4614" max="4614" width="47.453125" style="2589" customWidth="1"/>
    <col min="4615" max="4615" width="13" style="2589" customWidth="1"/>
    <col min="4616" max="4617" width="8.90625" style="2589"/>
    <col min="4618" max="4618" width="5.7265625" style="2589" customWidth="1"/>
    <col min="4619" max="4619" width="11.7265625" style="2589" customWidth="1"/>
    <col min="4620" max="4621" width="10.7265625" style="2589" customWidth="1"/>
    <col min="4622" max="4622" width="10" style="2589" customWidth="1"/>
    <col min="4623" max="4624" width="10.453125" style="2589" bestFit="1" customWidth="1"/>
    <col min="4625" max="4625" width="10" style="2589" customWidth="1"/>
    <col min="4626" max="4626" width="10.08984375" style="2589" customWidth="1"/>
    <col min="4627" max="4627" width="10" style="2589" customWidth="1"/>
    <col min="4628" max="4628" width="26.08984375" style="2589" customWidth="1"/>
    <col min="4629" max="4864" width="8.90625" style="2589"/>
    <col min="4865" max="4865" width="9.453125" style="2589" customWidth="1"/>
    <col min="4866" max="4866" width="8.90625" style="2589"/>
    <col min="4867" max="4869" width="12.90625" style="2589" customWidth="1"/>
    <col min="4870" max="4870" width="47.453125" style="2589" customWidth="1"/>
    <col min="4871" max="4871" width="13" style="2589" customWidth="1"/>
    <col min="4872" max="4873" width="8.90625" style="2589"/>
    <col min="4874" max="4874" width="5.7265625" style="2589" customWidth="1"/>
    <col min="4875" max="4875" width="11.7265625" style="2589" customWidth="1"/>
    <col min="4876" max="4877" width="10.7265625" style="2589" customWidth="1"/>
    <col min="4878" max="4878" width="10" style="2589" customWidth="1"/>
    <col min="4879" max="4880" width="10.453125" style="2589" bestFit="1" customWidth="1"/>
    <col min="4881" max="4881" width="10" style="2589" customWidth="1"/>
    <col min="4882" max="4882" width="10.08984375" style="2589" customWidth="1"/>
    <col min="4883" max="4883" width="10" style="2589" customWidth="1"/>
    <col min="4884" max="4884" width="26.08984375" style="2589" customWidth="1"/>
    <col min="4885" max="5120" width="8.90625" style="2589"/>
    <col min="5121" max="5121" width="9.453125" style="2589" customWidth="1"/>
    <col min="5122" max="5122" width="8.90625" style="2589"/>
    <col min="5123" max="5125" width="12.90625" style="2589" customWidth="1"/>
    <col min="5126" max="5126" width="47.453125" style="2589" customWidth="1"/>
    <col min="5127" max="5127" width="13" style="2589" customWidth="1"/>
    <col min="5128" max="5129" width="8.90625" style="2589"/>
    <col min="5130" max="5130" width="5.7265625" style="2589" customWidth="1"/>
    <col min="5131" max="5131" width="11.7265625" style="2589" customWidth="1"/>
    <col min="5132" max="5133" width="10.7265625" style="2589" customWidth="1"/>
    <col min="5134" max="5134" width="10" style="2589" customWidth="1"/>
    <col min="5135" max="5136" width="10.453125" style="2589" bestFit="1" customWidth="1"/>
    <col min="5137" max="5137" width="10" style="2589" customWidth="1"/>
    <col min="5138" max="5138" width="10.08984375" style="2589" customWidth="1"/>
    <col min="5139" max="5139" width="10" style="2589" customWidth="1"/>
    <col min="5140" max="5140" width="26.08984375" style="2589" customWidth="1"/>
    <col min="5141" max="5376" width="8.90625" style="2589"/>
    <col min="5377" max="5377" width="9.453125" style="2589" customWidth="1"/>
    <col min="5378" max="5378" width="8.90625" style="2589"/>
    <col min="5379" max="5381" width="12.90625" style="2589" customWidth="1"/>
    <col min="5382" max="5382" width="47.453125" style="2589" customWidth="1"/>
    <col min="5383" max="5383" width="13" style="2589" customWidth="1"/>
    <col min="5384" max="5385" width="8.90625" style="2589"/>
    <col min="5386" max="5386" width="5.7265625" style="2589" customWidth="1"/>
    <col min="5387" max="5387" width="11.7265625" style="2589" customWidth="1"/>
    <col min="5388" max="5389" width="10.7265625" style="2589" customWidth="1"/>
    <col min="5390" max="5390" width="10" style="2589" customWidth="1"/>
    <col min="5391" max="5392" width="10.453125" style="2589" bestFit="1" customWidth="1"/>
    <col min="5393" max="5393" width="10" style="2589" customWidth="1"/>
    <col min="5394" max="5394" width="10.08984375" style="2589" customWidth="1"/>
    <col min="5395" max="5395" width="10" style="2589" customWidth="1"/>
    <col min="5396" max="5396" width="26.08984375" style="2589" customWidth="1"/>
    <col min="5397" max="5632" width="8.90625" style="2589"/>
    <col min="5633" max="5633" width="9.453125" style="2589" customWidth="1"/>
    <col min="5634" max="5634" width="8.90625" style="2589"/>
    <col min="5635" max="5637" width="12.90625" style="2589" customWidth="1"/>
    <col min="5638" max="5638" width="47.453125" style="2589" customWidth="1"/>
    <col min="5639" max="5639" width="13" style="2589" customWidth="1"/>
    <col min="5640" max="5641" width="8.90625" style="2589"/>
    <col min="5642" max="5642" width="5.7265625" style="2589" customWidth="1"/>
    <col min="5643" max="5643" width="11.7265625" style="2589" customWidth="1"/>
    <col min="5644" max="5645" width="10.7265625" style="2589" customWidth="1"/>
    <col min="5646" max="5646" width="10" style="2589" customWidth="1"/>
    <col min="5647" max="5648" width="10.453125" style="2589" bestFit="1" customWidth="1"/>
    <col min="5649" max="5649" width="10" style="2589" customWidth="1"/>
    <col min="5650" max="5650" width="10.08984375" style="2589" customWidth="1"/>
    <col min="5651" max="5651" width="10" style="2589" customWidth="1"/>
    <col min="5652" max="5652" width="26.08984375" style="2589" customWidth="1"/>
    <col min="5653" max="5888" width="8.90625" style="2589"/>
    <col min="5889" max="5889" width="9.453125" style="2589" customWidth="1"/>
    <col min="5890" max="5890" width="8.90625" style="2589"/>
    <col min="5891" max="5893" width="12.90625" style="2589" customWidth="1"/>
    <col min="5894" max="5894" width="47.453125" style="2589" customWidth="1"/>
    <col min="5895" max="5895" width="13" style="2589" customWidth="1"/>
    <col min="5896" max="5897" width="8.90625" style="2589"/>
    <col min="5898" max="5898" width="5.7265625" style="2589" customWidth="1"/>
    <col min="5899" max="5899" width="11.7265625" style="2589" customWidth="1"/>
    <col min="5900" max="5901" width="10.7265625" style="2589" customWidth="1"/>
    <col min="5902" max="5902" width="10" style="2589" customWidth="1"/>
    <col min="5903" max="5904" width="10.453125" style="2589" bestFit="1" customWidth="1"/>
    <col min="5905" max="5905" width="10" style="2589" customWidth="1"/>
    <col min="5906" max="5906" width="10.08984375" style="2589" customWidth="1"/>
    <col min="5907" max="5907" width="10" style="2589" customWidth="1"/>
    <col min="5908" max="5908" width="26.08984375" style="2589" customWidth="1"/>
    <col min="5909" max="6144" width="8.90625" style="2589"/>
    <col min="6145" max="6145" width="9.453125" style="2589" customWidth="1"/>
    <col min="6146" max="6146" width="8.90625" style="2589"/>
    <col min="6147" max="6149" width="12.90625" style="2589" customWidth="1"/>
    <col min="6150" max="6150" width="47.453125" style="2589" customWidth="1"/>
    <col min="6151" max="6151" width="13" style="2589" customWidth="1"/>
    <col min="6152" max="6153" width="8.90625" style="2589"/>
    <col min="6154" max="6154" width="5.7265625" style="2589" customWidth="1"/>
    <col min="6155" max="6155" width="11.7265625" style="2589" customWidth="1"/>
    <col min="6156" max="6157" width="10.7265625" style="2589" customWidth="1"/>
    <col min="6158" max="6158" width="10" style="2589" customWidth="1"/>
    <col min="6159" max="6160" width="10.453125" style="2589" bestFit="1" customWidth="1"/>
    <col min="6161" max="6161" width="10" style="2589" customWidth="1"/>
    <col min="6162" max="6162" width="10.08984375" style="2589" customWidth="1"/>
    <col min="6163" max="6163" width="10" style="2589" customWidth="1"/>
    <col min="6164" max="6164" width="26.08984375" style="2589" customWidth="1"/>
    <col min="6165" max="6400" width="8.90625" style="2589"/>
    <col min="6401" max="6401" width="9.453125" style="2589" customWidth="1"/>
    <col min="6402" max="6402" width="8.90625" style="2589"/>
    <col min="6403" max="6405" width="12.90625" style="2589" customWidth="1"/>
    <col min="6406" max="6406" width="47.453125" style="2589" customWidth="1"/>
    <col min="6407" max="6407" width="13" style="2589" customWidth="1"/>
    <col min="6408" max="6409" width="8.90625" style="2589"/>
    <col min="6410" max="6410" width="5.7265625" style="2589" customWidth="1"/>
    <col min="6411" max="6411" width="11.7265625" style="2589" customWidth="1"/>
    <col min="6412" max="6413" width="10.7265625" style="2589" customWidth="1"/>
    <col min="6414" max="6414" width="10" style="2589" customWidth="1"/>
    <col min="6415" max="6416" width="10.453125" style="2589" bestFit="1" customWidth="1"/>
    <col min="6417" max="6417" width="10" style="2589" customWidth="1"/>
    <col min="6418" max="6418" width="10.08984375" style="2589" customWidth="1"/>
    <col min="6419" max="6419" width="10" style="2589" customWidth="1"/>
    <col min="6420" max="6420" width="26.08984375" style="2589" customWidth="1"/>
    <col min="6421" max="6656" width="8.90625" style="2589"/>
    <col min="6657" max="6657" width="9.453125" style="2589" customWidth="1"/>
    <col min="6658" max="6658" width="8.90625" style="2589"/>
    <col min="6659" max="6661" width="12.90625" style="2589" customWidth="1"/>
    <col min="6662" max="6662" width="47.453125" style="2589" customWidth="1"/>
    <col min="6663" max="6663" width="13" style="2589" customWidth="1"/>
    <col min="6664" max="6665" width="8.90625" style="2589"/>
    <col min="6666" max="6666" width="5.7265625" style="2589" customWidth="1"/>
    <col min="6667" max="6667" width="11.7265625" style="2589" customWidth="1"/>
    <col min="6668" max="6669" width="10.7265625" style="2589" customWidth="1"/>
    <col min="6670" max="6670" width="10" style="2589" customWidth="1"/>
    <col min="6671" max="6672" width="10.453125" style="2589" bestFit="1" customWidth="1"/>
    <col min="6673" max="6673" width="10" style="2589" customWidth="1"/>
    <col min="6674" max="6674" width="10.08984375" style="2589" customWidth="1"/>
    <col min="6675" max="6675" width="10" style="2589" customWidth="1"/>
    <col min="6676" max="6676" width="26.08984375" style="2589" customWidth="1"/>
    <col min="6677" max="6912" width="8.90625" style="2589"/>
    <col min="6913" max="6913" width="9.453125" style="2589" customWidth="1"/>
    <col min="6914" max="6914" width="8.90625" style="2589"/>
    <col min="6915" max="6917" width="12.90625" style="2589" customWidth="1"/>
    <col min="6918" max="6918" width="47.453125" style="2589" customWidth="1"/>
    <col min="6919" max="6919" width="13" style="2589" customWidth="1"/>
    <col min="6920" max="6921" width="8.90625" style="2589"/>
    <col min="6922" max="6922" width="5.7265625" style="2589" customWidth="1"/>
    <col min="6923" max="6923" width="11.7265625" style="2589" customWidth="1"/>
    <col min="6924" max="6925" width="10.7265625" style="2589" customWidth="1"/>
    <col min="6926" max="6926" width="10" style="2589" customWidth="1"/>
    <col min="6927" max="6928" width="10.453125" style="2589" bestFit="1" customWidth="1"/>
    <col min="6929" max="6929" width="10" style="2589" customWidth="1"/>
    <col min="6930" max="6930" width="10.08984375" style="2589" customWidth="1"/>
    <col min="6931" max="6931" width="10" style="2589" customWidth="1"/>
    <col min="6932" max="6932" width="26.08984375" style="2589" customWidth="1"/>
    <col min="6933" max="7168" width="8.90625" style="2589"/>
    <col min="7169" max="7169" width="9.453125" style="2589" customWidth="1"/>
    <col min="7170" max="7170" width="8.90625" style="2589"/>
    <col min="7171" max="7173" width="12.90625" style="2589" customWidth="1"/>
    <col min="7174" max="7174" width="47.453125" style="2589" customWidth="1"/>
    <col min="7175" max="7175" width="13" style="2589" customWidth="1"/>
    <col min="7176" max="7177" width="8.90625" style="2589"/>
    <col min="7178" max="7178" width="5.7265625" style="2589" customWidth="1"/>
    <col min="7179" max="7179" width="11.7265625" style="2589" customWidth="1"/>
    <col min="7180" max="7181" width="10.7265625" style="2589" customWidth="1"/>
    <col min="7182" max="7182" width="10" style="2589" customWidth="1"/>
    <col min="7183" max="7184" width="10.453125" style="2589" bestFit="1" customWidth="1"/>
    <col min="7185" max="7185" width="10" style="2589" customWidth="1"/>
    <col min="7186" max="7186" width="10.08984375" style="2589" customWidth="1"/>
    <col min="7187" max="7187" width="10" style="2589" customWidth="1"/>
    <col min="7188" max="7188" width="26.08984375" style="2589" customWidth="1"/>
    <col min="7189" max="7424" width="8.90625" style="2589"/>
    <col min="7425" max="7425" width="9.453125" style="2589" customWidth="1"/>
    <col min="7426" max="7426" width="8.90625" style="2589"/>
    <col min="7427" max="7429" width="12.90625" style="2589" customWidth="1"/>
    <col min="7430" max="7430" width="47.453125" style="2589" customWidth="1"/>
    <col min="7431" max="7431" width="13" style="2589" customWidth="1"/>
    <col min="7432" max="7433" width="8.90625" style="2589"/>
    <col min="7434" max="7434" width="5.7265625" style="2589" customWidth="1"/>
    <col min="7435" max="7435" width="11.7265625" style="2589" customWidth="1"/>
    <col min="7436" max="7437" width="10.7265625" style="2589" customWidth="1"/>
    <col min="7438" max="7438" width="10" style="2589" customWidth="1"/>
    <col min="7439" max="7440" width="10.453125" style="2589" bestFit="1" customWidth="1"/>
    <col min="7441" max="7441" width="10" style="2589" customWidth="1"/>
    <col min="7442" max="7442" width="10.08984375" style="2589" customWidth="1"/>
    <col min="7443" max="7443" width="10" style="2589" customWidth="1"/>
    <col min="7444" max="7444" width="26.08984375" style="2589" customWidth="1"/>
    <col min="7445" max="7680" width="8.90625" style="2589"/>
    <col min="7681" max="7681" width="9.453125" style="2589" customWidth="1"/>
    <col min="7682" max="7682" width="8.90625" style="2589"/>
    <col min="7683" max="7685" width="12.90625" style="2589" customWidth="1"/>
    <col min="7686" max="7686" width="47.453125" style="2589" customWidth="1"/>
    <col min="7687" max="7687" width="13" style="2589" customWidth="1"/>
    <col min="7688" max="7689" width="8.90625" style="2589"/>
    <col min="7690" max="7690" width="5.7265625" style="2589" customWidth="1"/>
    <col min="7691" max="7691" width="11.7265625" style="2589" customWidth="1"/>
    <col min="7692" max="7693" width="10.7265625" style="2589" customWidth="1"/>
    <col min="7694" max="7694" width="10" style="2589" customWidth="1"/>
    <col min="7695" max="7696" width="10.453125" style="2589" bestFit="1" customWidth="1"/>
    <col min="7697" max="7697" width="10" style="2589" customWidth="1"/>
    <col min="7698" max="7698" width="10.08984375" style="2589" customWidth="1"/>
    <col min="7699" max="7699" width="10" style="2589" customWidth="1"/>
    <col min="7700" max="7700" width="26.08984375" style="2589" customWidth="1"/>
    <col min="7701" max="7936" width="8.90625" style="2589"/>
    <col min="7937" max="7937" width="9.453125" style="2589" customWidth="1"/>
    <col min="7938" max="7938" width="8.90625" style="2589"/>
    <col min="7939" max="7941" width="12.90625" style="2589" customWidth="1"/>
    <col min="7942" max="7942" width="47.453125" style="2589" customWidth="1"/>
    <col min="7943" max="7943" width="13" style="2589" customWidth="1"/>
    <col min="7944" max="7945" width="8.90625" style="2589"/>
    <col min="7946" max="7946" width="5.7265625" style="2589" customWidth="1"/>
    <col min="7947" max="7947" width="11.7265625" style="2589" customWidth="1"/>
    <col min="7948" max="7949" width="10.7265625" style="2589" customWidth="1"/>
    <col min="7950" max="7950" width="10" style="2589" customWidth="1"/>
    <col min="7951" max="7952" width="10.453125" style="2589" bestFit="1" customWidth="1"/>
    <col min="7953" max="7953" width="10" style="2589" customWidth="1"/>
    <col min="7954" max="7954" width="10.08984375" style="2589" customWidth="1"/>
    <col min="7955" max="7955" width="10" style="2589" customWidth="1"/>
    <col min="7956" max="7956" width="26.08984375" style="2589" customWidth="1"/>
    <col min="7957" max="8192" width="8.90625" style="2589"/>
    <col min="8193" max="8193" width="9.453125" style="2589" customWidth="1"/>
    <col min="8194" max="8194" width="8.90625" style="2589"/>
    <col min="8195" max="8197" width="12.90625" style="2589" customWidth="1"/>
    <col min="8198" max="8198" width="47.453125" style="2589" customWidth="1"/>
    <col min="8199" max="8199" width="13" style="2589" customWidth="1"/>
    <col min="8200" max="8201" width="8.90625" style="2589"/>
    <col min="8202" max="8202" width="5.7265625" style="2589" customWidth="1"/>
    <col min="8203" max="8203" width="11.7265625" style="2589" customWidth="1"/>
    <col min="8204" max="8205" width="10.7265625" style="2589" customWidth="1"/>
    <col min="8206" max="8206" width="10" style="2589" customWidth="1"/>
    <col min="8207" max="8208" width="10.453125" style="2589" bestFit="1" customWidth="1"/>
    <col min="8209" max="8209" width="10" style="2589" customWidth="1"/>
    <col min="8210" max="8210" width="10.08984375" style="2589" customWidth="1"/>
    <col min="8211" max="8211" width="10" style="2589" customWidth="1"/>
    <col min="8212" max="8212" width="26.08984375" style="2589" customWidth="1"/>
    <col min="8213" max="8448" width="8.90625" style="2589"/>
    <col min="8449" max="8449" width="9.453125" style="2589" customWidth="1"/>
    <col min="8450" max="8450" width="8.90625" style="2589"/>
    <col min="8451" max="8453" width="12.90625" style="2589" customWidth="1"/>
    <col min="8454" max="8454" width="47.453125" style="2589" customWidth="1"/>
    <col min="8455" max="8455" width="13" style="2589" customWidth="1"/>
    <col min="8456" max="8457" width="8.90625" style="2589"/>
    <col min="8458" max="8458" width="5.7265625" style="2589" customWidth="1"/>
    <col min="8459" max="8459" width="11.7265625" style="2589" customWidth="1"/>
    <col min="8460" max="8461" width="10.7265625" style="2589" customWidth="1"/>
    <col min="8462" max="8462" width="10" style="2589" customWidth="1"/>
    <col min="8463" max="8464" width="10.453125" style="2589" bestFit="1" customWidth="1"/>
    <col min="8465" max="8465" width="10" style="2589" customWidth="1"/>
    <col min="8466" max="8466" width="10.08984375" style="2589" customWidth="1"/>
    <col min="8467" max="8467" width="10" style="2589" customWidth="1"/>
    <col min="8468" max="8468" width="26.08984375" style="2589" customWidth="1"/>
    <col min="8469" max="8704" width="8.90625" style="2589"/>
    <col min="8705" max="8705" width="9.453125" style="2589" customWidth="1"/>
    <col min="8706" max="8706" width="8.90625" style="2589"/>
    <col min="8707" max="8709" width="12.90625" style="2589" customWidth="1"/>
    <col min="8710" max="8710" width="47.453125" style="2589" customWidth="1"/>
    <col min="8711" max="8711" width="13" style="2589" customWidth="1"/>
    <col min="8712" max="8713" width="8.90625" style="2589"/>
    <col min="8714" max="8714" width="5.7265625" style="2589" customWidth="1"/>
    <col min="8715" max="8715" width="11.7265625" style="2589" customWidth="1"/>
    <col min="8716" max="8717" width="10.7265625" style="2589" customWidth="1"/>
    <col min="8718" max="8718" width="10" style="2589" customWidth="1"/>
    <col min="8719" max="8720" width="10.453125" style="2589" bestFit="1" customWidth="1"/>
    <col min="8721" max="8721" width="10" style="2589" customWidth="1"/>
    <col min="8722" max="8722" width="10.08984375" style="2589" customWidth="1"/>
    <col min="8723" max="8723" width="10" style="2589" customWidth="1"/>
    <col min="8724" max="8724" width="26.08984375" style="2589" customWidth="1"/>
    <col min="8725" max="8960" width="8.90625" style="2589"/>
    <col min="8961" max="8961" width="9.453125" style="2589" customWidth="1"/>
    <col min="8962" max="8962" width="8.90625" style="2589"/>
    <col min="8963" max="8965" width="12.90625" style="2589" customWidth="1"/>
    <col min="8966" max="8966" width="47.453125" style="2589" customWidth="1"/>
    <col min="8967" max="8967" width="13" style="2589" customWidth="1"/>
    <col min="8968" max="8969" width="8.90625" style="2589"/>
    <col min="8970" max="8970" width="5.7265625" style="2589" customWidth="1"/>
    <col min="8971" max="8971" width="11.7265625" style="2589" customWidth="1"/>
    <col min="8972" max="8973" width="10.7265625" style="2589" customWidth="1"/>
    <col min="8974" max="8974" width="10" style="2589" customWidth="1"/>
    <col min="8975" max="8976" width="10.453125" style="2589" bestFit="1" customWidth="1"/>
    <col min="8977" max="8977" width="10" style="2589" customWidth="1"/>
    <col min="8978" max="8978" width="10.08984375" style="2589" customWidth="1"/>
    <col min="8979" max="8979" width="10" style="2589" customWidth="1"/>
    <col min="8980" max="8980" width="26.08984375" style="2589" customWidth="1"/>
    <col min="8981" max="9216" width="8.90625" style="2589"/>
    <col min="9217" max="9217" width="9.453125" style="2589" customWidth="1"/>
    <col min="9218" max="9218" width="8.90625" style="2589"/>
    <col min="9219" max="9221" width="12.90625" style="2589" customWidth="1"/>
    <col min="9222" max="9222" width="47.453125" style="2589" customWidth="1"/>
    <col min="9223" max="9223" width="13" style="2589" customWidth="1"/>
    <col min="9224" max="9225" width="8.90625" style="2589"/>
    <col min="9226" max="9226" width="5.7265625" style="2589" customWidth="1"/>
    <col min="9227" max="9227" width="11.7265625" style="2589" customWidth="1"/>
    <col min="9228" max="9229" width="10.7265625" style="2589" customWidth="1"/>
    <col min="9230" max="9230" width="10" style="2589" customWidth="1"/>
    <col min="9231" max="9232" width="10.453125" style="2589" bestFit="1" customWidth="1"/>
    <col min="9233" max="9233" width="10" style="2589" customWidth="1"/>
    <col min="9234" max="9234" width="10.08984375" style="2589" customWidth="1"/>
    <col min="9235" max="9235" width="10" style="2589" customWidth="1"/>
    <col min="9236" max="9236" width="26.08984375" style="2589" customWidth="1"/>
    <col min="9237" max="9472" width="8.90625" style="2589"/>
    <col min="9473" max="9473" width="9.453125" style="2589" customWidth="1"/>
    <col min="9474" max="9474" width="8.90625" style="2589"/>
    <col min="9475" max="9477" width="12.90625" style="2589" customWidth="1"/>
    <col min="9478" max="9478" width="47.453125" style="2589" customWidth="1"/>
    <col min="9479" max="9479" width="13" style="2589" customWidth="1"/>
    <col min="9480" max="9481" width="8.90625" style="2589"/>
    <col min="9482" max="9482" width="5.7265625" style="2589" customWidth="1"/>
    <col min="9483" max="9483" width="11.7265625" style="2589" customWidth="1"/>
    <col min="9484" max="9485" width="10.7265625" style="2589" customWidth="1"/>
    <col min="9486" max="9486" width="10" style="2589" customWidth="1"/>
    <col min="9487" max="9488" width="10.453125" style="2589" bestFit="1" customWidth="1"/>
    <col min="9489" max="9489" width="10" style="2589" customWidth="1"/>
    <col min="9490" max="9490" width="10.08984375" style="2589" customWidth="1"/>
    <col min="9491" max="9491" width="10" style="2589" customWidth="1"/>
    <col min="9492" max="9492" width="26.08984375" style="2589" customWidth="1"/>
    <col min="9493" max="9728" width="8.90625" style="2589"/>
    <col min="9729" max="9729" width="9.453125" style="2589" customWidth="1"/>
    <col min="9730" max="9730" width="8.90625" style="2589"/>
    <col min="9731" max="9733" width="12.90625" style="2589" customWidth="1"/>
    <col min="9734" max="9734" width="47.453125" style="2589" customWidth="1"/>
    <col min="9735" max="9735" width="13" style="2589" customWidth="1"/>
    <col min="9736" max="9737" width="8.90625" style="2589"/>
    <col min="9738" max="9738" width="5.7265625" style="2589" customWidth="1"/>
    <col min="9739" max="9739" width="11.7265625" style="2589" customWidth="1"/>
    <col min="9740" max="9741" width="10.7265625" style="2589" customWidth="1"/>
    <col min="9742" max="9742" width="10" style="2589" customWidth="1"/>
    <col min="9743" max="9744" width="10.453125" style="2589" bestFit="1" customWidth="1"/>
    <col min="9745" max="9745" width="10" style="2589" customWidth="1"/>
    <col min="9746" max="9746" width="10.08984375" style="2589" customWidth="1"/>
    <col min="9747" max="9747" width="10" style="2589" customWidth="1"/>
    <col min="9748" max="9748" width="26.08984375" style="2589" customWidth="1"/>
    <col min="9749" max="9984" width="8.90625" style="2589"/>
    <col min="9985" max="9985" width="9.453125" style="2589" customWidth="1"/>
    <col min="9986" max="9986" width="8.90625" style="2589"/>
    <col min="9987" max="9989" width="12.90625" style="2589" customWidth="1"/>
    <col min="9990" max="9990" width="47.453125" style="2589" customWidth="1"/>
    <col min="9991" max="9991" width="13" style="2589" customWidth="1"/>
    <col min="9992" max="9993" width="8.90625" style="2589"/>
    <col min="9994" max="9994" width="5.7265625" style="2589" customWidth="1"/>
    <col min="9995" max="9995" width="11.7265625" style="2589" customWidth="1"/>
    <col min="9996" max="9997" width="10.7265625" style="2589" customWidth="1"/>
    <col min="9998" max="9998" width="10" style="2589" customWidth="1"/>
    <col min="9999" max="10000" width="10.453125" style="2589" bestFit="1" customWidth="1"/>
    <col min="10001" max="10001" width="10" style="2589" customWidth="1"/>
    <col min="10002" max="10002" width="10.08984375" style="2589" customWidth="1"/>
    <col min="10003" max="10003" width="10" style="2589" customWidth="1"/>
    <col min="10004" max="10004" width="26.08984375" style="2589" customWidth="1"/>
    <col min="10005" max="10240" width="8.90625" style="2589"/>
    <col min="10241" max="10241" width="9.453125" style="2589" customWidth="1"/>
    <col min="10242" max="10242" width="8.90625" style="2589"/>
    <col min="10243" max="10245" width="12.90625" style="2589" customWidth="1"/>
    <col min="10246" max="10246" width="47.453125" style="2589" customWidth="1"/>
    <col min="10247" max="10247" width="13" style="2589" customWidth="1"/>
    <col min="10248" max="10249" width="8.90625" style="2589"/>
    <col min="10250" max="10250" width="5.7265625" style="2589" customWidth="1"/>
    <col min="10251" max="10251" width="11.7265625" style="2589" customWidth="1"/>
    <col min="10252" max="10253" width="10.7265625" style="2589" customWidth="1"/>
    <col min="10254" max="10254" width="10" style="2589" customWidth="1"/>
    <col min="10255" max="10256" width="10.453125" style="2589" bestFit="1" customWidth="1"/>
    <col min="10257" max="10257" width="10" style="2589" customWidth="1"/>
    <col min="10258" max="10258" width="10.08984375" style="2589" customWidth="1"/>
    <col min="10259" max="10259" width="10" style="2589" customWidth="1"/>
    <col min="10260" max="10260" width="26.08984375" style="2589" customWidth="1"/>
    <col min="10261" max="10496" width="8.90625" style="2589"/>
    <col min="10497" max="10497" width="9.453125" style="2589" customWidth="1"/>
    <col min="10498" max="10498" width="8.90625" style="2589"/>
    <col min="10499" max="10501" width="12.90625" style="2589" customWidth="1"/>
    <col min="10502" max="10502" width="47.453125" style="2589" customWidth="1"/>
    <col min="10503" max="10503" width="13" style="2589" customWidth="1"/>
    <col min="10504" max="10505" width="8.90625" style="2589"/>
    <col min="10506" max="10506" width="5.7265625" style="2589" customWidth="1"/>
    <col min="10507" max="10507" width="11.7265625" style="2589" customWidth="1"/>
    <col min="10508" max="10509" width="10.7265625" style="2589" customWidth="1"/>
    <col min="10510" max="10510" width="10" style="2589" customWidth="1"/>
    <col min="10511" max="10512" width="10.453125" style="2589" bestFit="1" customWidth="1"/>
    <col min="10513" max="10513" width="10" style="2589" customWidth="1"/>
    <col min="10514" max="10514" width="10.08984375" style="2589" customWidth="1"/>
    <col min="10515" max="10515" width="10" style="2589" customWidth="1"/>
    <col min="10516" max="10516" width="26.08984375" style="2589" customWidth="1"/>
    <col min="10517" max="10752" width="8.90625" style="2589"/>
    <col min="10753" max="10753" width="9.453125" style="2589" customWidth="1"/>
    <col min="10754" max="10754" width="8.90625" style="2589"/>
    <col min="10755" max="10757" width="12.90625" style="2589" customWidth="1"/>
    <col min="10758" max="10758" width="47.453125" style="2589" customWidth="1"/>
    <col min="10759" max="10759" width="13" style="2589" customWidth="1"/>
    <col min="10760" max="10761" width="8.90625" style="2589"/>
    <col min="10762" max="10762" width="5.7265625" style="2589" customWidth="1"/>
    <col min="10763" max="10763" width="11.7265625" style="2589" customWidth="1"/>
    <col min="10764" max="10765" width="10.7265625" style="2589" customWidth="1"/>
    <col min="10766" max="10766" width="10" style="2589" customWidth="1"/>
    <col min="10767" max="10768" width="10.453125" style="2589" bestFit="1" customWidth="1"/>
    <col min="10769" max="10769" width="10" style="2589" customWidth="1"/>
    <col min="10770" max="10770" width="10.08984375" style="2589" customWidth="1"/>
    <col min="10771" max="10771" width="10" style="2589" customWidth="1"/>
    <col min="10772" max="10772" width="26.08984375" style="2589" customWidth="1"/>
    <col min="10773" max="11008" width="8.90625" style="2589"/>
    <col min="11009" max="11009" width="9.453125" style="2589" customWidth="1"/>
    <col min="11010" max="11010" width="8.90625" style="2589"/>
    <col min="11011" max="11013" width="12.90625" style="2589" customWidth="1"/>
    <col min="11014" max="11014" width="47.453125" style="2589" customWidth="1"/>
    <col min="11015" max="11015" width="13" style="2589" customWidth="1"/>
    <col min="11016" max="11017" width="8.90625" style="2589"/>
    <col min="11018" max="11018" width="5.7265625" style="2589" customWidth="1"/>
    <col min="11019" max="11019" width="11.7265625" style="2589" customWidth="1"/>
    <col min="11020" max="11021" width="10.7265625" style="2589" customWidth="1"/>
    <col min="11022" max="11022" width="10" style="2589" customWidth="1"/>
    <col min="11023" max="11024" width="10.453125" style="2589" bestFit="1" customWidth="1"/>
    <col min="11025" max="11025" width="10" style="2589" customWidth="1"/>
    <col min="11026" max="11026" width="10.08984375" style="2589" customWidth="1"/>
    <col min="11027" max="11027" width="10" style="2589" customWidth="1"/>
    <col min="11028" max="11028" width="26.08984375" style="2589" customWidth="1"/>
    <col min="11029" max="11264" width="8.90625" style="2589"/>
    <col min="11265" max="11265" width="9.453125" style="2589" customWidth="1"/>
    <col min="11266" max="11266" width="8.90625" style="2589"/>
    <col min="11267" max="11269" width="12.90625" style="2589" customWidth="1"/>
    <col min="11270" max="11270" width="47.453125" style="2589" customWidth="1"/>
    <col min="11271" max="11271" width="13" style="2589" customWidth="1"/>
    <col min="11272" max="11273" width="8.90625" style="2589"/>
    <col min="11274" max="11274" width="5.7265625" style="2589" customWidth="1"/>
    <col min="11275" max="11275" width="11.7265625" style="2589" customWidth="1"/>
    <col min="11276" max="11277" width="10.7265625" style="2589" customWidth="1"/>
    <col min="11278" max="11278" width="10" style="2589" customWidth="1"/>
    <col min="11279" max="11280" width="10.453125" style="2589" bestFit="1" customWidth="1"/>
    <col min="11281" max="11281" width="10" style="2589" customWidth="1"/>
    <col min="11282" max="11282" width="10.08984375" style="2589" customWidth="1"/>
    <col min="11283" max="11283" width="10" style="2589" customWidth="1"/>
    <col min="11284" max="11284" width="26.08984375" style="2589" customWidth="1"/>
    <col min="11285" max="11520" width="8.90625" style="2589"/>
    <col min="11521" max="11521" width="9.453125" style="2589" customWidth="1"/>
    <col min="11522" max="11522" width="8.90625" style="2589"/>
    <col min="11523" max="11525" width="12.90625" style="2589" customWidth="1"/>
    <col min="11526" max="11526" width="47.453125" style="2589" customWidth="1"/>
    <col min="11527" max="11527" width="13" style="2589" customWidth="1"/>
    <col min="11528" max="11529" width="8.90625" style="2589"/>
    <col min="11530" max="11530" width="5.7265625" style="2589" customWidth="1"/>
    <col min="11531" max="11531" width="11.7265625" style="2589" customWidth="1"/>
    <col min="11532" max="11533" width="10.7265625" style="2589" customWidth="1"/>
    <col min="11534" max="11534" width="10" style="2589" customWidth="1"/>
    <col min="11535" max="11536" width="10.453125" style="2589" bestFit="1" customWidth="1"/>
    <col min="11537" max="11537" width="10" style="2589" customWidth="1"/>
    <col min="11538" max="11538" width="10.08984375" style="2589" customWidth="1"/>
    <col min="11539" max="11539" width="10" style="2589" customWidth="1"/>
    <col min="11540" max="11540" width="26.08984375" style="2589" customWidth="1"/>
    <col min="11541" max="11776" width="8.90625" style="2589"/>
    <col min="11777" max="11777" width="9.453125" style="2589" customWidth="1"/>
    <col min="11778" max="11778" width="8.90625" style="2589"/>
    <col min="11779" max="11781" width="12.90625" style="2589" customWidth="1"/>
    <col min="11782" max="11782" width="47.453125" style="2589" customWidth="1"/>
    <col min="11783" max="11783" width="13" style="2589" customWidth="1"/>
    <col min="11784" max="11785" width="8.90625" style="2589"/>
    <col min="11786" max="11786" width="5.7265625" style="2589" customWidth="1"/>
    <col min="11787" max="11787" width="11.7265625" style="2589" customWidth="1"/>
    <col min="11788" max="11789" width="10.7265625" style="2589" customWidth="1"/>
    <col min="11790" max="11790" width="10" style="2589" customWidth="1"/>
    <col min="11791" max="11792" width="10.453125" style="2589" bestFit="1" customWidth="1"/>
    <col min="11793" max="11793" width="10" style="2589" customWidth="1"/>
    <col min="11794" max="11794" width="10.08984375" style="2589" customWidth="1"/>
    <col min="11795" max="11795" width="10" style="2589" customWidth="1"/>
    <col min="11796" max="11796" width="26.08984375" style="2589" customWidth="1"/>
    <col min="11797" max="12032" width="8.90625" style="2589"/>
    <col min="12033" max="12033" width="9.453125" style="2589" customWidth="1"/>
    <col min="12034" max="12034" width="8.90625" style="2589"/>
    <col min="12035" max="12037" width="12.90625" style="2589" customWidth="1"/>
    <col min="12038" max="12038" width="47.453125" style="2589" customWidth="1"/>
    <col min="12039" max="12039" width="13" style="2589" customWidth="1"/>
    <col min="12040" max="12041" width="8.90625" style="2589"/>
    <col min="12042" max="12042" width="5.7265625" style="2589" customWidth="1"/>
    <col min="12043" max="12043" width="11.7265625" style="2589" customWidth="1"/>
    <col min="12044" max="12045" width="10.7265625" style="2589" customWidth="1"/>
    <col min="12046" max="12046" width="10" style="2589" customWidth="1"/>
    <col min="12047" max="12048" width="10.453125" style="2589" bestFit="1" customWidth="1"/>
    <col min="12049" max="12049" width="10" style="2589" customWidth="1"/>
    <col min="12050" max="12050" width="10.08984375" style="2589" customWidth="1"/>
    <col min="12051" max="12051" width="10" style="2589" customWidth="1"/>
    <col min="12052" max="12052" width="26.08984375" style="2589" customWidth="1"/>
    <col min="12053" max="12288" width="8.90625" style="2589"/>
    <col min="12289" max="12289" width="9.453125" style="2589" customWidth="1"/>
    <col min="12290" max="12290" width="8.90625" style="2589"/>
    <col min="12291" max="12293" width="12.90625" style="2589" customWidth="1"/>
    <col min="12294" max="12294" width="47.453125" style="2589" customWidth="1"/>
    <col min="12295" max="12295" width="13" style="2589" customWidth="1"/>
    <col min="12296" max="12297" width="8.90625" style="2589"/>
    <col min="12298" max="12298" width="5.7265625" style="2589" customWidth="1"/>
    <col min="12299" max="12299" width="11.7265625" style="2589" customWidth="1"/>
    <col min="12300" max="12301" width="10.7265625" style="2589" customWidth="1"/>
    <col min="12302" max="12302" width="10" style="2589" customWidth="1"/>
    <col min="12303" max="12304" width="10.453125" style="2589" bestFit="1" customWidth="1"/>
    <col min="12305" max="12305" width="10" style="2589" customWidth="1"/>
    <col min="12306" max="12306" width="10.08984375" style="2589" customWidth="1"/>
    <col min="12307" max="12307" width="10" style="2589" customWidth="1"/>
    <col min="12308" max="12308" width="26.08984375" style="2589" customWidth="1"/>
    <col min="12309" max="12544" width="8.90625" style="2589"/>
    <col min="12545" max="12545" width="9.453125" style="2589" customWidth="1"/>
    <col min="12546" max="12546" width="8.90625" style="2589"/>
    <col min="12547" max="12549" width="12.90625" style="2589" customWidth="1"/>
    <col min="12550" max="12550" width="47.453125" style="2589" customWidth="1"/>
    <col min="12551" max="12551" width="13" style="2589" customWidth="1"/>
    <col min="12552" max="12553" width="8.90625" style="2589"/>
    <col min="12554" max="12554" width="5.7265625" style="2589" customWidth="1"/>
    <col min="12555" max="12555" width="11.7265625" style="2589" customWidth="1"/>
    <col min="12556" max="12557" width="10.7265625" style="2589" customWidth="1"/>
    <col min="12558" max="12558" width="10" style="2589" customWidth="1"/>
    <col min="12559" max="12560" width="10.453125" style="2589" bestFit="1" customWidth="1"/>
    <col min="12561" max="12561" width="10" style="2589" customWidth="1"/>
    <col min="12562" max="12562" width="10.08984375" style="2589" customWidth="1"/>
    <col min="12563" max="12563" width="10" style="2589" customWidth="1"/>
    <col min="12564" max="12564" width="26.08984375" style="2589" customWidth="1"/>
    <col min="12565" max="12800" width="8.90625" style="2589"/>
    <col min="12801" max="12801" width="9.453125" style="2589" customWidth="1"/>
    <col min="12802" max="12802" width="8.90625" style="2589"/>
    <col min="12803" max="12805" width="12.90625" style="2589" customWidth="1"/>
    <col min="12806" max="12806" width="47.453125" style="2589" customWidth="1"/>
    <col min="12807" max="12807" width="13" style="2589" customWidth="1"/>
    <col min="12808" max="12809" width="8.90625" style="2589"/>
    <col min="12810" max="12810" width="5.7265625" style="2589" customWidth="1"/>
    <col min="12811" max="12811" width="11.7265625" style="2589" customWidth="1"/>
    <col min="12812" max="12813" width="10.7265625" style="2589" customWidth="1"/>
    <col min="12814" max="12814" width="10" style="2589" customWidth="1"/>
    <col min="12815" max="12816" width="10.453125" style="2589" bestFit="1" customWidth="1"/>
    <col min="12817" max="12817" width="10" style="2589" customWidth="1"/>
    <col min="12818" max="12818" width="10.08984375" style="2589" customWidth="1"/>
    <col min="12819" max="12819" width="10" style="2589" customWidth="1"/>
    <col min="12820" max="12820" width="26.08984375" style="2589" customWidth="1"/>
    <col min="12821" max="13056" width="8.90625" style="2589"/>
    <col min="13057" max="13057" width="9.453125" style="2589" customWidth="1"/>
    <col min="13058" max="13058" width="8.90625" style="2589"/>
    <col min="13059" max="13061" width="12.90625" style="2589" customWidth="1"/>
    <col min="13062" max="13062" width="47.453125" style="2589" customWidth="1"/>
    <col min="13063" max="13063" width="13" style="2589" customWidth="1"/>
    <col min="13064" max="13065" width="8.90625" style="2589"/>
    <col min="13066" max="13066" width="5.7265625" style="2589" customWidth="1"/>
    <col min="13067" max="13067" width="11.7265625" style="2589" customWidth="1"/>
    <col min="13068" max="13069" width="10.7265625" style="2589" customWidth="1"/>
    <col min="13070" max="13070" width="10" style="2589" customWidth="1"/>
    <col min="13071" max="13072" width="10.453125" style="2589" bestFit="1" customWidth="1"/>
    <col min="13073" max="13073" width="10" style="2589" customWidth="1"/>
    <col min="13074" max="13074" width="10.08984375" style="2589" customWidth="1"/>
    <col min="13075" max="13075" width="10" style="2589" customWidth="1"/>
    <col min="13076" max="13076" width="26.08984375" style="2589" customWidth="1"/>
    <col min="13077" max="13312" width="8.90625" style="2589"/>
    <col min="13313" max="13313" width="9.453125" style="2589" customWidth="1"/>
    <col min="13314" max="13314" width="8.90625" style="2589"/>
    <col min="13315" max="13317" width="12.90625" style="2589" customWidth="1"/>
    <col min="13318" max="13318" width="47.453125" style="2589" customWidth="1"/>
    <col min="13319" max="13319" width="13" style="2589" customWidth="1"/>
    <col min="13320" max="13321" width="8.90625" style="2589"/>
    <col min="13322" max="13322" width="5.7265625" style="2589" customWidth="1"/>
    <col min="13323" max="13323" width="11.7265625" style="2589" customWidth="1"/>
    <col min="13324" max="13325" width="10.7265625" style="2589" customWidth="1"/>
    <col min="13326" max="13326" width="10" style="2589" customWidth="1"/>
    <col min="13327" max="13328" width="10.453125" style="2589" bestFit="1" customWidth="1"/>
    <col min="13329" max="13329" width="10" style="2589" customWidth="1"/>
    <col min="13330" max="13330" width="10.08984375" style="2589" customWidth="1"/>
    <col min="13331" max="13331" width="10" style="2589" customWidth="1"/>
    <col min="13332" max="13332" width="26.08984375" style="2589" customWidth="1"/>
    <col min="13333" max="13568" width="8.90625" style="2589"/>
    <col min="13569" max="13569" width="9.453125" style="2589" customWidth="1"/>
    <col min="13570" max="13570" width="8.90625" style="2589"/>
    <col min="13571" max="13573" width="12.90625" style="2589" customWidth="1"/>
    <col min="13574" max="13574" width="47.453125" style="2589" customWidth="1"/>
    <col min="13575" max="13575" width="13" style="2589" customWidth="1"/>
    <col min="13576" max="13577" width="8.90625" style="2589"/>
    <col min="13578" max="13578" width="5.7265625" style="2589" customWidth="1"/>
    <col min="13579" max="13579" width="11.7265625" style="2589" customWidth="1"/>
    <col min="13580" max="13581" width="10.7265625" style="2589" customWidth="1"/>
    <col min="13582" max="13582" width="10" style="2589" customWidth="1"/>
    <col min="13583" max="13584" width="10.453125" style="2589" bestFit="1" customWidth="1"/>
    <col min="13585" max="13585" width="10" style="2589" customWidth="1"/>
    <col min="13586" max="13586" width="10.08984375" style="2589" customWidth="1"/>
    <col min="13587" max="13587" width="10" style="2589" customWidth="1"/>
    <col min="13588" max="13588" width="26.08984375" style="2589" customWidth="1"/>
    <col min="13589" max="13824" width="8.90625" style="2589"/>
    <col min="13825" max="13825" width="9.453125" style="2589" customWidth="1"/>
    <col min="13826" max="13826" width="8.90625" style="2589"/>
    <col min="13827" max="13829" width="12.90625" style="2589" customWidth="1"/>
    <col min="13830" max="13830" width="47.453125" style="2589" customWidth="1"/>
    <col min="13831" max="13831" width="13" style="2589" customWidth="1"/>
    <col min="13832" max="13833" width="8.90625" style="2589"/>
    <col min="13834" max="13834" width="5.7265625" style="2589" customWidth="1"/>
    <col min="13835" max="13835" width="11.7265625" style="2589" customWidth="1"/>
    <col min="13836" max="13837" width="10.7265625" style="2589" customWidth="1"/>
    <col min="13838" max="13838" width="10" style="2589" customWidth="1"/>
    <col min="13839" max="13840" width="10.453125" style="2589" bestFit="1" customWidth="1"/>
    <col min="13841" max="13841" width="10" style="2589" customWidth="1"/>
    <col min="13842" max="13842" width="10.08984375" style="2589" customWidth="1"/>
    <col min="13843" max="13843" width="10" style="2589" customWidth="1"/>
    <col min="13844" max="13844" width="26.08984375" style="2589" customWidth="1"/>
    <col min="13845" max="14080" width="8.90625" style="2589"/>
    <col min="14081" max="14081" width="9.453125" style="2589" customWidth="1"/>
    <col min="14082" max="14082" width="8.90625" style="2589"/>
    <col min="14083" max="14085" width="12.90625" style="2589" customWidth="1"/>
    <col min="14086" max="14086" width="47.453125" style="2589" customWidth="1"/>
    <col min="14087" max="14087" width="13" style="2589" customWidth="1"/>
    <col min="14088" max="14089" width="8.90625" style="2589"/>
    <col min="14090" max="14090" width="5.7265625" style="2589" customWidth="1"/>
    <col min="14091" max="14091" width="11.7265625" style="2589" customWidth="1"/>
    <col min="14092" max="14093" width="10.7265625" style="2589" customWidth="1"/>
    <col min="14094" max="14094" width="10" style="2589" customWidth="1"/>
    <col min="14095" max="14096" width="10.453125" style="2589" bestFit="1" customWidth="1"/>
    <col min="14097" max="14097" width="10" style="2589" customWidth="1"/>
    <col min="14098" max="14098" width="10.08984375" style="2589" customWidth="1"/>
    <col min="14099" max="14099" width="10" style="2589" customWidth="1"/>
    <col min="14100" max="14100" width="26.08984375" style="2589" customWidth="1"/>
    <col min="14101" max="14336" width="8.90625" style="2589"/>
    <col min="14337" max="14337" width="9.453125" style="2589" customWidth="1"/>
    <col min="14338" max="14338" width="8.90625" style="2589"/>
    <col min="14339" max="14341" width="12.90625" style="2589" customWidth="1"/>
    <col min="14342" max="14342" width="47.453125" style="2589" customWidth="1"/>
    <col min="14343" max="14343" width="13" style="2589" customWidth="1"/>
    <col min="14344" max="14345" width="8.90625" style="2589"/>
    <col min="14346" max="14346" width="5.7265625" style="2589" customWidth="1"/>
    <col min="14347" max="14347" width="11.7265625" style="2589" customWidth="1"/>
    <col min="14348" max="14349" width="10.7265625" style="2589" customWidth="1"/>
    <col min="14350" max="14350" width="10" style="2589" customWidth="1"/>
    <col min="14351" max="14352" width="10.453125" style="2589" bestFit="1" customWidth="1"/>
    <col min="14353" max="14353" width="10" style="2589" customWidth="1"/>
    <col min="14354" max="14354" width="10.08984375" style="2589" customWidth="1"/>
    <col min="14355" max="14355" width="10" style="2589" customWidth="1"/>
    <col min="14356" max="14356" width="26.08984375" style="2589" customWidth="1"/>
    <col min="14357" max="14592" width="8.90625" style="2589"/>
    <col min="14593" max="14593" width="9.453125" style="2589" customWidth="1"/>
    <col min="14594" max="14594" width="8.90625" style="2589"/>
    <col min="14595" max="14597" width="12.90625" style="2589" customWidth="1"/>
    <col min="14598" max="14598" width="47.453125" style="2589" customWidth="1"/>
    <col min="14599" max="14599" width="13" style="2589" customWidth="1"/>
    <col min="14600" max="14601" width="8.90625" style="2589"/>
    <col min="14602" max="14602" width="5.7265625" style="2589" customWidth="1"/>
    <col min="14603" max="14603" width="11.7265625" style="2589" customWidth="1"/>
    <col min="14604" max="14605" width="10.7265625" style="2589" customWidth="1"/>
    <col min="14606" max="14606" width="10" style="2589" customWidth="1"/>
    <col min="14607" max="14608" width="10.453125" style="2589" bestFit="1" customWidth="1"/>
    <col min="14609" max="14609" width="10" style="2589" customWidth="1"/>
    <col min="14610" max="14610" width="10.08984375" style="2589" customWidth="1"/>
    <col min="14611" max="14611" width="10" style="2589" customWidth="1"/>
    <col min="14612" max="14612" width="26.08984375" style="2589" customWidth="1"/>
    <col min="14613" max="14848" width="8.90625" style="2589"/>
    <col min="14849" max="14849" width="9.453125" style="2589" customWidth="1"/>
    <col min="14850" max="14850" width="8.90625" style="2589"/>
    <col min="14851" max="14853" width="12.90625" style="2589" customWidth="1"/>
    <col min="14854" max="14854" width="47.453125" style="2589" customWidth="1"/>
    <col min="14855" max="14855" width="13" style="2589" customWidth="1"/>
    <col min="14856" max="14857" width="8.90625" style="2589"/>
    <col min="14858" max="14858" width="5.7265625" style="2589" customWidth="1"/>
    <col min="14859" max="14859" width="11.7265625" style="2589" customWidth="1"/>
    <col min="14860" max="14861" width="10.7265625" style="2589" customWidth="1"/>
    <col min="14862" max="14862" width="10" style="2589" customWidth="1"/>
    <col min="14863" max="14864" width="10.453125" style="2589" bestFit="1" customWidth="1"/>
    <col min="14865" max="14865" width="10" style="2589" customWidth="1"/>
    <col min="14866" max="14866" width="10.08984375" style="2589" customWidth="1"/>
    <col min="14867" max="14867" width="10" style="2589" customWidth="1"/>
    <col min="14868" max="14868" width="26.08984375" style="2589" customWidth="1"/>
    <col min="14869" max="15104" width="8.90625" style="2589"/>
    <col min="15105" max="15105" width="9.453125" style="2589" customWidth="1"/>
    <col min="15106" max="15106" width="8.90625" style="2589"/>
    <col min="15107" max="15109" width="12.90625" style="2589" customWidth="1"/>
    <col min="15110" max="15110" width="47.453125" style="2589" customWidth="1"/>
    <col min="15111" max="15111" width="13" style="2589" customWidth="1"/>
    <col min="15112" max="15113" width="8.90625" style="2589"/>
    <col min="15114" max="15114" width="5.7265625" style="2589" customWidth="1"/>
    <col min="15115" max="15115" width="11.7265625" style="2589" customWidth="1"/>
    <col min="15116" max="15117" width="10.7265625" style="2589" customWidth="1"/>
    <col min="15118" max="15118" width="10" style="2589" customWidth="1"/>
    <col min="15119" max="15120" width="10.453125" style="2589" bestFit="1" customWidth="1"/>
    <col min="15121" max="15121" width="10" style="2589" customWidth="1"/>
    <col min="15122" max="15122" width="10.08984375" style="2589" customWidth="1"/>
    <col min="15123" max="15123" width="10" style="2589" customWidth="1"/>
    <col min="15124" max="15124" width="26.08984375" style="2589" customWidth="1"/>
    <col min="15125" max="15360" width="8.90625" style="2589"/>
    <col min="15361" max="15361" width="9.453125" style="2589" customWidth="1"/>
    <col min="15362" max="15362" width="8.90625" style="2589"/>
    <col min="15363" max="15365" width="12.90625" style="2589" customWidth="1"/>
    <col min="15366" max="15366" width="47.453125" style="2589" customWidth="1"/>
    <col min="15367" max="15367" width="13" style="2589" customWidth="1"/>
    <col min="15368" max="15369" width="8.90625" style="2589"/>
    <col min="15370" max="15370" width="5.7265625" style="2589" customWidth="1"/>
    <col min="15371" max="15371" width="11.7265625" style="2589" customWidth="1"/>
    <col min="15372" max="15373" width="10.7265625" style="2589" customWidth="1"/>
    <col min="15374" max="15374" width="10" style="2589" customWidth="1"/>
    <col min="15375" max="15376" width="10.453125" style="2589" bestFit="1" customWidth="1"/>
    <col min="15377" max="15377" width="10" style="2589" customWidth="1"/>
    <col min="15378" max="15378" width="10.08984375" style="2589" customWidth="1"/>
    <col min="15379" max="15379" width="10" style="2589" customWidth="1"/>
    <col min="15380" max="15380" width="26.08984375" style="2589" customWidth="1"/>
    <col min="15381" max="15616" width="8.90625" style="2589"/>
    <col min="15617" max="15617" width="9.453125" style="2589" customWidth="1"/>
    <col min="15618" max="15618" width="8.90625" style="2589"/>
    <col min="15619" max="15621" width="12.90625" style="2589" customWidth="1"/>
    <col min="15622" max="15622" width="47.453125" style="2589" customWidth="1"/>
    <col min="15623" max="15623" width="13" style="2589" customWidth="1"/>
    <col min="15624" max="15625" width="8.90625" style="2589"/>
    <col min="15626" max="15626" width="5.7265625" style="2589" customWidth="1"/>
    <col min="15627" max="15627" width="11.7265625" style="2589" customWidth="1"/>
    <col min="15628" max="15629" width="10.7265625" style="2589" customWidth="1"/>
    <col min="15630" max="15630" width="10" style="2589" customWidth="1"/>
    <col min="15631" max="15632" width="10.453125" style="2589" bestFit="1" customWidth="1"/>
    <col min="15633" max="15633" width="10" style="2589" customWidth="1"/>
    <col min="15634" max="15634" width="10.08984375" style="2589" customWidth="1"/>
    <col min="15635" max="15635" width="10" style="2589" customWidth="1"/>
    <col min="15636" max="15636" width="26.08984375" style="2589" customWidth="1"/>
    <col min="15637" max="15872" width="8.90625" style="2589"/>
    <col min="15873" max="15873" width="9.453125" style="2589" customWidth="1"/>
    <col min="15874" max="15874" width="8.90625" style="2589"/>
    <col min="15875" max="15877" width="12.90625" style="2589" customWidth="1"/>
    <col min="15878" max="15878" width="47.453125" style="2589" customWidth="1"/>
    <col min="15879" max="15879" width="13" style="2589" customWidth="1"/>
    <col min="15880" max="15881" width="8.90625" style="2589"/>
    <col min="15882" max="15882" width="5.7265625" style="2589" customWidth="1"/>
    <col min="15883" max="15883" width="11.7265625" style="2589" customWidth="1"/>
    <col min="15884" max="15885" width="10.7265625" style="2589" customWidth="1"/>
    <col min="15886" max="15886" width="10" style="2589" customWidth="1"/>
    <col min="15887" max="15888" width="10.453125" style="2589" bestFit="1" customWidth="1"/>
    <col min="15889" max="15889" width="10" style="2589" customWidth="1"/>
    <col min="15890" max="15890" width="10.08984375" style="2589" customWidth="1"/>
    <col min="15891" max="15891" width="10" style="2589" customWidth="1"/>
    <col min="15892" max="15892" width="26.08984375" style="2589" customWidth="1"/>
    <col min="15893" max="16128" width="8.90625" style="2589"/>
    <col min="16129" max="16129" width="9.453125" style="2589" customWidth="1"/>
    <col min="16130" max="16130" width="8.90625" style="2589"/>
    <col min="16131" max="16133" width="12.90625" style="2589" customWidth="1"/>
    <col min="16134" max="16134" width="47.453125" style="2589" customWidth="1"/>
    <col min="16135" max="16135" width="13" style="2589" customWidth="1"/>
    <col min="16136" max="16137" width="8.90625" style="2589"/>
    <col min="16138" max="16138" width="5.7265625" style="2589" customWidth="1"/>
    <col min="16139" max="16139" width="11.7265625" style="2589" customWidth="1"/>
    <col min="16140" max="16141" width="10.7265625" style="2589" customWidth="1"/>
    <col min="16142" max="16142" width="10" style="2589" customWidth="1"/>
    <col min="16143" max="16144" width="10.453125" style="2589" bestFit="1" customWidth="1"/>
    <col min="16145" max="16145" width="10" style="2589" customWidth="1"/>
    <col min="16146" max="16146" width="10.08984375" style="2589" customWidth="1"/>
    <col min="16147" max="16147" width="10" style="2589" customWidth="1"/>
    <col min="16148" max="16148" width="26.08984375" style="2589" customWidth="1"/>
    <col min="16149" max="16384" width="8.9062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89" t="s">
        <v>2313</v>
      </c>
      <c r="B2" s="2590" t="e">
        <f>IF(D2="——",C40,C40+E2)</f>
        <v>#DIV/0!</v>
      </c>
      <c r="C2" s="2591" t="s">
        <v>2314</v>
      </c>
      <c r="D2" s="3133" t="s">
        <v>3356</v>
      </c>
      <c r="E2" s="3134"/>
      <c r="F2" s="2593"/>
      <c r="G2" s="2594"/>
      <c r="H2" s="2595"/>
      <c r="I2" s="2596"/>
      <c r="J2" s="3410" t="s">
        <v>2315</v>
      </c>
      <c r="K2" s="3411"/>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412" t="s">
        <v>2325</v>
      </c>
      <c r="K3" s="3413"/>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412" t="s">
        <v>2327</v>
      </c>
      <c r="K4" s="3413"/>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414" t="s">
        <v>2331</v>
      </c>
      <c r="B6" s="3415"/>
      <c r="C6" s="3416"/>
      <c r="D6" s="2617"/>
      <c r="E6" s="2618"/>
      <c r="F6" s="2619"/>
      <c r="G6" s="2620"/>
      <c r="H6" s="2595"/>
      <c r="I6" s="2596"/>
      <c r="J6" s="3417">
        <v>1</v>
      </c>
      <c r="K6" s="3418"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417"/>
      <c r="K7" s="3419"/>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421" t="s">
        <v>2345</v>
      </c>
      <c r="C8" s="3422"/>
      <c r="D8" s="2636" t="s">
        <v>2346</v>
      </c>
      <c r="E8" s="2637" t="s">
        <v>2347</v>
      </c>
      <c r="F8" s="2638" t="s">
        <v>2348</v>
      </c>
      <c r="G8" s="2639"/>
      <c r="H8" s="2595"/>
      <c r="I8" s="2596"/>
      <c r="J8" s="3417"/>
      <c r="K8" s="3419"/>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421" t="s">
        <v>2351</v>
      </c>
      <c r="C9" s="3422"/>
      <c r="D9" s="2636">
        <f>ROUND(D6*E9,0)</f>
        <v>0</v>
      </c>
      <c r="E9" s="2640"/>
      <c r="F9" s="2641" t="s">
        <v>2352</v>
      </c>
      <c r="G9" s="2620"/>
      <c r="H9" s="2595"/>
      <c r="I9" s="2596"/>
      <c r="J9" s="3417"/>
      <c r="K9" s="3419"/>
      <c r="L9" s="2630" t="s">
        <v>2353</v>
      </c>
      <c r="M9" s="2631"/>
      <c r="N9" s="2607"/>
      <c r="O9" s="2632"/>
      <c r="P9" s="2632"/>
      <c r="Q9" s="2633">
        <v>365</v>
      </c>
      <c r="R9" s="2634">
        <f t="shared" si="0"/>
        <v>0</v>
      </c>
      <c r="S9" s="2588"/>
      <c r="T9" s="2588"/>
      <c r="U9" s="2588"/>
      <c r="V9" s="2596"/>
    </row>
    <row r="10" spans="1:22" s="2600" customFormat="1" ht="13.15" customHeight="1">
      <c r="A10" s="2635">
        <v>2</v>
      </c>
      <c r="B10" s="3421" t="s">
        <v>2354</v>
      </c>
      <c r="C10" s="3422"/>
      <c r="D10" s="2636">
        <f>ROUND(D6*E10,0)</f>
        <v>0</v>
      </c>
      <c r="E10" s="2640"/>
      <c r="F10" s="2641" t="s">
        <v>2355</v>
      </c>
      <c r="G10" s="2620"/>
      <c r="H10" s="2595"/>
      <c r="I10" s="2596"/>
      <c r="J10" s="3417"/>
      <c r="K10" s="3419"/>
      <c r="L10" s="2630" t="s">
        <v>2356</v>
      </c>
      <c r="M10" s="2631"/>
      <c r="N10" s="2607"/>
      <c r="O10" s="2632"/>
      <c r="P10" s="2632"/>
      <c r="Q10" s="2633">
        <v>365</v>
      </c>
      <c r="R10" s="2634">
        <f t="shared" si="0"/>
        <v>0</v>
      </c>
      <c r="S10" s="2588"/>
      <c r="T10" s="2588"/>
      <c r="U10" s="2588"/>
      <c r="V10" s="2596"/>
    </row>
    <row r="11" spans="1:22" s="2600" customFormat="1" ht="13.15" customHeight="1">
      <c r="A11" s="2635">
        <v>3</v>
      </c>
      <c r="B11" s="3421" t="s">
        <v>2357</v>
      </c>
      <c r="C11" s="3422"/>
      <c r="D11" s="2636">
        <f>D12+D14+D15+D16</f>
        <v>0</v>
      </c>
      <c r="E11" s="2642" t="e">
        <f>D11/D6</f>
        <v>#DIV/0!</v>
      </c>
      <c r="F11" s="2638"/>
      <c r="G11" s="2639"/>
      <c r="H11" s="2595"/>
      <c r="I11" s="2596"/>
      <c r="J11" s="3417"/>
      <c r="K11" s="3419"/>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423" t="s">
        <v>2360</v>
      </c>
      <c r="C12" s="3424"/>
      <c r="D12" s="2644">
        <f>ROUND(D13*1.2%*(1-30%),0)</f>
        <v>0</v>
      </c>
      <c r="E12" s="2645">
        <v>1.2E-2</v>
      </c>
      <c r="F12" s="2638" t="s">
        <v>2361</v>
      </c>
      <c r="G12" s="2639"/>
      <c r="H12" s="2595"/>
      <c r="I12" s="2596"/>
      <c r="J12" s="3417"/>
      <c r="K12" s="3419"/>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417"/>
      <c r="K13" s="3419"/>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423" t="s">
        <v>2366</v>
      </c>
      <c r="C14" s="3424"/>
      <c r="D14" s="2644">
        <f>ROUND(E14*B5/10000,0)</f>
        <v>0</v>
      </c>
      <c r="E14" s="2633"/>
      <c r="F14" s="2638" t="s">
        <v>2367</v>
      </c>
      <c r="G14" s="2639"/>
      <c r="H14" s="2595"/>
      <c r="I14" s="2596"/>
      <c r="J14" s="3417"/>
      <c r="K14" s="3420"/>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423" t="s">
        <v>2370</v>
      </c>
      <c r="C15" s="3424"/>
      <c r="D15" s="2644">
        <f>ROUND(D6*E15,0)</f>
        <v>0</v>
      </c>
      <c r="E15" s="2645">
        <v>5.5E-2</v>
      </c>
      <c r="F15" s="2638" t="s">
        <v>2371</v>
      </c>
      <c r="G15" s="2620"/>
      <c r="H15" s="2595"/>
      <c r="I15" s="2596"/>
      <c r="J15" s="3417">
        <v>2</v>
      </c>
      <c r="K15" s="3418"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423" t="s">
        <v>2379</v>
      </c>
      <c r="C16" s="3424"/>
      <c r="D16" s="2655">
        <f>D6*E16</f>
        <v>0</v>
      </c>
      <c r="E16" s="2656"/>
      <c r="F16" s="2641" t="s">
        <v>2380</v>
      </c>
      <c r="G16" s="2620"/>
      <c r="H16" s="2595"/>
      <c r="I16" s="2596"/>
      <c r="J16" s="3417"/>
      <c r="K16" s="3419"/>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425" t="s">
        <v>2382</v>
      </c>
      <c r="C17" s="3426"/>
      <c r="D17" s="2658">
        <f>ROUND(D6*E17,0)</f>
        <v>0</v>
      </c>
      <c r="E17" s="2659"/>
      <c r="F17" s="2660" t="s">
        <v>2383</v>
      </c>
      <c r="G17" s="2620"/>
      <c r="H17" s="2595"/>
      <c r="I17" s="2596"/>
      <c r="J17" s="3417"/>
      <c r="K17" s="3419"/>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417"/>
      <c r="K18" s="3419"/>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417"/>
      <c r="K19" s="3420"/>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7">
        <v>3</v>
      </c>
      <c r="K20" s="3418"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417"/>
      <c r="K21" s="3419"/>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417"/>
      <c r="K22" s="3419"/>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417"/>
      <c r="K23" s="3419"/>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417"/>
      <c r="K24" s="3420"/>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427">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428"/>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410" t="s">
        <v>2315</v>
      </c>
      <c r="K32" s="3411"/>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412" t="s">
        <v>2325</v>
      </c>
      <c r="K33" s="3413"/>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412" t="s">
        <v>2327</v>
      </c>
      <c r="K34" s="341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417">
        <v>1</v>
      </c>
      <c r="K36" s="3418"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417"/>
      <c r="K37" s="3419"/>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7"/>
      <c r="K38" s="3419"/>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417"/>
      <c r="K39" s="3419"/>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417"/>
      <c r="K40" s="3420"/>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427">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428"/>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6" t="s">
        <v>896</v>
      </c>
    </row>
    <row r="3" spans="1:1" ht="18">
      <c r="A3" s="1377" t="str">
        <f>项目基本情况!B5&amp;"："</f>
        <v>：</v>
      </c>
    </row>
    <row r="4" spans="1:1" ht="17.5">
      <c r="A4" s="1378" t="str">
        <f>"受贵公司委托，我公司对"&amp;项目基本情况!S1&amp;"进行了预评估。"</f>
        <v>受贵公司委托，我公司对房地产抵押价值进行了预评估。</v>
      </c>
    </row>
    <row r="5" spans="1:1" ht="18">
      <c r="A5" s="1379" t="s">
        <v>897</v>
      </c>
    </row>
    <row r="6" spans="1:1" ht="17.5">
      <c r="A6" s="1380" t="s">
        <v>898</v>
      </c>
    </row>
    <row r="7" spans="1:1" ht="52.5">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估价对象为房地产，为所有。根据《国有土地使用证》[]，估价对象（分摊）出让国有建设用地使用权面积为0平方米，建筑面积为26917.5200000001平方米。</v>
      </c>
    </row>
    <row r="8" spans="1:1" ht="53.5">
      <c r="A8" s="1381" t="s">
        <v>899</v>
      </c>
    </row>
    <row r="9" spans="1:1" ht="17.5">
      <c r="A9" s="1380" t="s">
        <v>900</v>
      </c>
    </row>
    <row r="10" spans="1:1" ht="52.5">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估价对象为房地产,属开发建设的综合项目（居住、综合），该项目尚在开发建设中。根据《国有土地使用证》[]，估价对象（分摊）出让国有建设用地使用权面积为0平方米，规划建筑面积为26917.5200000001平方米。</v>
      </c>
    </row>
    <row r="11" spans="1:1" ht="71">
      <c r="A11" s="1381" t="s">
        <v>901</v>
      </c>
    </row>
    <row r="12" spans="1:1" ht="18">
      <c r="A12" s="1379" t="s">
        <v>902</v>
      </c>
    </row>
    <row r="13" spans="1:1" ht="38.25" customHeight="1">
      <c r="A13" s="13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377" t="s">
        <v>903</v>
      </c>
    </row>
    <row r="15" spans="1:1" ht="17.5">
      <c r="A15" s="1382" t="str">
        <f>TEXT(项目基本情况!D3,"yyyy年m月d日;;")&amp;IF(项目基本情况!D3=项目基本情况!B3,"（评估专业人员实地查勘之日）","")</f>
        <v>2024年7月5日（评估专业人员实地查勘之日）</v>
      </c>
    </row>
    <row r="16" spans="1:1" ht="18">
      <c r="A16" s="1377" t="s">
        <v>904</v>
      </c>
    </row>
    <row r="17" spans="1:1" ht="70">
      <c r="A17" s="1378" t="s">
        <v>905</v>
      </c>
    </row>
    <row r="18" spans="1:1" ht="70">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5">
      <c r="A20" s="137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7" t="s">
        <v>894</v>
      </c>
    </row>
    <row r="24" spans="1:1" ht="17.5">
      <c r="A24" s="1383" t="str">
        <f>"本次评估采用的主估价方法为"&amp;结果表!K4&amp;"和"&amp;结果表!L4&amp;"。"</f>
        <v>本次评估采用的主估价方法为成本法和收益法。</v>
      </c>
    </row>
    <row r="25" spans="1:1" ht="17.5">
      <c r="A25" s="1383"/>
    </row>
    <row r="26" spans="1:1" ht="17.5">
      <c r="A26" s="1384"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5"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1658</v>
      </c>
      <c r="B1" s="1730" t="s">
        <v>1659</v>
      </c>
      <c r="C1" s="1151" t="s">
        <v>1660</v>
      </c>
      <c r="D1" s="1138"/>
      <c r="E1" s="3120"/>
      <c r="F1" s="1731"/>
      <c r="G1" s="1148" t="s">
        <v>1661</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683</v>
      </c>
      <c r="B2" s="312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1662</v>
      </c>
      <c r="F2" s="1735"/>
      <c r="G2" s="850"/>
      <c r="H2" s="850"/>
      <c r="I2" s="850"/>
      <c r="J2" s="850"/>
      <c r="K2" s="1736"/>
      <c r="L2" s="2480"/>
      <c r="M2" s="2481"/>
      <c r="N2" s="2481"/>
      <c r="O2" s="2481"/>
      <c r="P2" s="1737"/>
      <c r="Q2" s="1738"/>
      <c r="R2" s="1738"/>
      <c r="S2" s="1738"/>
      <c r="T2" s="1738"/>
      <c r="U2" s="1738"/>
      <c r="V2" s="1738"/>
      <c r="W2" s="1738"/>
      <c r="X2" s="1738"/>
      <c r="Y2" s="1738"/>
      <c r="Z2" s="1738"/>
      <c r="AA2" s="1738"/>
      <c r="AB2" s="1738"/>
      <c r="AC2" s="994"/>
    </row>
    <row r="3" spans="1:29" s="338" customFormat="1" ht="28.5" customHeight="1" thickBot="1">
      <c r="A3" s="195" t="s">
        <v>684</v>
      </c>
      <c r="B3" s="343">
        <f>IF(C2="——",C49,ROUND(B2*10000/D3,0))</f>
        <v>0</v>
      </c>
      <c r="C3" s="344" t="s">
        <v>1663</v>
      </c>
      <c r="D3" s="343">
        <f>IF(D1="",'数据-汇总表'!E3,SUMIF('数据-汇总表'!$C19:$C33,D1,'数据-汇总表'!$E19:$E33))</f>
        <v>26917.520000000128</v>
      </c>
      <c r="E3" s="850"/>
      <c r="F3" s="1739"/>
      <c r="G3" s="850"/>
      <c r="H3" s="850"/>
      <c r="I3" s="850"/>
      <c r="J3" s="850"/>
      <c r="K3" s="1736"/>
      <c r="L3" s="2480"/>
      <c r="M3" s="2481"/>
      <c r="N3" s="2481"/>
      <c r="O3" s="2481"/>
      <c r="P3" s="1737"/>
      <c r="Q3" s="1738"/>
      <c r="R3" s="1738"/>
      <c r="S3" s="1738"/>
      <c r="T3" s="1738"/>
      <c r="U3" s="1738"/>
      <c r="V3" s="1738"/>
      <c r="W3" s="1738"/>
      <c r="X3" s="1738"/>
      <c r="Y3" s="1738"/>
      <c r="Z3" s="1738"/>
      <c r="AA3" s="1738"/>
      <c r="AB3" s="1738"/>
      <c r="AC3" s="994"/>
    </row>
    <row r="4" spans="1:29">
      <c r="A4" s="345" t="s">
        <v>1664</v>
      </c>
      <c r="B4" s="346"/>
      <c r="C4" s="3447" t="s">
        <v>1665</v>
      </c>
      <c r="D4" s="3448"/>
      <c r="E4" s="3449" t="s">
        <v>1666</v>
      </c>
      <c r="F4" s="3450"/>
      <c r="G4" s="3447" t="s">
        <v>1667</v>
      </c>
      <c r="H4" s="3448"/>
      <c r="I4" s="3447" t="s">
        <v>1668</v>
      </c>
      <c r="J4" s="3448"/>
      <c r="K4" s="1740" t="s">
        <v>1669</v>
      </c>
      <c r="L4" s="2482"/>
      <c r="M4" s="2483"/>
      <c r="N4" s="2483"/>
      <c r="O4" s="2483"/>
      <c r="P4" s="3451" t="s">
        <v>1670</v>
      </c>
      <c r="Q4" s="3452"/>
      <c r="R4" s="3434" t="s">
        <v>1666</v>
      </c>
      <c r="S4" s="3435"/>
      <c r="T4" s="3434" t="s">
        <v>1667</v>
      </c>
      <c r="U4" s="3435"/>
      <c r="V4" s="3459" t="s">
        <v>1668</v>
      </c>
      <c r="W4" s="3459"/>
      <c r="X4" s="1261"/>
      <c r="Y4" s="3434" t="s">
        <v>1670</v>
      </c>
      <c r="Z4" s="3435"/>
      <c r="AA4" s="3429" t="s">
        <v>1666</v>
      </c>
      <c r="AB4" s="3429" t="s">
        <v>1667</v>
      </c>
      <c r="AC4" s="3429" t="s">
        <v>1668</v>
      </c>
    </row>
    <row r="5" spans="1:29">
      <c r="A5" s="348"/>
      <c r="B5" s="349"/>
      <c r="C5" s="3440" t="s">
        <v>1671</v>
      </c>
      <c r="D5" s="3441"/>
      <c r="E5" s="3438" t="s">
        <v>1672</v>
      </c>
      <c r="F5" s="3439"/>
      <c r="G5" s="3440" t="s">
        <v>1673</v>
      </c>
      <c r="H5" s="3441"/>
      <c r="I5" s="3440" t="s">
        <v>1674</v>
      </c>
      <c r="J5" s="3441"/>
      <c r="K5" s="1741"/>
      <c r="L5" s="2482"/>
      <c r="M5" s="2483"/>
      <c r="N5" s="2483"/>
      <c r="O5" s="2483"/>
      <c r="P5" s="3453"/>
      <c r="Q5" s="3454"/>
      <c r="R5" s="3436"/>
      <c r="S5" s="3437"/>
      <c r="T5" s="3436"/>
      <c r="U5" s="3437"/>
      <c r="V5" s="3459"/>
      <c r="W5" s="3459"/>
      <c r="X5" s="1261"/>
      <c r="Y5" s="3436"/>
      <c r="Z5" s="3437"/>
      <c r="AA5" s="3430"/>
      <c r="AB5" s="3430"/>
      <c r="AC5" s="3430"/>
    </row>
    <row r="6" spans="1:29" ht="15" thickBot="1">
      <c r="A6" s="350"/>
      <c r="B6" s="351"/>
      <c r="C6" s="3442" t="s">
        <v>1675</v>
      </c>
      <c r="D6" s="3443"/>
      <c r="E6" s="3444" t="s">
        <v>1675</v>
      </c>
      <c r="F6" s="3445"/>
      <c r="G6" s="3442" t="s">
        <v>1675</v>
      </c>
      <c r="H6" s="3443"/>
      <c r="I6" s="3442" t="s">
        <v>1675</v>
      </c>
      <c r="J6" s="3443"/>
      <c r="K6" s="1741" t="s">
        <v>1676</v>
      </c>
      <c r="L6" s="2482"/>
      <c r="M6" s="2483"/>
      <c r="N6" s="2483"/>
      <c r="O6" s="2483"/>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SUMIF(58:58,YEAR(E7)&amp;"-"&amp;MONTH(E7),59:59)</f>
        <v>0</v>
      </c>
      <c r="G7" s="356"/>
      <c r="H7" s="355">
        <f>SUMIF(58:58,YEAR(G7)&amp;"-"&amp;MONTH(G7),59:59)</f>
        <v>0</v>
      </c>
      <c r="I7" s="356"/>
      <c r="J7" s="355">
        <f>SUMIF(58:58,YEAR(I7)&amp;"-"&amp;MONTH(I7),59:59)</f>
        <v>0</v>
      </c>
      <c r="K7" s="1742"/>
      <c r="L7" s="2484"/>
      <c r="M7" s="2435"/>
      <c r="N7" s="2435"/>
      <c r="O7" s="2435"/>
      <c r="P7" s="3432" t="s">
        <v>1678</v>
      </c>
      <c r="Q7" s="3460"/>
      <c r="R7" s="664" t="s">
        <v>20</v>
      </c>
      <c r="S7" s="665">
        <f t="shared" ref="S7:S15" si="0">F7</f>
        <v>0</v>
      </c>
      <c r="T7" s="664" t="s">
        <v>20</v>
      </c>
      <c r="U7" s="665">
        <f t="shared" ref="U7:U15" si="1">H7</f>
        <v>0</v>
      </c>
      <c r="V7" s="664" t="s">
        <v>20</v>
      </c>
      <c r="W7" s="665">
        <f t="shared" ref="W7:W15" si="2">J7</f>
        <v>0</v>
      </c>
      <c r="X7" s="666"/>
      <c r="Y7" s="3432" t="s">
        <v>1678</v>
      </c>
      <c r="Z7" s="3433"/>
      <c r="AA7" s="50" t="e">
        <f>D7/F7</f>
        <v>#DIV/0!</v>
      </c>
      <c r="AB7" s="50" t="e">
        <f>D7/H7</f>
        <v>#DIV/0!</v>
      </c>
      <c r="AC7" s="50" t="e">
        <f>D7/J7</f>
        <v>#DIV/0!</v>
      </c>
    </row>
    <row r="8" spans="1:29" s="102" customFormat="1" ht="14.5" thickBot="1">
      <c r="A8" s="352" t="s">
        <v>1679</v>
      </c>
      <c r="B8" s="353"/>
      <c r="C8" s="358"/>
      <c r="D8" s="355">
        <v>100</v>
      </c>
      <c r="E8" s="1743"/>
      <c r="F8" s="357">
        <f>SUMIF(61:61,E8,62:62)-SUMIF(61:61,C8,62:62)+100</f>
        <v>100</v>
      </c>
      <c r="G8" s="358"/>
      <c r="H8" s="355">
        <f>SUMIF(61:61,G8,62:62)-SUMIF(61:61,C8,62:62)+100</f>
        <v>100</v>
      </c>
      <c r="I8" s="1743"/>
      <c r="J8" s="355">
        <f>SUMIF(61:61,I8,62:62)-SUMIF(61:61,C8,62:62)+100</f>
        <v>100</v>
      </c>
      <c r="K8" s="1742"/>
      <c r="L8" s="2484"/>
      <c r="M8" s="2435"/>
      <c r="N8" s="2435"/>
      <c r="O8" s="2435"/>
      <c r="P8" s="3432" t="s">
        <v>1681</v>
      </c>
      <c r="Q8" s="3433"/>
      <c r="R8" s="664" t="s">
        <v>20</v>
      </c>
      <c r="S8" s="665">
        <f t="shared" si="0"/>
        <v>100</v>
      </c>
      <c r="T8" s="664" t="s">
        <v>20</v>
      </c>
      <c r="U8" s="665">
        <f t="shared" si="1"/>
        <v>100</v>
      </c>
      <c r="V8" s="664" t="s">
        <v>20</v>
      </c>
      <c r="W8" s="665">
        <f t="shared" si="2"/>
        <v>100</v>
      </c>
      <c r="X8" s="666"/>
      <c r="Y8" s="3432" t="s">
        <v>1681</v>
      </c>
      <c r="Z8" s="3433"/>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2"/>
      <c r="L9" s="2484"/>
      <c r="M9" s="2435"/>
      <c r="N9" s="2435"/>
      <c r="O9" s="2435"/>
      <c r="P9" s="3446"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50">
        <f t="shared" si="5"/>
        <v>1</v>
      </c>
    </row>
    <row r="10" spans="1:29" s="366" customFormat="1" ht="28">
      <c r="A10" s="363"/>
      <c r="B10" s="364" t="s">
        <v>1686</v>
      </c>
      <c r="C10" s="3127"/>
      <c r="D10" s="119">
        <v>100</v>
      </c>
      <c r="E10" s="3128"/>
      <c r="F10" s="364">
        <f>SUMIF(65:65,E10,66:66)-SUMIF(65:65,C10,66:66)+100</f>
        <v>100</v>
      </c>
      <c r="G10" s="3127"/>
      <c r="H10" s="119">
        <f>SUMIF(65:65,G10,66:66)-SUMIF(65:65,C10,66:66)+100</f>
        <v>100</v>
      </c>
      <c r="I10" s="3127"/>
      <c r="J10" s="119">
        <f>SUMIF(65:65,I10,66:66)-SUMIF(65:65,C10,66:66)+100</f>
        <v>100</v>
      </c>
      <c r="K10" s="1742"/>
      <c r="L10" s="2485"/>
      <c r="M10" s="2486"/>
      <c r="N10" s="2486"/>
      <c r="O10" s="2486"/>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46"/>
      <c r="Q11" s="530" t="str">
        <f t="shared" si="6"/>
        <v>容积率</v>
      </c>
      <c r="R11" s="664" t="s">
        <v>18</v>
      </c>
      <c r="S11" s="665" t="e">
        <f t="shared" si="0"/>
        <v>#N/A</v>
      </c>
      <c r="T11" s="664" t="s">
        <v>18</v>
      </c>
      <c r="U11" s="665" t="e">
        <f t="shared" si="1"/>
        <v>#N/A</v>
      </c>
      <c r="V11" s="664" t="s">
        <v>18</v>
      </c>
      <c r="W11" s="665" t="e">
        <f t="shared" si="2"/>
        <v>#N/A</v>
      </c>
      <c r="X11" s="666"/>
      <c r="Y11" s="33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4"/>
      <c r="M12" s="2435"/>
      <c r="N12" s="2435"/>
      <c r="O12" s="2435"/>
      <c r="P12" s="3446"/>
      <c r="Q12" s="530">
        <f t="shared" si="6"/>
        <v>111</v>
      </c>
      <c r="R12" s="664" t="s">
        <v>18</v>
      </c>
      <c r="S12" s="665">
        <f t="shared" si="0"/>
        <v>100</v>
      </c>
      <c r="T12" s="664" t="s">
        <v>18</v>
      </c>
      <c r="U12" s="665">
        <f t="shared" si="1"/>
        <v>100</v>
      </c>
      <c r="V12" s="664" t="s">
        <v>18</v>
      </c>
      <c r="W12" s="665">
        <f t="shared" si="2"/>
        <v>100</v>
      </c>
      <c r="X12" s="666"/>
      <c r="Y12" s="33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8"/>
      <c r="M13" s="2483"/>
      <c r="N13" s="2483"/>
      <c r="O13" s="2483"/>
      <c r="P13" s="3446"/>
      <c r="Q13" s="530">
        <f t="shared" si="6"/>
        <v>111</v>
      </c>
      <c r="R13" s="664" t="s">
        <v>18</v>
      </c>
      <c r="S13" s="665">
        <f t="shared" si="0"/>
        <v>100</v>
      </c>
      <c r="T13" s="664" t="s">
        <v>18</v>
      </c>
      <c r="U13" s="665">
        <f t="shared" si="1"/>
        <v>100</v>
      </c>
      <c r="V13" s="664" t="s">
        <v>18</v>
      </c>
      <c r="W13" s="665">
        <f t="shared" si="2"/>
        <v>100</v>
      </c>
      <c r="X13" s="666"/>
      <c r="Y13" s="3357"/>
      <c r="Z13" s="50">
        <f t="shared" si="7"/>
        <v>111</v>
      </c>
      <c r="AA13" s="50">
        <f t="shared" si="3"/>
        <v>1</v>
      </c>
      <c r="AB13" s="50">
        <f t="shared" si="4"/>
        <v>1</v>
      </c>
      <c r="AC13" s="50">
        <f t="shared" si="5"/>
        <v>1</v>
      </c>
    </row>
    <row r="14" spans="1:29" ht="1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8"/>
      <c r="M14" s="2483"/>
      <c r="N14" s="2483"/>
      <c r="O14" s="2483"/>
      <c r="P14" s="3446"/>
      <c r="Q14" s="530">
        <f t="shared" si="6"/>
        <v>111</v>
      </c>
      <c r="R14" s="664" t="s">
        <v>18</v>
      </c>
      <c r="S14" s="665">
        <f t="shared" si="0"/>
        <v>100</v>
      </c>
      <c r="T14" s="664" t="s">
        <v>18</v>
      </c>
      <c r="U14" s="665">
        <f t="shared" si="1"/>
        <v>100</v>
      </c>
      <c r="V14" s="664" t="s">
        <v>18</v>
      </c>
      <c r="W14" s="665">
        <f t="shared" si="2"/>
        <v>100</v>
      </c>
      <c r="X14" s="666"/>
      <c r="Y14" s="3357"/>
      <c r="Z14" s="50">
        <f t="shared" si="7"/>
        <v>111</v>
      </c>
      <c r="AA14" s="50">
        <f t="shared" si="3"/>
        <v>1</v>
      </c>
      <c r="AB14" s="50">
        <f t="shared" si="4"/>
        <v>1</v>
      </c>
      <c r="AC14" s="50">
        <f t="shared" si="5"/>
        <v>1</v>
      </c>
    </row>
    <row r="15" spans="1:29" ht="15.5">
      <c r="A15" s="379" t="s">
        <v>1688</v>
      </c>
      <c r="B15" s="58" t="s">
        <v>1255</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72" t="s">
        <v>1689</v>
      </c>
      <c r="Q15" s="1259" t="str">
        <f t="shared" si="6"/>
        <v>居住社区成熟度</v>
      </c>
      <c r="R15" s="667" t="s">
        <v>18</v>
      </c>
      <c r="S15" s="668">
        <f t="shared" si="0"/>
        <v>100</v>
      </c>
      <c r="T15" s="667" t="s">
        <v>18</v>
      </c>
      <c r="U15" s="668">
        <f t="shared" si="1"/>
        <v>100</v>
      </c>
      <c r="V15" s="667" t="s">
        <v>18</v>
      </c>
      <c r="W15" s="668">
        <f t="shared" si="2"/>
        <v>100</v>
      </c>
      <c r="X15" s="1261"/>
      <c r="Y15" s="3465" t="s">
        <v>1689</v>
      </c>
      <c r="Z15" s="1260" t="str">
        <f t="shared" si="7"/>
        <v>居住社区成熟度</v>
      </c>
      <c r="AA15" s="1260">
        <f t="shared" si="3"/>
        <v>1</v>
      </c>
      <c r="AB15" s="1260">
        <f t="shared" si="4"/>
        <v>1</v>
      </c>
      <c r="AC15" s="1260">
        <f t="shared" si="5"/>
        <v>1</v>
      </c>
    </row>
    <row r="16" spans="1:29" ht="15.5">
      <c r="A16" s="367"/>
      <c r="B16" s="385"/>
      <c r="C16" s="386"/>
      <c r="D16" s="387"/>
      <c r="E16" s="1747"/>
      <c r="F16" s="387"/>
      <c r="G16" s="1748"/>
      <c r="H16" s="389"/>
      <c r="I16" s="1748"/>
      <c r="J16" s="387"/>
      <c r="K16" s="1749"/>
      <c r="L16" s="2488"/>
      <c r="M16" s="2483"/>
      <c r="N16" s="2483"/>
      <c r="O16" s="2483"/>
      <c r="P16" s="3473"/>
      <c r="Q16" s="1259"/>
      <c r="R16" s="667"/>
      <c r="S16" s="668"/>
      <c r="T16" s="667"/>
      <c r="U16" s="668"/>
      <c r="V16" s="667"/>
      <c r="W16" s="668"/>
      <c r="X16" s="1261"/>
      <c r="Y16" s="3466"/>
      <c r="Z16" s="1260"/>
      <c r="AA16" s="1260">
        <v>1</v>
      </c>
      <c r="AB16" s="1260">
        <v>1</v>
      </c>
      <c r="AC16" s="1260">
        <v>1</v>
      </c>
    </row>
    <row r="17" spans="1:29" ht="84">
      <c r="A17" s="367"/>
      <c r="B17" s="390" t="s">
        <v>1257</v>
      </c>
      <c r="C17" s="1750"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73"/>
      <c r="Q17" s="1259" t="str">
        <f>B17</f>
        <v>交通便捷度</v>
      </c>
      <c r="R17" s="667" t="s">
        <v>18</v>
      </c>
      <c r="S17" s="668">
        <f>F17</f>
        <v>100</v>
      </c>
      <c r="T17" s="667" t="s">
        <v>18</v>
      </c>
      <c r="U17" s="668">
        <f>H17</f>
        <v>100</v>
      </c>
      <c r="V17" s="667" t="s">
        <v>18</v>
      </c>
      <c r="W17" s="668">
        <f>J17</f>
        <v>100</v>
      </c>
      <c r="X17" s="1261"/>
      <c r="Y17" s="3466"/>
      <c r="Z17" s="1260" t="str">
        <f>Q17</f>
        <v>交通便捷度</v>
      </c>
      <c r="AA17" s="1260">
        <f t="shared" si="3"/>
        <v>1</v>
      </c>
      <c r="AB17" s="1260">
        <f t="shared" si="4"/>
        <v>1</v>
      </c>
      <c r="AC17" s="1260">
        <f t="shared" si="5"/>
        <v>1</v>
      </c>
    </row>
    <row r="18" spans="1:29" ht="15.5">
      <c r="A18" s="367"/>
      <c r="B18" s="395"/>
      <c r="C18" s="1751"/>
      <c r="D18" s="389"/>
      <c r="E18" s="1752"/>
      <c r="F18" s="389"/>
      <c r="G18" s="1753"/>
      <c r="H18" s="387"/>
      <c r="I18" s="1753"/>
      <c r="J18" s="387"/>
      <c r="K18" s="1749"/>
      <c r="L18" s="2488"/>
      <c r="M18" s="2483"/>
      <c r="N18" s="2483"/>
      <c r="O18" s="2483"/>
      <c r="P18" s="3473"/>
      <c r="Q18" s="1259"/>
      <c r="R18" s="667"/>
      <c r="S18" s="668"/>
      <c r="T18" s="667"/>
      <c r="U18" s="668"/>
      <c r="V18" s="667"/>
      <c r="W18" s="668"/>
      <c r="X18" s="1261"/>
      <c r="Y18" s="3466"/>
      <c r="Z18" s="1260"/>
      <c r="AA18" s="1260">
        <v>1</v>
      </c>
      <c r="AB18" s="1260">
        <v>1</v>
      </c>
      <c r="AC18" s="1260">
        <v>1</v>
      </c>
    </row>
    <row r="19" spans="1:29" ht="42">
      <c r="A19" s="367"/>
      <c r="B19" s="390" t="s">
        <v>1256</v>
      </c>
      <c r="C19" s="1750"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73"/>
      <c r="Q19" s="1259" t="str">
        <f>B19</f>
        <v>公共配套设施</v>
      </c>
      <c r="R19" s="667" t="s">
        <v>18</v>
      </c>
      <c r="S19" s="668">
        <f>F19</f>
        <v>100</v>
      </c>
      <c r="T19" s="667" t="s">
        <v>18</v>
      </c>
      <c r="U19" s="668">
        <f>H19</f>
        <v>100</v>
      </c>
      <c r="V19" s="667" t="s">
        <v>18</v>
      </c>
      <c r="W19" s="668">
        <f>J19</f>
        <v>100</v>
      </c>
      <c r="X19" s="1261"/>
      <c r="Y19" s="3466"/>
      <c r="Z19" s="1260" t="str">
        <f>Q19</f>
        <v>公共配套设施</v>
      </c>
      <c r="AA19" s="1260">
        <f t="shared" si="3"/>
        <v>1</v>
      </c>
      <c r="AB19" s="1260">
        <f t="shared" si="4"/>
        <v>1</v>
      </c>
      <c r="AC19" s="1260">
        <f t="shared" si="5"/>
        <v>1</v>
      </c>
    </row>
    <row r="20" spans="1:29" ht="15.5">
      <c r="A20" s="367"/>
      <c r="B20" s="395"/>
      <c r="C20" s="386"/>
      <c r="D20" s="387"/>
      <c r="E20" s="1747"/>
      <c r="F20" s="387"/>
      <c r="G20" s="1748"/>
      <c r="H20" s="387"/>
      <c r="I20" s="1748"/>
      <c r="J20" s="387"/>
      <c r="K20" s="1749"/>
      <c r="L20" s="2488"/>
      <c r="M20" s="2483"/>
      <c r="N20" s="2483"/>
      <c r="O20" s="2483"/>
      <c r="P20" s="3473"/>
      <c r="Q20" s="1259"/>
      <c r="R20" s="667"/>
      <c r="S20" s="668"/>
      <c r="T20" s="667"/>
      <c r="U20" s="668"/>
      <c r="V20" s="667"/>
      <c r="W20" s="668"/>
      <c r="X20" s="1261"/>
      <c r="Y20" s="3466"/>
      <c r="Z20" s="1260"/>
      <c r="AA20" s="1260">
        <v>1</v>
      </c>
      <c r="AB20" s="1260">
        <v>1</v>
      </c>
      <c r="AC20" s="1260">
        <v>1</v>
      </c>
    </row>
    <row r="21" spans="1:29" ht="28">
      <c r="A21" s="367"/>
      <c r="B21" s="586" t="s">
        <v>1258</v>
      </c>
      <c r="C21" s="1750"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73"/>
      <c r="Q21" s="1259" t="str">
        <f>B21</f>
        <v>基础设施水平</v>
      </c>
      <c r="R21" s="667" t="s">
        <v>14</v>
      </c>
      <c r="S21" s="668">
        <f>F21</f>
        <v>100</v>
      </c>
      <c r="T21" s="667" t="s">
        <v>14</v>
      </c>
      <c r="U21" s="668">
        <f>H21</f>
        <v>100</v>
      </c>
      <c r="V21" s="667" t="s">
        <v>14</v>
      </c>
      <c r="W21" s="668">
        <f>J21</f>
        <v>100</v>
      </c>
      <c r="X21" s="1261"/>
      <c r="Y21" s="3466"/>
      <c r="Z21" s="1260" t="str">
        <f>Q21</f>
        <v>基础设施水平</v>
      </c>
      <c r="AA21" s="1260">
        <f t="shared" ref="AA21" si="8">D21/F21</f>
        <v>1</v>
      </c>
      <c r="AB21" s="1260">
        <f t="shared" ref="AB21" si="9">D21/H21</f>
        <v>1</v>
      </c>
      <c r="AC21" s="1260">
        <f t="shared" ref="AC21" si="10">D21/J21</f>
        <v>1</v>
      </c>
    </row>
    <row r="22" spans="1:29" ht="15.5">
      <c r="A22" s="367"/>
      <c r="B22" s="586"/>
      <c r="C22" s="1751"/>
      <c r="D22" s="387"/>
      <c r="E22" s="386"/>
      <c r="F22" s="387"/>
      <c r="G22" s="1754"/>
      <c r="H22" s="387"/>
      <c r="I22" s="386"/>
      <c r="J22" s="387"/>
      <c r="K22" s="1755"/>
      <c r="L22" s="2488"/>
      <c r="M22" s="2483"/>
      <c r="N22" s="2483"/>
      <c r="O22" s="2483"/>
      <c r="P22" s="3473"/>
      <c r="Q22" s="1259"/>
      <c r="R22" s="667"/>
      <c r="S22" s="668"/>
      <c r="T22" s="667"/>
      <c r="U22" s="668"/>
      <c r="V22" s="667"/>
      <c r="W22" s="668"/>
      <c r="X22" s="1261"/>
      <c r="Y22" s="3466"/>
      <c r="Z22" s="1260"/>
      <c r="AA22" s="1260">
        <v>1</v>
      </c>
      <c r="AB22" s="1260">
        <v>1</v>
      </c>
      <c r="AC22" s="1260">
        <v>1</v>
      </c>
    </row>
    <row r="23" spans="1:29" ht="56">
      <c r="A23" s="367"/>
      <c r="B23" s="390" t="s">
        <v>1259</v>
      </c>
      <c r="C23" s="1750" t="str">
        <f>估价对象房地状况!C9</f>
        <v>区域自然环境：；人文环境；综合评价环境状况较好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73"/>
      <c r="Q23" s="1259" t="str">
        <f>B23</f>
        <v>自然及人文环境</v>
      </c>
      <c r="R23" s="667" t="s">
        <v>18</v>
      </c>
      <c r="S23" s="668">
        <f>F23</f>
        <v>100</v>
      </c>
      <c r="T23" s="667" t="s">
        <v>18</v>
      </c>
      <c r="U23" s="668">
        <f>H23</f>
        <v>100</v>
      </c>
      <c r="V23" s="667" t="s">
        <v>18</v>
      </c>
      <c r="W23" s="668">
        <f>J23</f>
        <v>100</v>
      </c>
      <c r="X23" s="1261"/>
      <c r="Y23" s="3466"/>
      <c r="Z23" s="1260" t="str">
        <f>Q23</f>
        <v>自然及人文环境</v>
      </c>
      <c r="AA23" s="1260">
        <f>D23/F23</f>
        <v>1</v>
      </c>
      <c r="AB23" s="1260">
        <f>D23/H23</f>
        <v>1</v>
      </c>
      <c r="AC23" s="1260">
        <f>D23/J23</f>
        <v>1</v>
      </c>
    </row>
    <row r="24" spans="1:29" ht="15.5">
      <c r="A24" s="367"/>
      <c r="B24" s="395"/>
      <c r="C24" s="386"/>
      <c r="D24" s="387"/>
      <c r="E24" s="1747"/>
      <c r="F24" s="387"/>
      <c r="G24" s="1748"/>
      <c r="H24" s="387"/>
      <c r="I24" s="1748"/>
      <c r="J24" s="387"/>
      <c r="K24" s="1749"/>
      <c r="L24" s="2488"/>
      <c r="M24" s="2483"/>
      <c r="N24" s="2483"/>
      <c r="O24" s="2483"/>
      <c r="P24" s="3473"/>
      <c r="Q24" s="1259"/>
      <c r="R24" s="667"/>
      <c r="S24" s="668"/>
      <c r="T24" s="667"/>
      <c r="U24" s="668"/>
      <c r="V24" s="667"/>
      <c r="W24" s="668"/>
      <c r="X24" s="1261"/>
      <c r="Y24" s="3466"/>
      <c r="Z24" s="1260"/>
      <c r="AA24" s="1260">
        <v>1</v>
      </c>
      <c r="AB24" s="1260">
        <v>1</v>
      </c>
      <c r="AC24" s="1260">
        <v>1</v>
      </c>
    </row>
    <row r="25" spans="1:29" ht="15.5">
      <c r="A25" s="367"/>
      <c r="B25" s="364" t="s">
        <v>1690</v>
      </c>
      <c r="C25" s="399"/>
      <c r="D25" s="374">
        <v>100</v>
      </c>
      <c r="E25" s="1756"/>
      <c r="F25" s="374">
        <f>SUMIF(86:86,E25,87:87)-SUMIF(86:86,C25,87:87)+100</f>
        <v>100</v>
      </c>
      <c r="G25" s="1757"/>
      <c r="H25" s="374">
        <f>SUMIF(86:86,G25,87:87)-SUMIF(86:86,C25,87:87)+100</f>
        <v>100</v>
      </c>
      <c r="I25" s="1757"/>
      <c r="J25" s="374">
        <f>SUMIF(86:86,I25,87:87)-SUMIF(86:86,C25,87:87)+100</f>
        <v>100</v>
      </c>
      <c r="K25" s="365"/>
      <c r="L25" s="2488"/>
      <c r="M25" s="2483"/>
      <c r="N25" s="2483"/>
      <c r="O25" s="2483"/>
      <c r="P25" s="3473"/>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466"/>
      <c r="Z25" s="1260" t="str">
        <f>Q25</f>
        <v>楼层-1</v>
      </c>
      <c r="AA25" s="1260">
        <f t="shared" ref="AA25:AA46" si="15">D25/F25</f>
        <v>1</v>
      </c>
      <c r="AB25" s="1260">
        <f t="shared" ref="AB25:AB46" si="16">D25/H25</f>
        <v>1</v>
      </c>
      <c r="AC25" s="1260">
        <f t="shared" ref="AC25:AC46" si="17">D25/J25</f>
        <v>1</v>
      </c>
    </row>
    <row r="26" spans="1:29" ht="15.5">
      <c r="A26" s="367"/>
      <c r="B26" s="364" t="s">
        <v>1691</v>
      </c>
      <c r="C26" s="399"/>
      <c r="D26" s="374">
        <v>100</v>
      </c>
      <c r="E26" s="1756"/>
      <c r="F26" s="374">
        <f>SUMIF(88:88,E26,89:89)-SUMIF(88:88,C26,89:89)+100</f>
        <v>100</v>
      </c>
      <c r="G26" s="1757"/>
      <c r="H26" s="374">
        <f>SUMIF(88:88,G26,89:89)-SUMIF(88:88,C26,89:89)+100</f>
        <v>100</v>
      </c>
      <c r="I26" s="1757"/>
      <c r="J26" s="374">
        <f>SUMIF(88:88,I26,89:89)-SUMIF(88:88,C26,89:89)+100</f>
        <v>100</v>
      </c>
      <c r="K26" s="365"/>
      <c r="L26" s="2488"/>
      <c r="M26" s="2483"/>
      <c r="N26" s="2483"/>
      <c r="O26" s="2483"/>
      <c r="P26" s="3473"/>
      <c r="Q26" s="1259" t="str">
        <f t="shared" si="11"/>
        <v>朝向</v>
      </c>
      <c r="R26" s="667" t="s">
        <v>18</v>
      </c>
      <c r="S26" s="668">
        <f t="shared" si="12"/>
        <v>100</v>
      </c>
      <c r="T26" s="667" t="s">
        <v>18</v>
      </c>
      <c r="U26" s="668">
        <f t="shared" si="13"/>
        <v>100</v>
      </c>
      <c r="V26" s="667" t="s">
        <v>18</v>
      </c>
      <c r="W26" s="668">
        <f t="shared" si="14"/>
        <v>100</v>
      </c>
      <c r="X26" s="1261"/>
      <c r="Y26" s="3466"/>
      <c r="Z26" s="1260" t="str">
        <f>Q26</f>
        <v>朝向</v>
      </c>
      <c r="AA26" s="1260">
        <f t="shared" si="15"/>
        <v>1</v>
      </c>
      <c r="AB26" s="1260">
        <f t="shared" si="16"/>
        <v>1</v>
      </c>
      <c r="AC26" s="1260">
        <f t="shared" si="17"/>
        <v>1</v>
      </c>
    </row>
    <row r="27" spans="1:29" s="102" customFormat="1" ht="15.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4"/>
      <c r="M27" s="2435"/>
      <c r="N27" s="2435"/>
      <c r="O27" s="2435"/>
      <c r="P27" s="3473"/>
      <c r="Q27" s="530">
        <f t="shared" si="11"/>
        <v>111</v>
      </c>
      <c r="R27" s="664" t="s">
        <v>18</v>
      </c>
      <c r="S27" s="665">
        <f t="shared" si="12"/>
        <v>100</v>
      </c>
      <c r="T27" s="664" t="s">
        <v>18</v>
      </c>
      <c r="U27" s="665">
        <f t="shared" si="13"/>
        <v>100</v>
      </c>
      <c r="V27" s="664" t="s">
        <v>18</v>
      </c>
      <c r="W27" s="665">
        <f t="shared" si="14"/>
        <v>100</v>
      </c>
      <c r="X27" s="666"/>
      <c r="Y27" s="3466"/>
      <c r="Z27" s="50">
        <f>Q27</f>
        <v>111</v>
      </c>
      <c r="AA27" s="1260">
        <f t="shared" si="15"/>
        <v>1</v>
      </c>
      <c r="AB27" s="1260">
        <f t="shared" si="16"/>
        <v>1</v>
      </c>
      <c r="AC27" s="1260">
        <f t="shared" si="17"/>
        <v>1</v>
      </c>
    </row>
    <row r="28" spans="1:29" ht="15.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8"/>
      <c r="M28" s="2483"/>
      <c r="N28" s="2483"/>
      <c r="O28" s="2483"/>
      <c r="P28" s="3473"/>
      <c r="Q28" s="1259">
        <f t="shared" si="11"/>
        <v>111</v>
      </c>
      <c r="R28" s="667" t="s">
        <v>18</v>
      </c>
      <c r="S28" s="668">
        <f t="shared" si="12"/>
        <v>100</v>
      </c>
      <c r="T28" s="667" t="s">
        <v>18</v>
      </c>
      <c r="U28" s="668">
        <f t="shared" si="13"/>
        <v>100</v>
      </c>
      <c r="V28" s="667" t="s">
        <v>18</v>
      </c>
      <c r="W28" s="668">
        <f t="shared" si="14"/>
        <v>100</v>
      </c>
      <c r="X28" s="1261"/>
      <c r="Y28" s="3466"/>
      <c r="Z28" s="1260">
        <f t="shared" ref="Z28:Z46" si="18">Q28</f>
        <v>111</v>
      </c>
      <c r="AA28" s="1260">
        <f t="shared" si="15"/>
        <v>1</v>
      </c>
      <c r="AB28" s="1260">
        <f t="shared" si="16"/>
        <v>1</v>
      </c>
      <c r="AC28" s="1260">
        <f t="shared" si="17"/>
        <v>1</v>
      </c>
    </row>
    <row r="29" spans="1:29" ht="15.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8"/>
      <c r="M29" s="2483"/>
      <c r="N29" s="2483"/>
      <c r="O29" s="2483"/>
      <c r="P29" s="3473"/>
      <c r="Q29" s="1259">
        <f t="shared" si="11"/>
        <v>111</v>
      </c>
      <c r="R29" s="667" t="s">
        <v>18</v>
      </c>
      <c r="S29" s="668">
        <f t="shared" si="12"/>
        <v>100</v>
      </c>
      <c r="T29" s="667" t="s">
        <v>18</v>
      </c>
      <c r="U29" s="668">
        <f t="shared" si="13"/>
        <v>100</v>
      </c>
      <c r="V29" s="667" t="s">
        <v>18</v>
      </c>
      <c r="W29" s="668">
        <f t="shared" si="14"/>
        <v>100</v>
      </c>
      <c r="X29" s="1261"/>
      <c r="Y29" s="3466"/>
      <c r="Z29" s="1260">
        <f t="shared" si="18"/>
        <v>111</v>
      </c>
      <c r="AA29" s="1260">
        <f t="shared" si="15"/>
        <v>1</v>
      </c>
      <c r="AB29" s="1260">
        <f t="shared" si="16"/>
        <v>1</v>
      </c>
      <c r="AC29" s="1260">
        <f t="shared" si="17"/>
        <v>1</v>
      </c>
    </row>
    <row r="30" spans="1:29" ht="15.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8"/>
      <c r="M30" s="2483"/>
      <c r="N30" s="2483"/>
      <c r="O30" s="2483"/>
      <c r="P30" s="3473"/>
      <c r="Q30" s="1259">
        <f t="shared" si="11"/>
        <v>111</v>
      </c>
      <c r="R30" s="667" t="s">
        <v>18</v>
      </c>
      <c r="S30" s="668">
        <f t="shared" si="12"/>
        <v>100</v>
      </c>
      <c r="T30" s="667" t="s">
        <v>18</v>
      </c>
      <c r="U30" s="668">
        <f t="shared" si="13"/>
        <v>100</v>
      </c>
      <c r="V30" s="667" t="s">
        <v>18</v>
      </c>
      <c r="W30" s="668">
        <f t="shared" si="14"/>
        <v>100</v>
      </c>
      <c r="X30" s="1261"/>
      <c r="Y30" s="3466"/>
      <c r="Z30" s="1260">
        <f t="shared" si="18"/>
        <v>111</v>
      </c>
      <c r="AA30" s="1260">
        <f t="shared" si="15"/>
        <v>1</v>
      </c>
      <c r="AB30" s="1260">
        <f t="shared" si="16"/>
        <v>1</v>
      </c>
      <c r="AC30" s="1260">
        <f t="shared" si="17"/>
        <v>1</v>
      </c>
    </row>
    <row r="31" spans="1:29" ht="1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8"/>
      <c r="M31" s="2483"/>
      <c r="N31" s="2483"/>
      <c r="O31" s="2483"/>
      <c r="P31" s="3473"/>
      <c r="Q31" s="1259">
        <f t="shared" si="11"/>
        <v>111</v>
      </c>
      <c r="R31" s="667" t="s">
        <v>18</v>
      </c>
      <c r="S31" s="668">
        <f t="shared" si="12"/>
        <v>100</v>
      </c>
      <c r="T31" s="667" t="s">
        <v>18</v>
      </c>
      <c r="U31" s="668">
        <f t="shared" si="13"/>
        <v>100</v>
      </c>
      <c r="V31" s="667" t="s">
        <v>18</v>
      </c>
      <c r="W31" s="668">
        <f t="shared" si="14"/>
        <v>100</v>
      </c>
      <c r="X31" s="1261"/>
      <c r="Y31" s="3466"/>
      <c r="Z31" s="1260">
        <f t="shared" si="18"/>
        <v>111</v>
      </c>
      <c r="AA31" s="1260">
        <f t="shared" si="15"/>
        <v>1</v>
      </c>
      <c r="AB31" s="1260">
        <f t="shared" si="16"/>
        <v>1</v>
      </c>
      <c r="AC31" s="1260">
        <f t="shared" si="17"/>
        <v>1</v>
      </c>
    </row>
    <row r="32" spans="1:29" ht="15.5">
      <c r="A32" s="379" t="s">
        <v>1692</v>
      </c>
      <c r="B32" s="60" t="s">
        <v>1693</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8"/>
      <c r="M32" s="2483"/>
      <c r="N32" s="2483"/>
      <c r="O32" s="2483"/>
      <c r="P32" s="3467" t="s">
        <v>1694</v>
      </c>
      <c r="Q32" s="1259" t="str">
        <f t="shared" si="11"/>
        <v>建筑类型</v>
      </c>
      <c r="R32" s="667" t="s">
        <v>18</v>
      </c>
      <c r="S32" s="668">
        <f t="shared" si="12"/>
        <v>100</v>
      </c>
      <c r="T32" s="667" t="s">
        <v>18</v>
      </c>
      <c r="U32" s="668">
        <f t="shared" si="13"/>
        <v>100</v>
      </c>
      <c r="V32" s="667" t="s">
        <v>18</v>
      </c>
      <c r="W32" s="668">
        <f t="shared" si="14"/>
        <v>100</v>
      </c>
      <c r="X32" s="1261"/>
      <c r="Y32" s="3470" t="s">
        <v>1694</v>
      </c>
      <c r="Z32" s="1260" t="str">
        <f t="shared" si="18"/>
        <v>建筑类型</v>
      </c>
      <c r="AA32" s="1260">
        <f t="shared" si="15"/>
        <v>1</v>
      </c>
      <c r="AB32" s="1260">
        <f t="shared" si="16"/>
        <v>1</v>
      </c>
      <c r="AC32" s="1260">
        <f t="shared" si="17"/>
        <v>1</v>
      </c>
    </row>
    <row r="33" spans="1:29" s="408" customFormat="1" ht="15.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7"/>
      <c r="M33" s="2489"/>
      <c r="N33" s="2489"/>
      <c r="O33" s="2489"/>
      <c r="P33" s="3468"/>
      <c r="Q33" s="531" t="str">
        <f t="shared" si="11"/>
        <v>项目建筑规模</v>
      </c>
      <c r="R33" s="669" t="s">
        <v>18</v>
      </c>
      <c r="S33" s="670" t="e">
        <f t="shared" si="12"/>
        <v>#N/A</v>
      </c>
      <c r="T33" s="669" t="s">
        <v>18</v>
      </c>
      <c r="U33" s="670" t="e">
        <f t="shared" si="13"/>
        <v>#N/A</v>
      </c>
      <c r="V33" s="669" t="s">
        <v>18</v>
      </c>
      <c r="W33" s="670" t="e">
        <f t="shared" si="14"/>
        <v>#N/A</v>
      </c>
      <c r="X33" s="671"/>
      <c r="Y33" s="3470"/>
      <c r="Z33" s="672" t="str">
        <f t="shared" si="18"/>
        <v>项目建筑规模</v>
      </c>
      <c r="AA33" s="1260" t="e">
        <f t="shared" si="15"/>
        <v>#N/A</v>
      </c>
      <c r="AB33" s="1260" t="e">
        <f t="shared" si="16"/>
        <v>#N/A</v>
      </c>
      <c r="AC33" s="1260" t="e">
        <f t="shared" si="17"/>
        <v>#N/A</v>
      </c>
    </row>
    <row r="34" spans="1:29" ht="15.5">
      <c r="A34" s="409"/>
      <c r="B34" s="364" t="s">
        <v>1696</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8"/>
      <c r="M34" s="2483"/>
      <c r="N34" s="2483"/>
      <c r="O34" s="2483"/>
      <c r="P34" s="3468"/>
      <c r="Q34" s="1259" t="str">
        <f t="shared" si="11"/>
        <v>建筑结构</v>
      </c>
      <c r="R34" s="667" t="s">
        <v>18</v>
      </c>
      <c r="S34" s="668">
        <f t="shared" si="12"/>
        <v>100</v>
      </c>
      <c r="T34" s="667" t="s">
        <v>18</v>
      </c>
      <c r="U34" s="668">
        <f t="shared" si="13"/>
        <v>100</v>
      </c>
      <c r="V34" s="667" t="s">
        <v>18</v>
      </c>
      <c r="W34" s="668">
        <f t="shared" si="14"/>
        <v>100</v>
      </c>
      <c r="X34" s="1261"/>
      <c r="Y34" s="3470"/>
      <c r="Z34" s="1260" t="str">
        <f t="shared" si="18"/>
        <v>建筑结构</v>
      </c>
      <c r="AA34" s="1260">
        <f t="shared" si="15"/>
        <v>1</v>
      </c>
      <c r="AB34" s="1260">
        <f t="shared" si="16"/>
        <v>1</v>
      </c>
      <c r="AC34" s="1260">
        <f t="shared" si="17"/>
        <v>1</v>
      </c>
    </row>
    <row r="35" spans="1:29" ht="15.5">
      <c r="A35" s="409"/>
      <c r="B35" s="364" t="s">
        <v>1697</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8"/>
      <c r="M35" s="2483"/>
      <c r="N35" s="2483"/>
      <c r="O35" s="2483"/>
      <c r="P35" s="3468"/>
      <c r="Q35" s="1259" t="str">
        <f t="shared" si="11"/>
        <v>建筑品质</v>
      </c>
      <c r="R35" s="667" t="s">
        <v>18</v>
      </c>
      <c r="S35" s="668">
        <f t="shared" si="12"/>
        <v>100</v>
      </c>
      <c r="T35" s="667" t="s">
        <v>18</v>
      </c>
      <c r="U35" s="668">
        <f t="shared" si="13"/>
        <v>100</v>
      </c>
      <c r="V35" s="667" t="s">
        <v>18</v>
      </c>
      <c r="W35" s="668">
        <f t="shared" si="14"/>
        <v>100</v>
      </c>
      <c r="X35" s="1261"/>
      <c r="Y35" s="3470"/>
      <c r="Z35" s="1260" t="str">
        <f t="shared" si="18"/>
        <v>建筑品质</v>
      </c>
      <c r="AA35" s="1260">
        <f t="shared" si="15"/>
        <v>1</v>
      </c>
      <c r="AB35" s="1260">
        <f t="shared" si="16"/>
        <v>1</v>
      </c>
      <c r="AC35" s="1260">
        <f t="shared" si="17"/>
        <v>1</v>
      </c>
    </row>
    <row r="36" spans="1:29" ht="15.5">
      <c r="A36" s="409"/>
      <c r="B36" s="364" t="s">
        <v>1698</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8"/>
      <c r="M36" s="2483"/>
      <c r="N36" s="2483"/>
      <c r="O36" s="2483"/>
      <c r="P36" s="3468"/>
      <c r="Q36" s="1259" t="str">
        <f t="shared" si="11"/>
        <v>公共部分装修</v>
      </c>
      <c r="R36" s="667" t="s">
        <v>18</v>
      </c>
      <c r="S36" s="668">
        <f t="shared" si="12"/>
        <v>100</v>
      </c>
      <c r="T36" s="667" t="s">
        <v>18</v>
      </c>
      <c r="U36" s="668">
        <f t="shared" si="13"/>
        <v>100</v>
      </c>
      <c r="V36" s="667" t="s">
        <v>18</v>
      </c>
      <c r="W36" s="668">
        <f t="shared" si="14"/>
        <v>100</v>
      </c>
      <c r="X36" s="1261"/>
      <c r="Y36" s="3470"/>
      <c r="Z36" s="1260" t="str">
        <f t="shared" si="18"/>
        <v>公共部分装修</v>
      </c>
      <c r="AA36" s="1260">
        <f t="shared" si="15"/>
        <v>1</v>
      </c>
      <c r="AB36" s="1260">
        <f t="shared" si="16"/>
        <v>1</v>
      </c>
      <c r="AC36" s="1260">
        <f t="shared" si="17"/>
        <v>1</v>
      </c>
    </row>
    <row r="37" spans="1:29" s="102" customFormat="1" ht="15.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68"/>
      <c r="Q37" s="530" t="str">
        <f t="shared" si="11"/>
        <v>成新度</v>
      </c>
      <c r="R37" s="664" t="s">
        <v>18</v>
      </c>
      <c r="S37" s="665" t="e">
        <f t="shared" si="12"/>
        <v>#N/A</v>
      </c>
      <c r="T37" s="664" t="s">
        <v>18</v>
      </c>
      <c r="U37" s="665" t="e">
        <f t="shared" si="13"/>
        <v>#N/A</v>
      </c>
      <c r="V37" s="664" t="s">
        <v>18</v>
      </c>
      <c r="W37" s="665" t="e">
        <f t="shared" si="14"/>
        <v>#N/A</v>
      </c>
      <c r="X37" s="666"/>
      <c r="Y37" s="3470"/>
      <c r="Z37" s="50" t="str">
        <f t="shared" si="18"/>
        <v>成新度</v>
      </c>
      <c r="AA37" s="50" t="e">
        <f t="shared" si="15"/>
        <v>#N/A</v>
      </c>
      <c r="AB37" s="50" t="e">
        <f t="shared" si="16"/>
        <v>#N/A</v>
      </c>
      <c r="AC37" s="50" t="e">
        <f t="shared" si="17"/>
        <v>#N/A</v>
      </c>
    </row>
    <row r="38" spans="1:29" ht="15.5">
      <c r="A38" s="409"/>
      <c r="B38" s="364" t="s">
        <v>1700</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8"/>
      <c r="M38" s="2483"/>
      <c r="N38" s="2483"/>
      <c r="O38" s="2483"/>
      <c r="P38" s="3468" t="s">
        <v>1694</v>
      </c>
      <c r="Q38" s="1259" t="str">
        <f t="shared" si="11"/>
        <v>物业管理</v>
      </c>
      <c r="R38" s="667" t="s">
        <v>18</v>
      </c>
      <c r="S38" s="668">
        <f t="shared" si="12"/>
        <v>100</v>
      </c>
      <c r="T38" s="667" t="s">
        <v>18</v>
      </c>
      <c r="U38" s="668">
        <f t="shared" si="13"/>
        <v>100</v>
      </c>
      <c r="V38" s="667" t="s">
        <v>18</v>
      </c>
      <c r="W38" s="668">
        <f t="shared" si="14"/>
        <v>100</v>
      </c>
      <c r="X38" s="1261"/>
      <c r="Y38" s="3470" t="s">
        <v>1694</v>
      </c>
      <c r="Z38" s="1260" t="str">
        <f t="shared" si="18"/>
        <v>物业管理</v>
      </c>
      <c r="AA38" s="1260">
        <f t="shared" si="15"/>
        <v>1</v>
      </c>
      <c r="AB38" s="1260">
        <f t="shared" si="16"/>
        <v>1</v>
      </c>
      <c r="AC38" s="1260">
        <f t="shared" si="17"/>
        <v>1</v>
      </c>
    </row>
    <row r="39" spans="1:29" ht="15.5">
      <c r="A39" s="409"/>
      <c r="B39" s="364" t="s">
        <v>1701</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8"/>
      <c r="M39" s="2483"/>
      <c r="N39" s="2483"/>
      <c r="O39" s="2483"/>
      <c r="P39" s="3468"/>
      <c r="Q39" s="1259" t="str">
        <f t="shared" si="11"/>
        <v>市政基础设施</v>
      </c>
      <c r="R39" s="667" t="s">
        <v>18</v>
      </c>
      <c r="S39" s="668">
        <f t="shared" si="12"/>
        <v>100</v>
      </c>
      <c r="T39" s="667" t="s">
        <v>18</v>
      </c>
      <c r="U39" s="668">
        <f t="shared" si="13"/>
        <v>100</v>
      </c>
      <c r="V39" s="667" t="s">
        <v>18</v>
      </c>
      <c r="W39" s="668">
        <f t="shared" si="14"/>
        <v>100</v>
      </c>
      <c r="X39" s="1261"/>
      <c r="Y39" s="3470"/>
      <c r="Z39" s="1260" t="str">
        <f t="shared" si="18"/>
        <v>市政基础设施</v>
      </c>
      <c r="AA39" s="1260">
        <f t="shared" si="15"/>
        <v>1</v>
      </c>
      <c r="AB39" s="1260">
        <f t="shared" si="16"/>
        <v>1</v>
      </c>
      <c r="AC39" s="1260">
        <f t="shared" si="17"/>
        <v>1</v>
      </c>
    </row>
    <row r="40" spans="1:29" ht="15.5">
      <c r="A40" s="409"/>
      <c r="B40" s="364" t="s">
        <v>1702</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8"/>
      <c r="M40" s="2483"/>
      <c r="N40" s="2483"/>
      <c r="O40" s="2483"/>
      <c r="P40" s="3468"/>
      <c r="Q40" s="1259" t="str">
        <f t="shared" si="11"/>
        <v>房型</v>
      </c>
      <c r="R40" s="667" t="s">
        <v>18</v>
      </c>
      <c r="S40" s="668">
        <f t="shared" si="12"/>
        <v>100</v>
      </c>
      <c r="T40" s="667" t="s">
        <v>18</v>
      </c>
      <c r="U40" s="668">
        <f t="shared" si="13"/>
        <v>100</v>
      </c>
      <c r="V40" s="667" t="s">
        <v>18</v>
      </c>
      <c r="W40" s="668">
        <f t="shared" si="14"/>
        <v>100</v>
      </c>
      <c r="X40" s="1261"/>
      <c r="Y40" s="3470"/>
      <c r="Z40" s="1260" t="str">
        <f t="shared" si="18"/>
        <v>房型</v>
      </c>
      <c r="AA40" s="1260">
        <f t="shared" si="15"/>
        <v>1</v>
      </c>
      <c r="AB40" s="1260">
        <f t="shared" si="16"/>
        <v>1</v>
      </c>
      <c r="AC40" s="1260">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7"/>
      <c r="M41" s="2489"/>
      <c r="N41" s="2489"/>
      <c r="O41" s="2489"/>
      <c r="P41" s="3468"/>
      <c r="Q41" s="531" t="str">
        <f t="shared" si="11"/>
        <v>单套/主力户型建筑面积</v>
      </c>
      <c r="R41" s="669" t="s">
        <v>18</v>
      </c>
      <c r="S41" s="670">
        <f t="shared" si="12"/>
        <v>100</v>
      </c>
      <c r="T41" s="669" t="s">
        <v>18</v>
      </c>
      <c r="U41" s="670">
        <f t="shared" si="13"/>
        <v>100</v>
      </c>
      <c r="V41" s="669" t="s">
        <v>18</v>
      </c>
      <c r="W41" s="670">
        <f t="shared" si="14"/>
        <v>100</v>
      </c>
      <c r="X41" s="671"/>
      <c r="Y41" s="3470"/>
      <c r="Z41" s="672" t="str">
        <f t="shared" si="18"/>
        <v>单套/主力户型建筑面积</v>
      </c>
      <c r="AA41" s="1260">
        <f t="shared" si="15"/>
        <v>1</v>
      </c>
      <c r="AB41" s="1260">
        <f t="shared" si="16"/>
        <v>1</v>
      </c>
      <c r="AC41" s="1260">
        <f t="shared" si="17"/>
        <v>1</v>
      </c>
    </row>
    <row r="42" spans="1:29" ht="15.5">
      <c r="A42" s="409"/>
      <c r="B42" s="364" t="s">
        <v>1704</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8"/>
      <c r="M42" s="2483"/>
      <c r="N42" s="2483"/>
      <c r="O42" s="2483"/>
      <c r="P42" s="3468"/>
      <c r="Q42" s="1259" t="str">
        <f t="shared" si="11"/>
        <v>内部装修</v>
      </c>
      <c r="R42" s="667" t="s">
        <v>18</v>
      </c>
      <c r="S42" s="668">
        <f t="shared" si="12"/>
        <v>100</v>
      </c>
      <c r="T42" s="667" t="s">
        <v>18</v>
      </c>
      <c r="U42" s="668">
        <f t="shared" si="13"/>
        <v>100</v>
      </c>
      <c r="V42" s="667" t="s">
        <v>18</v>
      </c>
      <c r="W42" s="668">
        <f t="shared" si="14"/>
        <v>100</v>
      </c>
      <c r="X42" s="1261"/>
      <c r="Y42" s="3470"/>
      <c r="Z42" s="1260" t="str">
        <f t="shared" si="18"/>
        <v>内部装修</v>
      </c>
      <c r="AA42" s="1260">
        <f t="shared" si="15"/>
        <v>1</v>
      </c>
      <c r="AB42" s="1260">
        <f t="shared" si="16"/>
        <v>1</v>
      </c>
      <c r="AC42" s="1260">
        <f t="shared" si="17"/>
        <v>1</v>
      </c>
    </row>
    <row r="43" spans="1:29" ht="28">
      <c r="A43" s="409"/>
      <c r="B43" s="364" t="s">
        <v>1705</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8"/>
      <c r="M43" s="2483"/>
      <c r="N43" s="2483"/>
      <c r="O43" s="2483"/>
      <c r="P43" s="3468"/>
      <c r="Q43" s="1259" t="str">
        <f t="shared" si="11"/>
        <v>内部装修维护情况</v>
      </c>
      <c r="R43" s="667" t="s">
        <v>18</v>
      </c>
      <c r="S43" s="668">
        <f t="shared" si="12"/>
        <v>100</v>
      </c>
      <c r="T43" s="667" t="s">
        <v>18</v>
      </c>
      <c r="U43" s="668">
        <f t="shared" si="13"/>
        <v>100</v>
      </c>
      <c r="V43" s="667" t="s">
        <v>18</v>
      </c>
      <c r="W43" s="668">
        <f t="shared" si="14"/>
        <v>100</v>
      </c>
      <c r="X43" s="1261"/>
      <c r="Y43" s="3470"/>
      <c r="Z43" s="1260" t="str">
        <f t="shared" si="18"/>
        <v>内部装修维护情况</v>
      </c>
      <c r="AA43" s="1260">
        <f t="shared" si="15"/>
        <v>1</v>
      </c>
      <c r="AB43" s="1260">
        <f t="shared" si="16"/>
        <v>1</v>
      </c>
      <c r="AC43" s="1260">
        <f t="shared" si="17"/>
        <v>1</v>
      </c>
    </row>
    <row r="44" spans="1:29" s="102" customFormat="1" ht="15.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4"/>
      <c r="M44" s="2435"/>
      <c r="N44" s="2435"/>
      <c r="O44" s="2435"/>
      <c r="P44" s="3468"/>
      <c r="Q44" s="530">
        <f t="shared" si="11"/>
        <v>111</v>
      </c>
      <c r="R44" s="664" t="s">
        <v>18</v>
      </c>
      <c r="S44" s="665">
        <f t="shared" si="12"/>
        <v>100</v>
      </c>
      <c r="T44" s="664" t="s">
        <v>18</v>
      </c>
      <c r="U44" s="665">
        <f t="shared" si="13"/>
        <v>100</v>
      </c>
      <c r="V44" s="664" t="s">
        <v>18</v>
      </c>
      <c r="W44" s="665">
        <f t="shared" si="14"/>
        <v>100</v>
      </c>
      <c r="X44" s="666"/>
      <c r="Y44" s="3470"/>
      <c r="Z44" s="50">
        <f t="shared" si="18"/>
        <v>111</v>
      </c>
      <c r="AA44" s="50">
        <f t="shared" si="15"/>
        <v>1</v>
      </c>
      <c r="AB44" s="50">
        <f t="shared" si="16"/>
        <v>1</v>
      </c>
      <c r="AC44" s="50">
        <f t="shared" si="17"/>
        <v>1</v>
      </c>
    </row>
    <row r="45" spans="1:29" ht="15.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8"/>
      <c r="M45" s="2483"/>
      <c r="N45" s="2483"/>
      <c r="O45" s="2483"/>
      <c r="P45" s="3468"/>
      <c r="Q45" s="1259">
        <f t="shared" si="11"/>
        <v>111</v>
      </c>
      <c r="R45" s="667" t="s">
        <v>18</v>
      </c>
      <c r="S45" s="668">
        <f t="shared" si="12"/>
        <v>100</v>
      </c>
      <c r="T45" s="667" t="s">
        <v>18</v>
      </c>
      <c r="U45" s="668">
        <f t="shared" si="13"/>
        <v>100</v>
      </c>
      <c r="V45" s="667" t="s">
        <v>18</v>
      </c>
      <c r="W45" s="668">
        <f t="shared" si="14"/>
        <v>100</v>
      </c>
      <c r="X45" s="1261"/>
      <c r="Y45" s="3470"/>
      <c r="Z45" s="1260">
        <f t="shared" si="18"/>
        <v>111</v>
      </c>
      <c r="AA45" s="1260">
        <f t="shared" si="15"/>
        <v>1</v>
      </c>
      <c r="AB45" s="1260">
        <f t="shared" si="16"/>
        <v>1</v>
      </c>
      <c r="AC45" s="1260">
        <f t="shared" si="17"/>
        <v>1</v>
      </c>
    </row>
    <row r="46" spans="1:29" ht="1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8"/>
      <c r="M46" s="2483"/>
      <c r="N46" s="2483"/>
      <c r="O46" s="2483"/>
      <c r="P46" s="3469"/>
      <c r="Q46" s="1259">
        <f t="shared" si="11"/>
        <v>111</v>
      </c>
      <c r="R46" s="667" t="s">
        <v>17</v>
      </c>
      <c r="S46" s="668">
        <f t="shared" si="12"/>
        <v>100</v>
      </c>
      <c r="T46" s="667" t="s">
        <v>17</v>
      </c>
      <c r="U46" s="668">
        <f t="shared" si="13"/>
        <v>100</v>
      </c>
      <c r="V46" s="667" t="s">
        <v>17</v>
      </c>
      <c r="W46" s="668">
        <f t="shared" si="14"/>
        <v>100</v>
      </c>
      <c r="X46" s="1261"/>
      <c r="Y46" s="3471"/>
      <c r="Z46" s="1260">
        <f t="shared" si="18"/>
        <v>111</v>
      </c>
      <c r="AA46" s="1260">
        <f t="shared" si="15"/>
        <v>1</v>
      </c>
      <c r="AB46" s="1260">
        <f t="shared" si="16"/>
        <v>1</v>
      </c>
      <c r="AC46" s="1260">
        <f t="shared" si="17"/>
        <v>1</v>
      </c>
    </row>
    <row r="47" spans="1:29">
      <c r="A47" s="416" t="s">
        <v>1706</v>
      </c>
      <c r="B47" s="417"/>
      <c r="C47" s="1077" t="s">
        <v>16</v>
      </c>
      <c r="D47" s="418"/>
      <c r="E47" s="419"/>
      <c r="F47" s="420"/>
      <c r="G47" s="421"/>
      <c r="H47" s="422"/>
      <c r="I47" s="419"/>
      <c r="J47" s="422"/>
      <c r="K47" s="1763"/>
      <c r="L47" s="2490"/>
      <c r="M47" s="2483"/>
      <c r="N47" s="2483"/>
      <c r="O47" s="2483"/>
      <c r="P47" s="3464" t="str">
        <f>A47</f>
        <v>成交单价（元/平方米）</v>
      </c>
      <c r="Q47" s="3464"/>
      <c r="R47" s="3459">
        <f>E47</f>
        <v>0</v>
      </c>
      <c r="S47" s="3459"/>
      <c r="T47" s="3459">
        <f>G47</f>
        <v>0</v>
      </c>
      <c r="U47" s="3459"/>
      <c r="V47" s="3459">
        <f>I47</f>
        <v>0</v>
      </c>
      <c r="W47" s="3459"/>
      <c r="X47" s="385"/>
      <c r="Y47" s="673"/>
      <c r="Z47" s="385"/>
      <c r="AA47" s="385"/>
      <c r="AB47" s="385"/>
      <c r="AC47" s="385"/>
    </row>
    <row r="48" spans="1:29" ht="14.5" thickBot="1">
      <c r="A48" s="423" t="s">
        <v>1707</v>
      </c>
      <c r="B48" s="424"/>
      <c r="C48" s="1078" t="e">
        <f>R49</f>
        <v>#DIV/0!</v>
      </c>
      <c r="D48" s="2137" t="s">
        <v>2136</v>
      </c>
      <c r="E48" s="1079" t="e">
        <f>R48</f>
        <v>#DIV/0!</v>
      </c>
      <c r="F48" s="2138"/>
      <c r="G48" s="1078" t="e">
        <f>T48</f>
        <v>#DIV/0!</v>
      </c>
      <c r="H48" s="2138"/>
      <c r="I48" s="1079" t="e">
        <f>V48</f>
        <v>#DIV/0!</v>
      </c>
      <c r="J48" s="2138"/>
      <c r="K48" s="2139">
        <f>F48+H48+J48</f>
        <v>0</v>
      </c>
      <c r="L48" s="2490"/>
      <c r="M48" s="2483"/>
      <c r="N48" s="2483"/>
      <c r="O48" s="2483"/>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5"/>
      <c r="Y48" s="385"/>
      <c r="Z48" s="385"/>
      <c r="AA48" s="385"/>
      <c r="AB48" s="385"/>
      <c r="AC48" s="385"/>
    </row>
    <row r="49" spans="1:29" ht="14.5" thickBot="1">
      <c r="A49" s="427" t="s">
        <v>1708</v>
      </c>
      <c r="B49" s="428"/>
      <c r="C49" s="1080" t="e">
        <f>R49</f>
        <v>#DIV/0!</v>
      </c>
      <c r="D49" s="351"/>
      <c r="E49" s="351"/>
      <c r="F49" s="351"/>
      <c r="G49" s="351"/>
      <c r="H49" s="351"/>
      <c r="I49" s="351"/>
      <c r="J49" s="351"/>
      <c r="K49" s="1764"/>
      <c r="L49" s="2490"/>
      <c r="M49" s="2483"/>
      <c r="N49" s="2483"/>
      <c r="O49" s="2483"/>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5" thickBot="1">
      <c r="A57" s="658" t="s">
        <v>1712</v>
      </c>
      <c r="B57" s="385"/>
      <c r="C57" s="659"/>
      <c r="D57" s="659"/>
      <c r="E57" s="659"/>
      <c r="F57" s="660"/>
      <c r="G57" s="660"/>
      <c r="H57" s="659"/>
      <c r="I57" s="659"/>
      <c r="J57" s="659"/>
      <c r="K57" s="883"/>
      <c r="L57" s="884"/>
      <c r="M57" s="882"/>
      <c r="N57" s="882"/>
      <c r="O57" s="882"/>
      <c r="P57" s="1767"/>
      <c r="Q57" s="439"/>
    </row>
    <row r="58" spans="1:29" s="442" customFormat="1">
      <c r="A58" s="440" t="s">
        <v>1713</v>
      </c>
      <c r="B58" s="441"/>
      <c r="C58" s="1101" t="str">
        <f>YEAR(C7)&amp;"-"&amp;MONTH(C7)</f>
        <v>2024-7</v>
      </c>
      <c r="D58" s="1100">
        <f>EDATE(C58,-1)</f>
        <v>45444</v>
      </c>
      <c r="E58" s="1100">
        <f>EDATE(D58,-1)</f>
        <v>45413</v>
      </c>
      <c r="F58" s="1100">
        <f t="shared" ref="F58:O58" si="19">EDATE(E58,-1)</f>
        <v>45383</v>
      </c>
      <c r="G58" s="1100">
        <f t="shared" si="19"/>
        <v>45352</v>
      </c>
      <c r="H58" s="1100">
        <f t="shared" si="19"/>
        <v>45323</v>
      </c>
      <c r="I58" s="1100">
        <f t="shared" si="19"/>
        <v>45292</v>
      </c>
      <c r="J58" s="1100">
        <f t="shared" si="19"/>
        <v>45261</v>
      </c>
      <c r="K58" s="1100">
        <f t="shared" si="19"/>
        <v>45231</v>
      </c>
      <c r="L58" s="1100">
        <f t="shared" si="19"/>
        <v>45200</v>
      </c>
      <c r="M58" s="1100">
        <f t="shared" si="19"/>
        <v>45170</v>
      </c>
      <c r="N58" s="1100">
        <f t="shared" si="19"/>
        <v>45139</v>
      </c>
      <c r="O58" s="1100">
        <f t="shared" si="19"/>
        <v>45108</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4.5" thickBot="1">
      <c r="A60" s="449" t="s">
        <v>1714</v>
      </c>
      <c r="B60" s="450"/>
      <c r="C60" s="451"/>
      <c r="D60" s="452"/>
      <c r="E60" s="452"/>
      <c r="F60" s="452"/>
      <c r="G60" s="452"/>
      <c r="H60" s="452"/>
      <c r="I60" s="452"/>
      <c r="J60" s="452"/>
      <c r="K60" s="452"/>
      <c r="L60" s="452"/>
      <c r="M60" s="453"/>
      <c r="N60" s="452"/>
      <c r="O60" s="453"/>
      <c r="P60" s="1769"/>
      <c r="Q60" s="439"/>
    </row>
    <row r="61" spans="1:29" s="102" customFormat="1">
      <c r="A61" s="455" t="s">
        <v>1715</v>
      </c>
      <c r="B61" s="444"/>
      <c r="C61" s="456" t="s">
        <v>1716</v>
      </c>
      <c r="D61" s="31"/>
      <c r="E61" s="31"/>
      <c r="F61" s="31"/>
      <c r="G61" s="31"/>
      <c r="H61" s="31"/>
      <c r="I61" s="31"/>
      <c r="J61" s="31"/>
      <c r="K61" s="31"/>
      <c r="L61" s="457"/>
      <c r="M61" s="458"/>
      <c r="N61" s="874"/>
      <c r="O61" s="874"/>
      <c r="P61" s="1770"/>
      <c r="Q61" s="439"/>
    </row>
    <row r="62" spans="1:29" s="102" customFormat="1" ht="14.5" thickBot="1">
      <c r="A62" s="455"/>
      <c r="B62" s="444"/>
      <c r="C62" s="445">
        <v>100</v>
      </c>
      <c r="D62" s="446"/>
      <c r="E62" s="446"/>
      <c r="F62" s="446"/>
      <c r="G62" s="446"/>
      <c r="H62" s="446"/>
      <c r="I62" s="446"/>
      <c r="J62" s="446"/>
      <c r="K62" s="446"/>
      <c r="L62" s="446"/>
      <c r="M62" s="448"/>
      <c r="N62" s="874"/>
      <c r="O62" s="874"/>
      <c r="P62" s="1769"/>
      <c r="Q62" s="439"/>
    </row>
    <row r="63" spans="1:29">
      <c r="A63" s="379" t="s">
        <v>1717</v>
      </c>
      <c r="B63" s="460" t="s">
        <v>1683</v>
      </c>
      <c r="C63" s="461">
        <f>C9</f>
        <v>0</v>
      </c>
      <c r="D63" s="462"/>
      <c r="E63" s="462"/>
      <c r="F63" s="462"/>
      <c r="G63" s="462"/>
      <c r="H63" s="462"/>
      <c r="I63" s="462"/>
      <c r="J63" s="462"/>
      <c r="K63" s="463"/>
      <c r="L63" s="464"/>
      <c r="M63" s="465"/>
      <c r="N63" s="875"/>
      <c r="O63" s="875"/>
      <c r="P63" s="1771"/>
      <c r="Q63" s="439"/>
    </row>
    <row r="64" spans="1:29" ht="14.5" thickBot="1">
      <c r="A64" s="367"/>
      <c r="B64" s="466"/>
      <c r="C64" s="467">
        <v>100</v>
      </c>
      <c r="D64" s="467"/>
      <c r="E64" s="467"/>
      <c r="F64" s="467"/>
      <c r="G64" s="467"/>
      <c r="H64" s="467"/>
      <c r="I64" s="467"/>
      <c r="J64" s="467"/>
      <c r="K64" s="467"/>
      <c r="L64" s="467"/>
      <c r="M64" s="468"/>
      <c r="N64" s="876"/>
      <c r="O64" s="876"/>
      <c r="P64" s="1771"/>
      <c r="Q64" s="439"/>
    </row>
    <row r="65" spans="1:17" ht="28.5" thickTop="1">
      <c r="A65" s="367"/>
      <c r="B65" s="469" t="s">
        <v>1686</v>
      </c>
      <c r="C65" s="513"/>
      <c r="D65" s="513"/>
      <c r="E65" s="513"/>
      <c r="F65" s="513"/>
      <c r="G65" s="513"/>
      <c r="H65" s="513"/>
      <c r="I65" s="513"/>
      <c r="J65" s="513"/>
      <c r="K65" s="513"/>
      <c r="L65" s="513"/>
      <c r="M65" s="513"/>
      <c r="N65" s="876"/>
      <c r="O65" s="876"/>
      <c r="P65" s="1771"/>
      <c r="Q65" s="439"/>
    </row>
    <row r="66" spans="1:17" ht="14.5" thickBot="1">
      <c r="A66" s="367"/>
      <c r="B66" s="474"/>
      <c r="C66" s="467"/>
      <c r="D66" s="467"/>
      <c r="E66" s="467"/>
      <c r="F66" s="467"/>
      <c r="G66" s="467"/>
      <c r="H66" s="467"/>
      <c r="I66" s="467"/>
      <c r="J66" s="467"/>
      <c r="K66" s="467"/>
      <c r="L66" s="467"/>
      <c r="M66" s="468"/>
      <c r="N66" s="876"/>
      <c r="O66" s="876"/>
      <c r="P66" s="1771"/>
      <c r="Q66" s="439"/>
    </row>
    <row r="67" spans="1:17" ht="14.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5" thickTop="1">
      <c r="A70" s="484"/>
      <c r="B70" s="469">
        <f>B12</f>
        <v>111</v>
      </c>
      <c r="C70" s="485"/>
      <c r="D70" s="485"/>
      <c r="E70" s="485"/>
      <c r="F70" s="485"/>
      <c r="G70" s="485"/>
      <c r="H70" s="486"/>
      <c r="I70" s="486"/>
      <c r="J70" s="486"/>
      <c r="K70" s="486"/>
      <c r="L70" s="487"/>
      <c r="M70" s="488"/>
      <c r="N70" s="877"/>
      <c r="O70" s="877"/>
      <c r="P70" s="1772"/>
      <c r="Q70" s="490"/>
    </row>
    <row r="71" spans="1:17" s="408" customFormat="1" ht="14.5" thickBot="1">
      <c r="A71" s="484"/>
      <c r="B71" s="474"/>
      <c r="C71" s="491"/>
      <c r="D71" s="467"/>
      <c r="E71" s="467"/>
      <c r="F71" s="467"/>
      <c r="G71" s="467"/>
      <c r="H71" s="467"/>
      <c r="I71" s="467"/>
      <c r="J71" s="467"/>
      <c r="K71" s="467"/>
      <c r="L71" s="467"/>
      <c r="M71" s="468"/>
      <c r="N71" s="876"/>
      <c r="O71" s="876"/>
      <c r="P71" s="1772"/>
      <c r="Q71" s="490"/>
    </row>
    <row r="72" spans="1:17" s="408" customFormat="1" ht="14.5" thickTop="1">
      <c r="A72" s="484"/>
      <c r="B72" s="469">
        <f>B13</f>
        <v>111</v>
      </c>
      <c r="C72" s="485"/>
      <c r="D72" s="485"/>
      <c r="E72" s="485"/>
      <c r="F72" s="485"/>
      <c r="G72" s="485"/>
      <c r="H72" s="486"/>
      <c r="I72" s="486"/>
      <c r="J72" s="486"/>
      <c r="K72" s="486"/>
      <c r="L72" s="487"/>
      <c r="M72" s="488"/>
      <c r="N72" s="877"/>
      <c r="O72" s="877"/>
      <c r="P72" s="1773"/>
      <c r="Q72" s="492"/>
    </row>
    <row r="73" spans="1:17" s="408" customFormat="1" ht="14.5" thickBot="1">
      <c r="A73" s="484"/>
      <c r="B73" s="474"/>
      <c r="C73" s="491"/>
      <c r="D73" s="491"/>
      <c r="E73" s="491"/>
      <c r="F73" s="491"/>
      <c r="G73" s="491"/>
      <c r="H73" s="493"/>
      <c r="I73" s="493"/>
      <c r="J73" s="493"/>
      <c r="K73" s="493"/>
      <c r="L73" s="493"/>
      <c r="M73" s="494"/>
      <c r="N73" s="877"/>
      <c r="O73" s="877"/>
      <c r="P73" s="1772"/>
      <c r="Q73" s="490"/>
    </row>
    <row r="74" spans="1:17" s="408" customFormat="1" ht="14.5" thickTop="1">
      <c r="A74" s="484"/>
      <c r="B74" s="477">
        <f>B14</f>
        <v>111</v>
      </c>
      <c r="C74" s="485"/>
      <c r="D74" s="485"/>
      <c r="E74" s="485"/>
      <c r="F74" s="485"/>
      <c r="G74" s="31"/>
      <c r="H74" s="495"/>
      <c r="I74" s="495"/>
      <c r="J74" s="495"/>
      <c r="K74" s="495"/>
      <c r="L74" s="496"/>
      <c r="M74" s="497"/>
      <c r="N74" s="877"/>
      <c r="O74" s="877"/>
      <c r="P74" s="1774"/>
      <c r="Q74" s="490"/>
    </row>
    <row r="75" spans="1:17" s="408" customFormat="1" ht="14.5" thickBot="1">
      <c r="A75" s="499"/>
      <c r="B75" s="500"/>
      <c r="C75" s="501"/>
      <c r="D75" s="501"/>
      <c r="E75" s="501"/>
      <c r="F75" s="501"/>
      <c r="G75" s="501"/>
      <c r="H75" s="502"/>
      <c r="I75" s="502"/>
      <c r="J75" s="502"/>
      <c r="K75" s="502"/>
      <c r="L75" s="502"/>
      <c r="M75" s="503"/>
      <c r="N75" s="877"/>
      <c r="O75" s="877"/>
      <c r="P75" s="1772"/>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5"/>
      <c r="O76" s="875"/>
      <c r="P76" s="1775"/>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4.5" thickTop="1">
      <c r="A78" s="367"/>
      <c r="B78" s="469" t="s">
        <v>1724</v>
      </c>
      <c r="C78" s="509" t="s">
        <v>1719</v>
      </c>
      <c r="D78" s="509" t="s">
        <v>1720</v>
      </c>
      <c r="E78" s="509" t="s">
        <v>1721</v>
      </c>
      <c r="F78" s="509" t="s">
        <v>1722</v>
      </c>
      <c r="G78" s="509" t="s">
        <v>1723</v>
      </c>
      <c r="H78" s="470"/>
      <c r="I78" s="470"/>
      <c r="J78" s="470"/>
      <c r="K78" s="471"/>
      <c r="L78" s="472"/>
      <c r="M78" s="473"/>
      <c r="N78" s="875"/>
      <c r="O78" s="875"/>
      <c r="P78" s="1771"/>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4.5" thickTop="1">
      <c r="A80" s="367"/>
      <c r="B80" s="469" t="s">
        <v>1725</v>
      </c>
      <c r="C80" s="509" t="s">
        <v>1719</v>
      </c>
      <c r="D80" s="509" t="s">
        <v>1720</v>
      </c>
      <c r="E80" s="509" t="s">
        <v>1721</v>
      </c>
      <c r="F80" s="509" t="s">
        <v>1722</v>
      </c>
      <c r="G80" s="509" t="s">
        <v>1723</v>
      </c>
      <c r="H80" s="470"/>
      <c r="I80" s="470"/>
      <c r="J80" s="470"/>
      <c r="K80" s="471"/>
      <c r="L80" s="472"/>
      <c r="M80" s="473"/>
      <c r="N80" s="875"/>
      <c r="O80" s="875"/>
      <c r="P80" s="1771"/>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4.5" thickTop="1">
      <c r="A82" s="367"/>
      <c r="B82" s="477" t="s">
        <v>1258</v>
      </c>
      <c r="C82" s="470" t="s">
        <v>1726</v>
      </c>
      <c r="D82" s="470" t="s">
        <v>1727</v>
      </c>
      <c r="E82" s="470" t="s">
        <v>1728</v>
      </c>
      <c r="F82" s="470" t="s">
        <v>1729</v>
      </c>
      <c r="G82" s="470" t="s">
        <v>1730</v>
      </c>
      <c r="H82" s="470"/>
      <c r="I82" s="470"/>
      <c r="J82" s="470"/>
      <c r="K82" s="470"/>
      <c r="L82" s="470"/>
      <c r="M82" s="1059"/>
      <c r="N82" s="876"/>
      <c r="O82" s="876"/>
      <c r="P82" s="1771"/>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4.5" thickTop="1">
      <c r="A84" s="367"/>
      <c r="B84" s="469" t="s">
        <v>1731</v>
      </c>
      <c r="C84" s="509" t="s">
        <v>1719</v>
      </c>
      <c r="D84" s="509" t="s">
        <v>1720</v>
      </c>
      <c r="E84" s="509" t="s">
        <v>1721</v>
      </c>
      <c r="F84" s="509" t="s">
        <v>1722</v>
      </c>
      <c r="G84" s="509" t="s">
        <v>1723</v>
      </c>
      <c r="H84" s="470"/>
      <c r="I84" s="470"/>
      <c r="J84" s="470"/>
      <c r="K84" s="471"/>
      <c r="L84" s="472"/>
      <c r="M84" s="473"/>
      <c r="N84" s="875"/>
      <c r="O84" s="875"/>
      <c r="P84" s="1771"/>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1732</v>
      </c>
      <c r="C86" s="485"/>
      <c r="D86" s="485"/>
      <c r="E86" s="485"/>
      <c r="F86" s="485"/>
      <c r="G86" s="485"/>
      <c r="H86" s="485"/>
      <c r="I86" s="485"/>
      <c r="J86" s="485"/>
      <c r="K86" s="485"/>
      <c r="L86" s="510"/>
      <c r="M86" s="511"/>
      <c r="N86" s="874"/>
      <c r="O86" s="874"/>
      <c r="P86" s="1771"/>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4.5" thickTop="1">
      <c r="A88" s="370"/>
      <c r="B88" s="469" t="s">
        <v>1733</v>
      </c>
      <c r="C88" s="485"/>
      <c r="D88" s="485"/>
      <c r="E88" s="485"/>
      <c r="F88" s="1776"/>
      <c r="G88" s="485"/>
      <c r="H88" s="485"/>
      <c r="I88" s="485"/>
      <c r="J88" s="485"/>
      <c r="K88" s="485"/>
      <c r="L88" s="485"/>
      <c r="M88" s="511"/>
      <c r="N88" s="874"/>
      <c r="O88" s="874"/>
      <c r="P88" s="1771"/>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5" thickTop="1">
      <c r="A90" s="484"/>
      <c r="B90" s="469">
        <f>B27</f>
        <v>111</v>
      </c>
      <c r="C90" s="485"/>
      <c r="D90" s="485"/>
      <c r="E90" s="485"/>
      <c r="F90" s="485"/>
      <c r="G90" s="485"/>
      <c r="H90" s="486"/>
      <c r="I90" s="486"/>
      <c r="J90" s="486"/>
      <c r="K90" s="486"/>
      <c r="L90" s="487"/>
      <c r="M90" s="488"/>
      <c r="N90" s="877"/>
      <c r="O90" s="877"/>
      <c r="P90" s="1772"/>
      <c r="Q90" s="490"/>
    </row>
    <row r="91" spans="1:17" s="408" customFormat="1" ht="14.5" thickBot="1">
      <c r="A91" s="484"/>
      <c r="B91" s="474"/>
      <c r="C91" s="491"/>
      <c r="D91" s="491"/>
      <c r="E91" s="491"/>
      <c r="F91" s="491"/>
      <c r="G91" s="491"/>
      <c r="H91" s="493"/>
      <c r="I91" s="493"/>
      <c r="J91" s="493"/>
      <c r="K91" s="493"/>
      <c r="L91" s="493"/>
      <c r="M91" s="494"/>
      <c r="N91" s="877"/>
      <c r="O91" s="877"/>
      <c r="P91" s="1772"/>
      <c r="Q91" s="490"/>
    </row>
    <row r="92" spans="1:17" ht="14.5" thickTop="1">
      <c r="A92" s="367"/>
      <c r="B92" s="469">
        <f>B28</f>
        <v>111</v>
      </c>
      <c r="C92" s="485"/>
      <c r="D92" s="485"/>
      <c r="E92" s="485"/>
      <c r="F92" s="485"/>
      <c r="G92" s="513"/>
      <c r="H92" s="513"/>
      <c r="I92" s="513"/>
      <c r="J92" s="513"/>
      <c r="K92" s="514"/>
      <c r="L92" s="515"/>
      <c r="M92" s="516"/>
      <c r="N92" s="875"/>
      <c r="O92" s="875"/>
      <c r="P92" s="1771"/>
      <c r="Q92" s="439"/>
    </row>
    <row r="93" spans="1:17" ht="14.5" thickBot="1">
      <c r="A93" s="367"/>
      <c r="B93" s="474"/>
      <c r="C93" s="491"/>
      <c r="D93" s="467"/>
      <c r="E93" s="467"/>
      <c r="F93" s="467"/>
      <c r="G93" s="467"/>
      <c r="H93" s="467"/>
      <c r="I93" s="467"/>
      <c r="J93" s="467"/>
      <c r="K93" s="467"/>
      <c r="L93" s="467"/>
      <c r="M93" s="468"/>
      <c r="N93" s="876"/>
      <c r="O93" s="876"/>
      <c r="P93" s="1771"/>
      <c r="Q93" s="439"/>
    </row>
    <row r="94" spans="1:17" ht="14.5" thickTop="1">
      <c r="A94" s="367"/>
      <c r="B94" s="469">
        <f>B29</f>
        <v>111</v>
      </c>
      <c r="C94" s="485"/>
      <c r="D94" s="485"/>
      <c r="E94" s="485"/>
      <c r="F94" s="485"/>
      <c r="G94" s="513"/>
      <c r="H94" s="513"/>
      <c r="I94" s="513"/>
      <c r="J94" s="513"/>
      <c r="K94" s="514"/>
      <c r="L94" s="515"/>
      <c r="M94" s="516"/>
      <c r="N94" s="875"/>
      <c r="O94" s="875"/>
      <c r="P94" s="1771"/>
      <c r="Q94" s="439"/>
    </row>
    <row r="95" spans="1:17" ht="14.5" thickBot="1">
      <c r="A95" s="367"/>
      <c r="B95" s="474"/>
      <c r="C95" s="491"/>
      <c r="D95" s="491"/>
      <c r="E95" s="491"/>
      <c r="F95" s="491"/>
      <c r="G95" s="467"/>
      <c r="H95" s="467"/>
      <c r="I95" s="467"/>
      <c r="J95" s="467"/>
      <c r="K95" s="467"/>
      <c r="L95" s="467"/>
      <c r="M95" s="468"/>
      <c r="N95" s="876"/>
      <c r="O95" s="876"/>
      <c r="P95" s="1771"/>
      <c r="Q95" s="439"/>
    </row>
    <row r="96" spans="1:17" ht="14.5" thickTop="1">
      <c r="A96" s="367"/>
      <c r="B96" s="469">
        <f>B30</f>
        <v>111</v>
      </c>
      <c r="C96" s="485"/>
      <c r="D96" s="485"/>
      <c r="E96" s="485"/>
      <c r="F96" s="485"/>
      <c r="G96" s="513"/>
      <c r="H96" s="513"/>
      <c r="I96" s="513"/>
      <c r="J96" s="513"/>
      <c r="K96" s="514"/>
      <c r="L96" s="515"/>
      <c r="M96" s="516"/>
      <c r="N96" s="875"/>
      <c r="O96" s="875"/>
      <c r="P96" s="1771"/>
      <c r="Q96" s="439"/>
    </row>
    <row r="97" spans="1:17" ht="14.5" thickBot="1">
      <c r="A97" s="367"/>
      <c r="B97" s="474"/>
      <c r="C97" s="501"/>
      <c r="D97" s="501"/>
      <c r="E97" s="501"/>
      <c r="F97" s="501"/>
      <c r="G97" s="467"/>
      <c r="H97" s="467"/>
      <c r="I97" s="467"/>
      <c r="J97" s="467"/>
      <c r="K97" s="467"/>
      <c r="L97" s="467"/>
      <c r="M97" s="468"/>
      <c r="N97" s="876"/>
      <c r="O97" s="876"/>
      <c r="P97" s="1771"/>
      <c r="Q97" s="439"/>
    </row>
    <row r="98" spans="1:17" ht="14.5" thickTop="1">
      <c r="A98" s="367"/>
      <c r="B98" s="477">
        <f>B31</f>
        <v>111</v>
      </c>
      <c r="C98" s="517"/>
      <c r="D98" s="517"/>
      <c r="E98" s="517"/>
      <c r="F98" s="517"/>
      <c r="G98" s="517"/>
      <c r="H98" s="517"/>
      <c r="I98" s="517"/>
      <c r="J98" s="517"/>
      <c r="K98" s="518"/>
      <c r="L98" s="519"/>
      <c r="M98" s="520"/>
      <c r="N98" s="875"/>
      <c r="O98" s="875"/>
      <c r="P98" s="1771"/>
      <c r="Q98" s="439"/>
    </row>
    <row r="99" spans="1:17" ht="14.5" thickBot="1">
      <c r="A99" s="375"/>
      <c r="B99" s="500"/>
      <c r="C99" s="521"/>
      <c r="D99" s="521"/>
      <c r="E99" s="521"/>
      <c r="F99" s="521"/>
      <c r="G99" s="521"/>
      <c r="H99" s="521"/>
      <c r="I99" s="521"/>
      <c r="J99" s="521"/>
      <c r="K99" s="521"/>
      <c r="L99" s="521"/>
      <c r="M99" s="522"/>
      <c r="N99" s="876"/>
      <c r="O99" s="876"/>
      <c r="P99" s="1771"/>
      <c r="Q99" s="439"/>
    </row>
    <row r="100" spans="1:17">
      <c r="A100" s="379" t="s">
        <v>1692</v>
      </c>
      <c r="B100" s="460" t="s">
        <v>1734</v>
      </c>
      <c r="C100" s="462"/>
      <c r="D100" s="462"/>
      <c r="E100" s="462"/>
      <c r="F100" s="462"/>
      <c r="G100" s="462"/>
      <c r="H100" s="462"/>
      <c r="I100" s="462"/>
      <c r="J100" s="462"/>
      <c r="K100" s="463"/>
      <c r="L100" s="464"/>
      <c r="M100" s="465"/>
      <c r="N100" s="875"/>
      <c r="O100" s="875"/>
      <c r="P100" s="1771"/>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4.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5" thickBot="1">
      <c r="A104" s="484"/>
      <c r="B104" s="474"/>
      <c r="C104" s="491"/>
      <c r="D104" s="467"/>
      <c r="E104" s="467"/>
      <c r="F104" s="467"/>
      <c r="G104" s="467"/>
      <c r="H104" s="467"/>
      <c r="I104" s="467"/>
      <c r="J104" s="467"/>
      <c r="K104" s="467"/>
      <c r="L104" s="467"/>
      <c r="M104" s="467"/>
      <c r="N104" s="876"/>
      <c r="O104" s="876"/>
      <c r="P104" s="1772"/>
      <c r="Q104" s="490"/>
    </row>
    <row r="105" spans="1:17" ht="14.5" thickTop="1">
      <c r="A105" s="409"/>
      <c r="B105" s="469" t="s">
        <v>1736</v>
      </c>
      <c r="C105" s="485"/>
      <c r="D105" s="485"/>
      <c r="E105" s="513"/>
      <c r="F105" s="513"/>
      <c r="G105" s="513"/>
      <c r="H105" s="513"/>
      <c r="I105" s="513"/>
      <c r="J105" s="513"/>
      <c r="K105" s="514"/>
      <c r="L105" s="515"/>
      <c r="M105" s="516"/>
      <c r="N105" s="875"/>
      <c r="O105" s="875"/>
      <c r="P105" s="1771"/>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4.5" thickTop="1">
      <c r="A107" s="409"/>
      <c r="B107" s="469" t="s">
        <v>1737</v>
      </c>
      <c r="C107" s="513"/>
      <c r="D107" s="513"/>
      <c r="E107" s="513"/>
      <c r="F107" s="513"/>
      <c r="G107" s="513"/>
      <c r="H107" s="513"/>
      <c r="I107" s="513"/>
      <c r="J107" s="513"/>
      <c r="K107" s="514"/>
      <c r="L107" s="515"/>
      <c r="M107" s="516"/>
      <c r="N107" s="875"/>
      <c r="O107" s="875"/>
      <c r="P107" s="1771"/>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4.5" thickTop="1">
      <c r="A109" s="409"/>
      <c r="B109" s="469" t="s">
        <v>1738</v>
      </c>
      <c r="C109" s="485"/>
      <c r="D109" s="485"/>
      <c r="E109" s="485"/>
      <c r="F109" s="513"/>
      <c r="G109" s="513"/>
      <c r="H109" s="513"/>
      <c r="I109" s="513"/>
      <c r="J109" s="513"/>
      <c r="K109" s="514"/>
      <c r="L109" s="515"/>
      <c r="M109" s="516"/>
      <c r="N109" s="875"/>
      <c r="O109" s="875"/>
      <c r="P109" s="1771"/>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4.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4.5" thickTop="1">
      <c r="A114" s="409"/>
      <c r="B114" s="469" t="s">
        <v>1739</v>
      </c>
      <c r="C114" s="485"/>
      <c r="D114" s="485"/>
      <c r="E114" s="513"/>
      <c r="F114" s="513"/>
      <c r="G114" s="513"/>
      <c r="H114" s="513"/>
      <c r="I114" s="513"/>
      <c r="J114" s="513"/>
      <c r="K114" s="514"/>
      <c r="L114" s="515"/>
      <c r="M114" s="516"/>
      <c r="N114" s="875"/>
      <c r="O114" s="875"/>
      <c r="P114" s="1771"/>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4.5" thickTop="1">
      <c r="A116" s="409"/>
      <c r="B116" s="469" t="s">
        <v>1740</v>
      </c>
      <c r="C116" s="485"/>
      <c r="D116" s="485"/>
      <c r="E116" s="485"/>
      <c r="F116" s="485"/>
      <c r="G116" s="485"/>
      <c r="H116" s="513"/>
      <c r="I116" s="513"/>
      <c r="J116" s="513"/>
      <c r="K116" s="514"/>
      <c r="L116" s="515"/>
      <c r="M116" s="516"/>
      <c r="N116" s="875"/>
      <c r="O116" s="875"/>
      <c r="P116" s="1771"/>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4.5" thickTop="1">
      <c r="A118" s="409"/>
      <c r="B118" s="469" t="s">
        <v>1741</v>
      </c>
      <c r="C118" s="513"/>
      <c r="D118" s="513"/>
      <c r="E118" s="513"/>
      <c r="F118" s="513"/>
      <c r="G118" s="513"/>
      <c r="H118" s="513"/>
      <c r="I118" s="513"/>
      <c r="J118" s="513"/>
      <c r="K118" s="514"/>
      <c r="L118" s="515"/>
      <c r="M118" s="516"/>
      <c r="N118" s="875"/>
      <c r="O118" s="875"/>
      <c r="P118" s="1771"/>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 thickTop="1">
      <c r="A120" s="406"/>
      <c r="B120" s="469" t="s">
        <v>1703</v>
      </c>
      <c r="C120" s="485"/>
      <c r="D120" s="485"/>
      <c r="E120" s="485"/>
      <c r="F120" s="485"/>
      <c r="G120" s="485"/>
      <c r="H120" s="485"/>
      <c r="I120" s="485"/>
      <c r="J120" s="485"/>
      <c r="K120" s="485"/>
      <c r="L120" s="510"/>
      <c r="M120" s="511"/>
      <c r="N120" s="877"/>
      <c r="O120" s="877"/>
      <c r="P120" s="1772"/>
      <c r="Q120" s="490"/>
    </row>
    <row r="121" spans="1:17" s="408" customFormat="1" ht="14.5" thickBot="1">
      <c r="A121" s="484"/>
      <c r="B121" s="466"/>
      <c r="C121" s="491"/>
      <c r="D121" s="467"/>
      <c r="E121" s="467"/>
      <c r="F121" s="467"/>
      <c r="G121" s="467"/>
      <c r="H121" s="467"/>
      <c r="I121" s="467"/>
      <c r="J121" s="467"/>
      <c r="K121" s="467"/>
      <c r="L121" s="467"/>
      <c r="M121" s="467"/>
      <c r="N121" s="877"/>
      <c r="O121" s="877"/>
      <c r="P121" s="1772"/>
      <c r="Q121" s="490"/>
    </row>
    <row r="122" spans="1:17" ht="14.5" thickTop="1">
      <c r="A122" s="409"/>
      <c r="B122" s="469" t="s">
        <v>1742</v>
      </c>
      <c r="C122" s="485"/>
      <c r="D122" s="485"/>
      <c r="E122" s="485"/>
      <c r="F122" s="513"/>
      <c r="G122" s="513"/>
      <c r="H122" s="513"/>
      <c r="I122" s="513"/>
      <c r="J122" s="513"/>
      <c r="K122" s="514"/>
      <c r="L122" s="515"/>
      <c r="M122" s="516"/>
      <c r="N122" s="875"/>
      <c r="O122" s="875"/>
      <c r="P122" s="1771"/>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8.5" thickTop="1">
      <c r="A124" s="409"/>
      <c r="B124" s="469" t="s">
        <v>1743</v>
      </c>
      <c r="C124" s="509" t="s">
        <v>1719</v>
      </c>
      <c r="D124" s="509" t="s">
        <v>1720</v>
      </c>
      <c r="E124" s="509" t="s">
        <v>1721</v>
      </c>
      <c r="F124" s="509" t="s">
        <v>1722</v>
      </c>
      <c r="G124" s="509" t="s">
        <v>1723</v>
      </c>
      <c r="H124" s="470"/>
      <c r="I124" s="470"/>
      <c r="J124" s="470"/>
      <c r="K124" s="471"/>
      <c r="L124" s="472"/>
      <c r="M124" s="473"/>
      <c r="N124" s="875"/>
      <c r="O124" s="875"/>
      <c r="P124" s="1772"/>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5"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5" thickBot="1">
      <c r="A127" s="484"/>
      <c r="B127" s="474"/>
      <c r="C127" s="491"/>
      <c r="D127" s="467"/>
      <c r="E127" s="467"/>
      <c r="F127" s="467"/>
      <c r="G127" s="491"/>
      <c r="H127" s="493"/>
      <c r="I127" s="493"/>
      <c r="J127" s="493"/>
      <c r="K127" s="493"/>
      <c r="L127" s="493"/>
      <c r="M127" s="494"/>
      <c r="N127" s="877"/>
      <c r="O127" s="877"/>
      <c r="P127" s="1772"/>
      <c r="Q127" s="490"/>
    </row>
    <row r="128" spans="1:17" ht="14.5" thickTop="1">
      <c r="A128" s="409"/>
      <c r="B128" s="469">
        <f>B45</f>
        <v>111</v>
      </c>
      <c r="C128" s="485"/>
      <c r="D128" s="485"/>
      <c r="E128" s="485"/>
      <c r="F128" s="485"/>
      <c r="G128" s="513"/>
      <c r="H128" s="513"/>
      <c r="I128" s="513"/>
      <c r="J128" s="513"/>
      <c r="K128" s="514"/>
      <c r="L128" s="515"/>
      <c r="M128" s="516"/>
      <c r="N128" s="875"/>
      <c r="O128" s="875"/>
      <c r="P128" s="1771"/>
      <c r="Q128" s="439"/>
    </row>
    <row r="129" spans="1:17" ht="14.5" thickBot="1">
      <c r="A129" s="367"/>
      <c r="B129" s="474"/>
      <c r="C129" s="491"/>
      <c r="D129" s="491"/>
      <c r="E129" s="491"/>
      <c r="F129" s="491"/>
      <c r="G129" s="467"/>
      <c r="H129" s="467"/>
      <c r="I129" s="467"/>
      <c r="J129" s="467"/>
      <c r="K129" s="467"/>
      <c r="L129" s="467"/>
      <c r="M129" s="468"/>
      <c r="N129" s="876"/>
      <c r="O129" s="876"/>
      <c r="P129" s="1771"/>
      <c r="Q129" s="439"/>
    </row>
    <row r="130" spans="1:17" ht="14.5" thickTop="1">
      <c r="A130" s="409"/>
      <c r="B130" s="477">
        <f>B46</f>
        <v>111</v>
      </c>
      <c r="C130" s="485"/>
      <c r="D130" s="485"/>
      <c r="E130" s="485"/>
      <c r="F130" s="485"/>
      <c r="G130" s="517"/>
      <c r="H130" s="517"/>
      <c r="I130" s="517"/>
      <c r="J130" s="517"/>
      <c r="K130" s="31"/>
      <c r="L130" s="457"/>
      <c r="M130" s="520"/>
      <c r="N130" s="875"/>
      <c r="O130" s="875"/>
      <c r="P130" s="1771"/>
      <c r="Q130" s="439"/>
    </row>
    <row r="131" spans="1:17" ht="14.5" thickBot="1">
      <c r="A131" s="375"/>
      <c r="B131" s="500"/>
      <c r="C131" s="501"/>
      <c r="D131" s="501"/>
      <c r="E131" s="501"/>
      <c r="F131" s="501"/>
      <c r="G131" s="521"/>
      <c r="H131" s="521"/>
      <c r="I131" s="521"/>
      <c r="J131" s="521"/>
      <c r="K131" s="521"/>
      <c r="L131" s="521"/>
      <c r="M131" s="522"/>
      <c r="N131" s="876"/>
      <c r="O131" s="876"/>
      <c r="P131" s="1771"/>
      <c r="Q131" s="439"/>
    </row>
    <row r="136" spans="1:17" ht="14.5" thickBot="1">
      <c r="B136" s="1777" t="s">
        <v>1744</v>
      </c>
    </row>
    <row r="137" spans="1:17" ht="15.5">
      <c r="B137" s="1778" t="s">
        <v>1745</v>
      </c>
      <c r="C137" s="1779"/>
      <c r="D137" s="1779"/>
      <c r="E137" s="1779"/>
      <c r="F137" s="1779"/>
      <c r="G137" s="1780"/>
      <c r="H137" s="1781"/>
      <c r="I137" s="1782" t="s">
        <v>1746</v>
      </c>
      <c r="J137" s="1779"/>
      <c r="K137" s="1783"/>
    </row>
    <row r="138" spans="1:17" ht="15.5">
      <c r="B138" s="1784"/>
      <c r="C138" s="129" t="s">
        <v>1747</v>
      </c>
      <c r="D138" s="129" t="s">
        <v>1748</v>
      </c>
      <c r="E138" s="1785" t="s">
        <v>1749</v>
      </c>
      <c r="F138" s="1786" t="s">
        <v>1750</v>
      </c>
      <c r="G138" s="129" t="s">
        <v>1748</v>
      </c>
      <c r="H138" s="130" t="s">
        <v>1749</v>
      </c>
      <c r="I138" s="1787"/>
      <c r="J138" s="129" t="s">
        <v>1751</v>
      </c>
      <c r="K138" s="130" t="s">
        <v>1752</v>
      </c>
    </row>
    <row r="139" spans="1:17" ht="15.5">
      <c r="B139" s="810">
        <v>6</v>
      </c>
      <c r="C139" s="811">
        <v>96</v>
      </c>
      <c r="D139" s="1788" t="s">
        <v>1753</v>
      </c>
      <c r="E139" s="812">
        <v>100</v>
      </c>
      <c r="F139" s="813">
        <v>102.5</v>
      </c>
      <c r="G139" s="1788" t="s">
        <v>1753</v>
      </c>
      <c r="H139" s="814">
        <v>105</v>
      </c>
      <c r="I139" s="1789" t="s">
        <v>1754</v>
      </c>
      <c r="J139" s="811">
        <v>20</v>
      </c>
      <c r="K139" s="815">
        <f>C145/(J139-2)</f>
        <v>4.0555555555555553E-3</v>
      </c>
    </row>
    <row r="140" spans="1:17" ht="15.5">
      <c r="B140" s="816">
        <v>5</v>
      </c>
      <c r="C140" s="817">
        <v>100</v>
      </c>
      <c r="D140" s="817"/>
      <c r="E140" s="818"/>
      <c r="F140" s="819">
        <v>102</v>
      </c>
      <c r="G140" s="817"/>
      <c r="H140" s="820"/>
      <c r="I140" s="1790" t="s">
        <v>1755</v>
      </c>
      <c r="J140" s="263">
        <f>ROUNDUP((J139-1)/2,0)</f>
        <v>10</v>
      </c>
      <c r="K140" s="821">
        <v>100</v>
      </c>
    </row>
    <row r="141" spans="1:17" ht="15.5">
      <c r="B141" s="816">
        <v>4</v>
      </c>
      <c r="C141" s="817">
        <v>102</v>
      </c>
      <c r="D141" s="817"/>
      <c r="E141" s="818"/>
      <c r="F141" s="819">
        <v>101.5</v>
      </c>
      <c r="G141" s="817"/>
      <c r="H141" s="820"/>
      <c r="I141" s="1790" t="s">
        <v>1756</v>
      </c>
      <c r="J141" s="263">
        <v>1</v>
      </c>
      <c r="K141" s="822">
        <f>ROUND(100+(J141-J140)*K139*100,1)</f>
        <v>96.4</v>
      </c>
    </row>
    <row r="142" spans="1:17" ht="15.5">
      <c r="B142" s="816">
        <v>3</v>
      </c>
      <c r="C142" s="817">
        <v>103</v>
      </c>
      <c r="D142" s="817"/>
      <c r="E142" s="818"/>
      <c r="F142" s="819">
        <v>101</v>
      </c>
      <c r="G142" s="817"/>
      <c r="H142" s="820"/>
      <c r="I142" s="1790" t="s">
        <v>1757</v>
      </c>
      <c r="J142" s="263">
        <f>J139</f>
        <v>20</v>
      </c>
      <c r="K142" s="823">
        <v>95</v>
      </c>
    </row>
    <row r="143" spans="1:17" ht="15.5">
      <c r="B143" s="816">
        <v>2</v>
      </c>
      <c r="C143" s="817">
        <v>100</v>
      </c>
      <c r="D143" s="817"/>
      <c r="E143" s="818"/>
      <c r="F143" s="819">
        <v>100.5</v>
      </c>
      <c r="G143" s="817"/>
      <c r="H143" s="820"/>
      <c r="I143" s="1790" t="s">
        <v>1758</v>
      </c>
      <c r="J143" s="817">
        <v>15</v>
      </c>
      <c r="K143" s="822">
        <f>ROUND(100+(J143-J140)*K139*100,1)</f>
        <v>102</v>
      </c>
    </row>
    <row r="144" spans="1:17" ht="15.5">
      <c r="B144" s="816">
        <v>1</v>
      </c>
      <c r="C144" s="817">
        <v>98</v>
      </c>
      <c r="D144" s="1791" t="s">
        <v>1759</v>
      </c>
      <c r="E144" s="818">
        <v>102</v>
      </c>
      <c r="F144" s="824">
        <v>100</v>
      </c>
      <c r="G144" s="1791" t="s">
        <v>1759</v>
      </c>
      <c r="H144" s="820">
        <v>105</v>
      </c>
      <c r="I144" s="1790" t="s">
        <v>1758</v>
      </c>
      <c r="J144" s="817">
        <v>18</v>
      </c>
      <c r="K144" s="822">
        <f>ROUND(100+(J144-J140)*K139*100,1)</f>
        <v>103.2</v>
      </c>
    </row>
    <row r="145" spans="2:11" ht="16" thickBot="1">
      <c r="B145" s="1792" t="s">
        <v>1760</v>
      </c>
      <c r="C145" s="825">
        <f>ROUND(MAX(C139:C144)/MIN(C139:C144)-1,3)</f>
        <v>7.2999999999999995E-2</v>
      </c>
      <c r="D145" s="826"/>
      <c r="E145" s="826"/>
      <c r="F145" s="1793" t="s">
        <v>1761</v>
      </c>
      <c r="G145" s="1794"/>
      <c r="H145" s="1795"/>
      <c r="I145" s="1796" t="s">
        <v>1758</v>
      </c>
      <c r="J145" s="827">
        <v>8</v>
      </c>
      <c r="K145" s="828">
        <f>ROUND(100+(J145-J140)*K139*100,1)</f>
        <v>99.2</v>
      </c>
    </row>
    <row r="147" spans="2:11">
      <c r="B147" s="1777" t="s">
        <v>1762</v>
      </c>
    </row>
    <row r="148" spans="2:11">
      <c r="B148" s="177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5"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1658</v>
      </c>
      <c r="B1" s="1730" t="s">
        <v>1764</v>
      </c>
      <c r="C1" s="1151" t="s">
        <v>1660</v>
      </c>
      <c r="D1" s="1138"/>
      <c r="E1" s="3120"/>
      <c r="F1" s="1731"/>
      <c r="G1" s="1148" t="s">
        <v>1765</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1460</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499"/>
      <c r="M2" s="2500"/>
      <c r="N2" s="2500"/>
      <c r="O2" s="2500"/>
      <c r="P2" s="1800"/>
      <c r="Q2" s="855"/>
      <c r="R2" s="855"/>
      <c r="S2" s="855"/>
      <c r="T2" s="855"/>
      <c r="U2" s="855"/>
      <c r="V2" s="855"/>
      <c r="W2" s="855"/>
      <c r="X2" s="855"/>
      <c r="Y2" s="855"/>
      <c r="Z2" s="855"/>
      <c r="AA2" s="855"/>
      <c r="AB2" s="855"/>
      <c r="AC2" s="1801"/>
    </row>
    <row r="3" spans="1:29" s="342" customFormat="1" ht="28.5" customHeight="1" thickBot="1">
      <c r="A3" s="195" t="s">
        <v>1462</v>
      </c>
      <c r="B3" s="536">
        <f>IF(C2="——",C49,ROUND(B2*10000/D3,0))</f>
        <v>0</v>
      </c>
      <c r="C3" s="344" t="s">
        <v>1766</v>
      </c>
      <c r="D3" s="343">
        <f>IF(D1="",'数据-汇总表'!E3,SUMIF('数据-汇总表'!$C19:$C33,D1,'数据-汇总表'!$E19:$E33))</f>
        <v>26917.520000000128</v>
      </c>
      <c r="E3" s="1801"/>
      <c r="F3" s="852"/>
      <c r="G3" s="851"/>
      <c r="H3" s="851"/>
      <c r="I3" s="851"/>
      <c r="J3" s="851"/>
      <c r="K3" s="853"/>
      <c r="L3" s="2499"/>
      <c r="M3" s="2500"/>
      <c r="N3" s="2500"/>
      <c r="O3" s="2500"/>
      <c r="P3" s="1800"/>
      <c r="Q3" s="855"/>
      <c r="R3" s="855"/>
      <c r="S3" s="855"/>
      <c r="T3" s="855"/>
      <c r="U3" s="855"/>
      <c r="V3" s="855"/>
      <c r="W3" s="855"/>
      <c r="X3" s="855"/>
      <c r="Y3" s="855"/>
      <c r="Z3" s="855"/>
      <c r="AA3" s="855"/>
      <c r="AB3" s="855"/>
      <c r="AC3" s="1801"/>
    </row>
    <row r="4" spans="1:29">
      <c r="A4" s="345" t="s">
        <v>1767</v>
      </c>
      <c r="B4" s="346"/>
      <c r="C4" s="3447" t="s">
        <v>1768</v>
      </c>
      <c r="D4" s="3448"/>
      <c r="E4" s="3449" t="s">
        <v>1769</v>
      </c>
      <c r="F4" s="3450"/>
      <c r="G4" s="3447" t="s">
        <v>1770</v>
      </c>
      <c r="H4" s="3448"/>
      <c r="I4" s="3447" t="s">
        <v>1771</v>
      </c>
      <c r="J4" s="3448"/>
      <c r="K4" s="537" t="s">
        <v>1772</v>
      </c>
      <c r="L4" s="2482"/>
      <c r="M4" s="2483"/>
      <c r="N4" s="2483"/>
      <c r="O4" s="2483"/>
      <c r="P4" s="3451" t="s">
        <v>1773</v>
      </c>
      <c r="Q4" s="3452"/>
      <c r="R4" s="3434" t="s">
        <v>1769</v>
      </c>
      <c r="S4" s="3435"/>
      <c r="T4" s="3434" t="s">
        <v>1770</v>
      </c>
      <c r="U4" s="3435"/>
      <c r="V4" s="3459" t="s">
        <v>1771</v>
      </c>
      <c r="W4" s="3459"/>
      <c r="X4" s="1261"/>
      <c r="Y4" s="3434" t="s">
        <v>1773</v>
      </c>
      <c r="Z4" s="3435"/>
      <c r="AA4" s="3429" t="s">
        <v>1769</v>
      </c>
      <c r="AB4" s="3459" t="s">
        <v>1770</v>
      </c>
      <c r="AC4" s="3429" t="s">
        <v>1771</v>
      </c>
    </row>
    <row r="5" spans="1:29">
      <c r="A5" s="348"/>
      <c r="B5" s="349"/>
      <c r="C5" s="3440" t="s">
        <v>1671</v>
      </c>
      <c r="D5" s="3441"/>
      <c r="E5" s="3438" t="s">
        <v>1672</v>
      </c>
      <c r="F5" s="3439"/>
      <c r="G5" s="3440" t="s">
        <v>1673</v>
      </c>
      <c r="H5" s="3441"/>
      <c r="I5" s="3440" t="s">
        <v>1674</v>
      </c>
      <c r="J5" s="3441"/>
      <c r="K5" s="537"/>
      <c r="L5" s="2482"/>
      <c r="M5" s="2483"/>
      <c r="N5" s="2483"/>
      <c r="O5" s="2483"/>
      <c r="P5" s="3453"/>
      <c r="Q5" s="3454"/>
      <c r="R5" s="3436"/>
      <c r="S5" s="3437"/>
      <c r="T5" s="3436"/>
      <c r="U5" s="3437"/>
      <c r="V5" s="3459"/>
      <c r="W5" s="3459"/>
      <c r="X5" s="1261"/>
      <c r="Y5" s="3436"/>
      <c r="Z5" s="3437"/>
      <c r="AA5" s="3430"/>
      <c r="AB5" s="3459"/>
      <c r="AC5" s="3430"/>
    </row>
    <row r="6" spans="1:29" ht="15" thickBot="1">
      <c r="A6" s="350"/>
      <c r="B6" s="351"/>
      <c r="C6" s="3442" t="s">
        <v>1675</v>
      </c>
      <c r="D6" s="3443"/>
      <c r="E6" s="3444" t="s">
        <v>1675</v>
      </c>
      <c r="F6" s="3445"/>
      <c r="G6" s="3442" t="s">
        <v>1675</v>
      </c>
      <c r="H6" s="3443"/>
      <c r="I6" s="3442" t="s">
        <v>1675</v>
      </c>
      <c r="J6" s="3443"/>
      <c r="K6" s="537" t="s">
        <v>1676</v>
      </c>
      <c r="L6" s="2482"/>
      <c r="M6" s="2483"/>
      <c r="N6" s="2483"/>
      <c r="O6" s="2483"/>
      <c r="P6" s="3455"/>
      <c r="Q6" s="3456"/>
      <c r="R6" s="3436"/>
      <c r="S6" s="3437"/>
      <c r="T6" s="3457"/>
      <c r="U6" s="3458"/>
      <c r="V6" s="3459"/>
      <c r="W6" s="3459"/>
      <c r="X6" s="1261"/>
      <c r="Y6" s="3457"/>
      <c r="Z6" s="3458"/>
      <c r="AA6" s="3431"/>
      <c r="AB6" s="3459"/>
      <c r="AC6" s="3431"/>
    </row>
    <row r="7" spans="1:29" s="102" customFormat="1" ht="14.5" thickBot="1">
      <c r="A7" s="352" t="s">
        <v>1677</v>
      </c>
      <c r="B7" s="353"/>
      <c r="C7" s="354">
        <f>'数据-取费表'!B2</f>
        <v>45478</v>
      </c>
      <c r="D7" s="355">
        <v>100</v>
      </c>
      <c r="E7" s="356"/>
      <c r="F7" s="357">
        <f>SUMIF(58:58,YEAR(E7)&amp;"-"&amp;MONTH(E7),59:59)</f>
        <v>0</v>
      </c>
      <c r="G7" s="356"/>
      <c r="H7" s="355">
        <f>SUMIF(58:58,YEAR(G7)&amp;"-"&amp;MONTH(G7),59:59)</f>
        <v>0</v>
      </c>
      <c r="I7" s="356"/>
      <c r="J7" s="355">
        <f>SUMIF(58:58,YEAR(I7)&amp;"-"&amp;MONTH(I7),59:59)</f>
        <v>0</v>
      </c>
      <c r="K7" s="38"/>
      <c r="L7" s="2484"/>
      <c r="M7" s="2435"/>
      <c r="N7" s="2435"/>
      <c r="O7" s="2435"/>
      <c r="P7" s="3432" t="s">
        <v>1678</v>
      </c>
      <c r="Q7" s="3460"/>
      <c r="R7" s="664" t="s">
        <v>14</v>
      </c>
      <c r="S7" s="665">
        <f t="shared" ref="S7:S15" si="0">F7</f>
        <v>0</v>
      </c>
      <c r="T7" s="664" t="s">
        <v>14</v>
      </c>
      <c r="U7" s="665">
        <f t="shared" ref="U7:U15" si="1">H7</f>
        <v>0</v>
      </c>
      <c r="V7" s="664" t="s">
        <v>14</v>
      </c>
      <c r="W7" s="665">
        <f t="shared" ref="W7:W15" si="2">J7</f>
        <v>0</v>
      </c>
      <c r="X7" s="666"/>
      <c r="Y7" s="3432" t="s">
        <v>1678</v>
      </c>
      <c r="Z7" s="3433"/>
      <c r="AA7" s="50" t="e">
        <f>D7/F7</f>
        <v>#DIV/0!</v>
      </c>
      <c r="AB7" s="50" t="e">
        <f>D7/H7</f>
        <v>#DIV/0!</v>
      </c>
      <c r="AC7" s="50" t="e">
        <f>D7/J7</f>
        <v>#DIV/0!</v>
      </c>
    </row>
    <row r="8" spans="1:29" s="102" customFormat="1" ht="14.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32" t="s">
        <v>1681</v>
      </c>
      <c r="Q8" s="3433"/>
      <c r="R8" s="664" t="s">
        <v>14</v>
      </c>
      <c r="S8" s="665">
        <f t="shared" si="0"/>
        <v>100</v>
      </c>
      <c r="T8" s="664" t="s">
        <v>14</v>
      </c>
      <c r="U8" s="665">
        <f t="shared" si="1"/>
        <v>100</v>
      </c>
      <c r="V8" s="664" t="s">
        <v>14</v>
      </c>
      <c r="W8" s="665">
        <f t="shared" si="2"/>
        <v>100</v>
      </c>
      <c r="X8" s="666"/>
      <c r="Y8" s="3432" t="s">
        <v>1681</v>
      </c>
      <c r="Z8" s="3433"/>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46"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50">
        <f t="shared" si="5"/>
        <v>1</v>
      </c>
    </row>
    <row r="10" spans="1:29" s="366" customFormat="1" ht="28">
      <c r="A10" s="363"/>
      <c r="B10" s="364" t="s">
        <v>1686</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46"/>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46"/>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46"/>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46"/>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70">
      <c r="A15" s="379" t="s">
        <v>1688</v>
      </c>
      <c r="B15" s="58" t="s">
        <v>1775</v>
      </c>
      <c r="C15" s="1746" t="str">
        <f>估价对象房地状况!C4</f>
        <v>估价对象位于XX商圈，周边商业氛围成熟，人流量大，商业繁华度较好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72" t="s">
        <v>1689</v>
      </c>
      <c r="Q15" s="1259" t="str">
        <f t="shared" si="6"/>
        <v>商业繁华度</v>
      </c>
      <c r="R15" s="667" t="s">
        <v>14</v>
      </c>
      <c r="S15" s="668">
        <f t="shared" si="0"/>
        <v>100</v>
      </c>
      <c r="T15" s="667" t="s">
        <v>14</v>
      </c>
      <c r="U15" s="668">
        <f t="shared" si="1"/>
        <v>100</v>
      </c>
      <c r="V15" s="667" t="s">
        <v>14</v>
      </c>
      <c r="W15" s="668">
        <f t="shared" si="2"/>
        <v>100</v>
      </c>
      <c r="X15" s="1261"/>
      <c r="Y15" s="3465" t="s">
        <v>1689</v>
      </c>
      <c r="Z15" s="1260" t="str">
        <f t="shared" si="7"/>
        <v>商业繁华度</v>
      </c>
      <c r="AA15" s="1260">
        <f t="shared" si="3"/>
        <v>1</v>
      </c>
      <c r="AB15" s="1260">
        <f t="shared" si="4"/>
        <v>1</v>
      </c>
      <c r="AC15" s="1260">
        <f t="shared" si="5"/>
        <v>1</v>
      </c>
    </row>
    <row r="16" spans="1:29" ht="15.5">
      <c r="A16" s="367"/>
      <c r="B16" s="385"/>
      <c r="C16" s="386"/>
      <c r="D16" s="387"/>
      <c r="E16" s="386"/>
      <c r="F16" s="388"/>
      <c r="G16" s="386"/>
      <c r="H16" s="389"/>
      <c r="I16" s="386"/>
      <c r="J16" s="387"/>
      <c r="K16" s="541"/>
      <c r="L16" s="2488"/>
      <c r="M16" s="2483"/>
      <c r="N16" s="2483"/>
      <c r="O16" s="2483"/>
      <c r="P16" s="3473"/>
      <c r="Q16" s="1259"/>
      <c r="R16" s="667"/>
      <c r="S16" s="668"/>
      <c r="T16" s="667"/>
      <c r="U16" s="668"/>
      <c r="V16" s="667"/>
      <c r="W16" s="668"/>
      <c r="X16" s="1261"/>
      <c r="Y16" s="3466"/>
      <c r="Z16" s="1260"/>
      <c r="AA16" s="1260">
        <v>1</v>
      </c>
      <c r="AB16" s="1260">
        <v>1</v>
      </c>
      <c r="AC16" s="1260">
        <v>1</v>
      </c>
    </row>
    <row r="17" spans="1:29" ht="84">
      <c r="A17" s="367"/>
      <c r="B17" s="390" t="s">
        <v>1257</v>
      </c>
      <c r="C17" s="1750"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73"/>
      <c r="Q17" s="1259" t="str">
        <f>B17</f>
        <v>交通便捷度</v>
      </c>
      <c r="R17" s="667" t="s">
        <v>14</v>
      </c>
      <c r="S17" s="668">
        <f>F17</f>
        <v>100</v>
      </c>
      <c r="T17" s="667" t="s">
        <v>14</v>
      </c>
      <c r="U17" s="668">
        <f>H17</f>
        <v>100</v>
      </c>
      <c r="V17" s="667" t="s">
        <v>14</v>
      </c>
      <c r="W17" s="668">
        <f>J17</f>
        <v>100</v>
      </c>
      <c r="X17" s="1261"/>
      <c r="Y17" s="3466"/>
      <c r="Z17" s="1260" t="str">
        <f>Q17</f>
        <v>交通便捷度</v>
      </c>
      <c r="AA17" s="1260">
        <f t="shared" si="3"/>
        <v>1</v>
      </c>
      <c r="AB17" s="1260">
        <f t="shared" si="4"/>
        <v>1</v>
      </c>
      <c r="AC17" s="1260">
        <f t="shared" si="5"/>
        <v>1</v>
      </c>
    </row>
    <row r="18" spans="1:29" ht="15.5">
      <c r="A18" s="367"/>
      <c r="B18" s="395"/>
      <c r="C18" s="1751"/>
      <c r="D18" s="389"/>
      <c r="E18" s="1753"/>
      <c r="F18" s="392"/>
      <c r="G18" s="1752"/>
      <c r="H18" s="387"/>
      <c r="I18" s="1753"/>
      <c r="J18" s="387"/>
      <c r="K18" s="541"/>
      <c r="L18" s="2488"/>
      <c r="M18" s="2483"/>
      <c r="N18" s="2483"/>
      <c r="O18" s="2483"/>
      <c r="P18" s="3473"/>
      <c r="Q18" s="1259"/>
      <c r="R18" s="667"/>
      <c r="S18" s="668"/>
      <c r="T18" s="667"/>
      <c r="U18" s="668"/>
      <c r="V18" s="667"/>
      <c r="W18" s="668"/>
      <c r="X18" s="1261"/>
      <c r="Y18" s="3466"/>
      <c r="Z18" s="1260"/>
      <c r="AA18" s="1260">
        <v>1</v>
      </c>
      <c r="AB18" s="1260">
        <v>1</v>
      </c>
      <c r="AC18" s="1260">
        <v>1</v>
      </c>
    </row>
    <row r="19" spans="1:29" ht="42">
      <c r="A19" s="367"/>
      <c r="B19" s="390" t="s">
        <v>1776</v>
      </c>
      <c r="C19" s="1750"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73"/>
      <c r="Q19" s="1259" t="str">
        <f>B19</f>
        <v>公共配套设施</v>
      </c>
      <c r="R19" s="667" t="s">
        <v>14</v>
      </c>
      <c r="S19" s="668">
        <f>F19</f>
        <v>100</v>
      </c>
      <c r="T19" s="667" t="s">
        <v>14</v>
      </c>
      <c r="U19" s="668">
        <f>H19</f>
        <v>100</v>
      </c>
      <c r="V19" s="667" t="s">
        <v>14</v>
      </c>
      <c r="W19" s="668">
        <f>J19</f>
        <v>100</v>
      </c>
      <c r="X19" s="1261"/>
      <c r="Y19" s="3466"/>
      <c r="Z19" s="1260" t="str">
        <f>Q19</f>
        <v>公共配套设施</v>
      </c>
      <c r="AA19" s="1260">
        <f t="shared" si="3"/>
        <v>1</v>
      </c>
      <c r="AB19" s="1260">
        <f t="shared" si="4"/>
        <v>1</v>
      </c>
      <c r="AC19" s="1260">
        <f t="shared" si="5"/>
        <v>1</v>
      </c>
    </row>
    <row r="20" spans="1:29" ht="15.5">
      <c r="A20" s="367"/>
      <c r="B20" s="395"/>
      <c r="C20" s="386"/>
      <c r="D20" s="387"/>
      <c r="E20" s="1748"/>
      <c r="F20" s="388"/>
      <c r="G20" s="1747"/>
      <c r="H20" s="387"/>
      <c r="I20" s="1748"/>
      <c r="J20" s="387"/>
      <c r="K20" s="541"/>
      <c r="L20" s="2488"/>
      <c r="M20" s="2483"/>
      <c r="N20" s="2483"/>
      <c r="O20" s="2483"/>
      <c r="P20" s="3473"/>
      <c r="Q20" s="1259"/>
      <c r="R20" s="667"/>
      <c r="S20" s="668"/>
      <c r="T20" s="667"/>
      <c r="U20" s="668"/>
      <c r="V20" s="667"/>
      <c r="W20" s="668"/>
      <c r="X20" s="1261"/>
      <c r="Y20" s="3466"/>
      <c r="Z20" s="1260"/>
      <c r="AA20" s="1260">
        <v>1</v>
      </c>
      <c r="AB20" s="1260">
        <v>1</v>
      </c>
      <c r="AC20" s="1260">
        <v>1</v>
      </c>
    </row>
    <row r="21" spans="1:29" ht="28">
      <c r="A21" s="367"/>
      <c r="B21" s="586" t="s">
        <v>1777</v>
      </c>
      <c r="C21" s="1750"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73"/>
      <c r="Q21" s="1259" t="str">
        <f>B21</f>
        <v>基础设施水平</v>
      </c>
      <c r="R21" s="667" t="s">
        <v>14</v>
      </c>
      <c r="S21" s="668">
        <f>F21</f>
        <v>100</v>
      </c>
      <c r="T21" s="667" t="s">
        <v>14</v>
      </c>
      <c r="U21" s="668">
        <f>H21</f>
        <v>100</v>
      </c>
      <c r="V21" s="667" t="s">
        <v>14</v>
      </c>
      <c r="W21" s="668">
        <f>J21</f>
        <v>100</v>
      </c>
      <c r="X21" s="1261"/>
      <c r="Y21" s="3466"/>
      <c r="Z21" s="1260" t="str">
        <f>Q21</f>
        <v>基础设施水平</v>
      </c>
      <c r="AA21" s="1260">
        <f t="shared" ref="AA21" si="8">D21/F21</f>
        <v>1</v>
      </c>
      <c r="AB21" s="1260">
        <f t="shared" ref="AB21" si="9">D21/H21</f>
        <v>1</v>
      </c>
      <c r="AC21" s="1260">
        <f t="shared" ref="AC21" si="10">D21/J21</f>
        <v>1</v>
      </c>
    </row>
    <row r="22" spans="1:29" ht="15.5">
      <c r="A22" s="367"/>
      <c r="B22" s="586"/>
      <c r="C22" s="1751"/>
      <c r="D22" s="387"/>
      <c r="E22" s="386"/>
      <c r="F22" s="388"/>
      <c r="G22" s="386"/>
      <c r="H22" s="387"/>
      <c r="I22" s="386"/>
      <c r="J22" s="387"/>
      <c r="K22" s="1060"/>
      <c r="L22" s="2488"/>
      <c r="M22" s="2483"/>
      <c r="N22" s="2483"/>
      <c r="O22" s="2483"/>
      <c r="P22" s="3473"/>
      <c r="Q22" s="1259"/>
      <c r="R22" s="667"/>
      <c r="S22" s="668"/>
      <c r="T22" s="667"/>
      <c r="U22" s="668"/>
      <c r="V22" s="667"/>
      <c r="W22" s="668"/>
      <c r="X22" s="1261"/>
      <c r="Y22" s="3466"/>
      <c r="Z22" s="1260"/>
      <c r="AA22" s="1260">
        <v>1</v>
      </c>
      <c r="AB22" s="1260">
        <v>1</v>
      </c>
      <c r="AC22" s="1260">
        <v>1</v>
      </c>
    </row>
    <row r="23" spans="1:29" ht="56">
      <c r="A23" s="367"/>
      <c r="B23" s="390" t="s">
        <v>1259</v>
      </c>
      <c r="C23" s="1802" t="str">
        <f>估价对象房地状况!C9</f>
        <v>区域自然环境：；人文环境；综合评价环境状况较好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73"/>
      <c r="Q23" s="1259" t="str">
        <f>B23</f>
        <v>自然及人文环境</v>
      </c>
      <c r="R23" s="667" t="s">
        <v>14</v>
      </c>
      <c r="S23" s="668">
        <f>F23</f>
        <v>100</v>
      </c>
      <c r="T23" s="667" t="s">
        <v>14</v>
      </c>
      <c r="U23" s="668">
        <f>H23</f>
        <v>100</v>
      </c>
      <c r="V23" s="667" t="s">
        <v>14</v>
      </c>
      <c r="W23" s="668">
        <f>J23</f>
        <v>100</v>
      </c>
      <c r="X23" s="1261"/>
      <c r="Y23" s="3466"/>
      <c r="Z23" s="1260" t="str">
        <f>Q23</f>
        <v>自然及人文环境</v>
      </c>
      <c r="AA23" s="1260">
        <f t="shared" si="3"/>
        <v>1</v>
      </c>
      <c r="AB23" s="1260">
        <f t="shared" si="4"/>
        <v>1</v>
      </c>
      <c r="AC23" s="1260">
        <f t="shared" si="5"/>
        <v>1</v>
      </c>
    </row>
    <row r="24" spans="1:29" ht="15.5">
      <c r="A24" s="367"/>
      <c r="B24" s="395"/>
      <c r="C24" s="386"/>
      <c r="D24" s="387"/>
      <c r="E24" s="1748"/>
      <c r="F24" s="388"/>
      <c r="G24" s="1747"/>
      <c r="H24" s="387"/>
      <c r="I24" s="1748"/>
      <c r="J24" s="387"/>
      <c r="K24" s="541"/>
      <c r="L24" s="2488"/>
      <c r="M24" s="2483"/>
      <c r="N24" s="2483"/>
      <c r="O24" s="2483"/>
      <c r="P24" s="3473"/>
      <c r="Q24" s="1259"/>
      <c r="R24" s="667"/>
      <c r="S24" s="668"/>
      <c r="T24" s="667"/>
      <c r="U24" s="668"/>
      <c r="V24" s="667"/>
      <c r="W24" s="668"/>
      <c r="X24" s="1261"/>
      <c r="Y24" s="3466"/>
      <c r="Z24" s="1260"/>
      <c r="AA24" s="1260">
        <v>1</v>
      </c>
      <c r="AB24" s="1260">
        <v>1</v>
      </c>
      <c r="AC24" s="1260">
        <v>1</v>
      </c>
    </row>
    <row r="25" spans="1:29" ht="15.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73"/>
      <c r="Q25" s="1259" t="str">
        <f t="shared" ref="Q25:Q46" si="11">B25</f>
        <v>临街状况</v>
      </c>
      <c r="R25" s="667" t="s">
        <v>14</v>
      </c>
      <c r="S25" s="668">
        <f>F25</f>
        <v>100</v>
      </c>
      <c r="T25" s="667" t="s">
        <v>14</v>
      </c>
      <c r="U25" s="668">
        <f>H25</f>
        <v>100</v>
      </c>
      <c r="V25" s="667" t="s">
        <v>14</v>
      </c>
      <c r="W25" s="668">
        <f>J25</f>
        <v>100</v>
      </c>
      <c r="X25" s="1261"/>
      <c r="Y25" s="3466"/>
      <c r="Z25" s="1260" t="str">
        <f>Q25</f>
        <v>临街状况</v>
      </c>
      <c r="AA25" s="1260">
        <f t="shared" si="3"/>
        <v>1</v>
      </c>
      <c r="AB25" s="1260">
        <f t="shared" si="4"/>
        <v>1</v>
      </c>
      <c r="AC25" s="1260">
        <f t="shared" si="5"/>
        <v>1</v>
      </c>
    </row>
    <row r="26" spans="1:29" ht="15.5">
      <c r="A26" s="367"/>
      <c r="B26" s="1062" t="s">
        <v>1779</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73"/>
      <c r="Q26" s="1259" t="str">
        <f t="shared" si="11"/>
        <v>平面位置/可视性</v>
      </c>
      <c r="R26" s="667" t="s">
        <v>14</v>
      </c>
      <c r="S26" s="668">
        <f>F26</f>
        <v>100</v>
      </c>
      <c r="T26" s="667" t="s">
        <v>14</v>
      </c>
      <c r="U26" s="668">
        <f>H26</f>
        <v>100</v>
      </c>
      <c r="V26" s="667" t="s">
        <v>14</v>
      </c>
      <c r="W26" s="668">
        <f>J26</f>
        <v>100</v>
      </c>
      <c r="X26" s="1261"/>
      <c r="Y26" s="3466"/>
      <c r="Z26" s="1260" t="str">
        <f>Q26</f>
        <v>平面位置/可视性</v>
      </c>
      <c r="AA26" s="1260">
        <f t="shared" si="3"/>
        <v>1</v>
      </c>
      <c r="AB26" s="1260">
        <f t="shared" si="4"/>
        <v>1</v>
      </c>
      <c r="AC26" s="1260">
        <f t="shared" si="5"/>
        <v>1</v>
      </c>
    </row>
    <row r="27" spans="1:29" s="102" customFormat="1" ht="15.5">
      <c r="A27" s="370"/>
      <c r="B27" s="390" t="s">
        <v>1780</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73"/>
      <c r="Q27" s="530" t="str">
        <f t="shared" si="11"/>
        <v>人流量</v>
      </c>
      <c r="R27" s="664" t="s">
        <v>14</v>
      </c>
      <c r="S27" s="665">
        <f>F27</f>
        <v>100</v>
      </c>
      <c r="T27" s="664" t="s">
        <v>14</v>
      </c>
      <c r="U27" s="665">
        <f>H27</f>
        <v>100</v>
      </c>
      <c r="V27" s="664" t="s">
        <v>14</v>
      </c>
      <c r="W27" s="665">
        <f>J27</f>
        <v>100</v>
      </c>
      <c r="X27" s="666"/>
      <c r="Y27" s="3466"/>
      <c r="Z27" s="50" t="str">
        <f>Q27</f>
        <v>人流量</v>
      </c>
      <c r="AA27" s="1260">
        <f>D27/F27</f>
        <v>1</v>
      </c>
      <c r="AB27" s="1260">
        <f>D27/H27</f>
        <v>1</v>
      </c>
      <c r="AC27" s="1260">
        <f>D27/J27</f>
        <v>1</v>
      </c>
    </row>
    <row r="28" spans="1:29" ht="15.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73"/>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66"/>
      <c r="Z28" s="1260" t="str">
        <f t="shared" ref="Z28:Z46" si="15">Q28</f>
        <v>楼层</v>
      </c>
      <c r="AA28" s="1260">
        <f t="shared" si="3"/>
        <v>1</v>
      </c>
      <c r="AB28" s="1260">
        <f t="shared" si="4"/>
        <v>1</v>
      </c>
      <c r="AC28" s="1260">
        <f t="shared" si="5"/>
        <v>1</v>
      </c>
    </row>
    <row r="29" spans="1:29" ht="15.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73"/>
      <c r="Q29" s="1259">
        <f t="shared" si="11"/>
        <v>111</v>
      </c>
      <c r="R29" s="667" t="s">
        <v>14</v>
      </c>
      <c r="S29" s="668">
        <f t="shared" si="12"/>
        <v>100</v>
      </c>
      <c r="T29" s="667" t="s">
        <v>14</v>
      </c>
      <c r="U29" s="668">
        <f t="shared" si="13"/>
        <v>100</v>
      </c>
      <c r="V29" s="667" t="s">
        <v>14</v>
      </c>
      <c r="W29" s="668">
        <f t="shared" si="14"/>
        <v>100</v>
      </c>
      <c r="X29" s="1261"/>
      <c r="Y29" s="3466"/>
      <c r="Z29" s="1260">
        <f t="shared" si="15"/>
        <v>111</v>
      </c>
      <c r="AA29" s="1260">
        <f t="shared" si="3"/>
        <v>1</v>
      </c>
      <c r="AB29" s="1260">
        <f t="shared" si="4"/>
        <v>1</v>
      </c>
      <c r="AC29" s="1260">
        <f t="shared" si="5"/>
        <v>1</v>
      </c>
    </row>
    <row r="30" spans="1:29" ht="15.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73"/>
      <c r="Q30" s="1259">
        <f t="shared" si="11"/>
        <v>111</v>
      </c>
      <c r="R30" s="667" t="s">
        <v>14</v>
      </c>
      <c r="S30" s="668">
        <f t="shared" si="12"/>
        <v>100</v>
      </c>
      <c r="T30" s="667" t="s">
        <v>14</v>
      </c>
      <c r="U30" s="668">
        <f t="shared" si="13"/>
        <v>100</v>
      </c>
      <c r="V30" s="667" t="s">
        <v>14</v>
      </c>
      <c r="W30" s="668">
        <f t="shared" si="14"/>
        <v>100</v>
      </c>
      <c r="X30" s="1261"/>
      <c r="Y30" s="3466"/>
      <c r="Z30" s="1260">
        <f t="shared" si="15"/>
        <v>111</v>
      </c>
      <c r="AA30" s="1260">
        <f t="shared" si="3"/>
        <v>1</v>
      </c>
      <c r="AB30" s="1260">
        <f t="shared" si="4"/>
        <v>1</v>
      </c>
      <c r="AC30" s="1260">
        <f t="shared" si="5"/>
        <v>1</v>
      </c>
    </row>
    <row r="31" spans="1:29" ht="1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73"/>
      <c r="Q31" s="1259">
        <f t="shared" si="11"/>
        <v>111</v>
      </c>
      <c r="R31" s="667" t="s">
        <v>14</v>
      </c>
      <c r="S31" s="668">
        <f t="shared" si="12"/>
        <v>100</v>
      </c>
      <c r="T31" s="667" t="s">
        <v>14</v>
      </c>
      <c r="U31" s="668">
        <f t="shared" si="13"/>
        <v>100</v>
      </c>
      <c r="V31" s="667" t="s">
        <v>14</v>
      </c>
      <c r="W31" s="668">
        <f t="shared" si="14"/>
        <v>100</v>
      </c>
      <c r="X31" s="1261"/>
      <c r="Y31" s="3466"/>
      <c r="Z31" s="1260">
        <f t="shared" si="15"/>
        <v>111</v>
      </c>
      <c r="AA31" s="1260">
        <f t="shared" si="3"/>
        <v>1</v>
      </c>
      <c r="AB31" s="1260">
        <f t="shared" si="4"/>
        <v>1</v>
      </c>
      <c r="AC31" s="1260">
        <f t="shared" si="5"/>
        <v>1</v>
      </c>
    </row>
    <row r="32" spans="1:29" ht="15.5">
      <c r="A32" s="379" t="s">
        <v>1692</v>
      </c>
      <c r="B32" s="60" t="s">
        <v>1782</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8"/>
      <c r="M32" s="2483"/>
      <c r="N32" s="2483"/>
      <c r="O32" s="2483"/>
      <c r="P32" s="3467" t="s">
        <v>1694</v>
      </c>
      <c r="Q32" s="1259" t="str">
        <f t="shared" si="11"/>
        <v>商业类型</v>
      </c>
      <c r="R32" s="667" t="s">
        <v>14</v>
      </c>
      <c r="S32" s="668">
        <f t="shared" si="12"/>
        <v>100</v>
      </c>
      <c r="T32" s="667" t="s">
        <v>14</v>
      </c>
      <c r="U32" s="668">
        <f t="shared" si="13"/>
        <v>100</v>
      </c>
      <c r="V32" s="667" t="s">
        <v>14</v>
      </c>
      <c r="W32" s="668">
        <f t="shared" si="14"/>
        <v>100</v>
      </c>
      <c r="X32" s="1261"/>
      <c r="Y32" s="3470" t="s">
        <v>1694</v>
      </c>
      <c r="Z32" s="1260" t="str">
        <f t="shared" si="15"/>
        <v>商业类型</v>
      </c>
      <c r="AA32" s="1260">
        <f t="shared" si="3"/>
        <v>1</v>
      </c>
      <c r="AB32" s="1260">
        <f t="shared" si="4"/>
        <v>1</v>
      </c>
      <c r="AC32" s="1260">
        <f t="shared" si="5"/>
        <v>1</v>
      </c>
    </row>
    <row r="33" spans="1:29" s="408" customFormat="1" ht="15.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68"/>
      <c r="Q33" s="531" t="str">
        <f t="shared" si="11"/>
        <v>项目建筑规模</v>
      </c>
      <c r="R33" s="669" t="s">
        <v>14</v>
      </c>
      <c r="S33" s="670" t="e">
        <f t="shared" si="12"/>
        <v>#N/A</v>
      </c>
      <c r="T33" s="669" t="s">
        <v>14</v>
      </c>
      <c r="U33" s="670" t="e">
        <f t="shared" si="13"/>
        <v>#N/A</v>
      </c>
      <c r="V33" s="669" t="s">
        <v>14</v>
      </c>
      <c r="W33" s="670" t="e">
        <f t="shared" si="14"/>
        <v>#N/A</v>
      </c>
      <c r="X33" s="671"/>
      <c r="Y33" s="3470"/>
      <c r="Z33" s="672" t="str">
        <f t="shared" si="15"/>
        <v>项目建筑规模</v>
      </c>
      <c r="AA33" s="1260" t="e">
        <f t="shared" si="3"/>
        <v>#N/A</v>
      </c>
      <c r="AB33" s="1260" t="e">
        <f t="shared" si="4"/>
        <v>#N/A</v>
      </c>
      <c r="AC33" s="1260" t="e">
        <f t="shared" si="5"/>
        <v>#N/A</v>
      </c>
    </row>
    <row r="34" spans="1:29" ht="15.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68"/>
      <c r="Q34" s="1259" t="str">
        <f t="shared" si="11"/>
        <v>建筑结构</v>
      </c>
      <c r="R34" s="667" t="s">
        <v>14</v>
      </c>
      <c r="S34" s="668">
        <f t="shared" si="12"/>
        <v>100</v>
      </c>
      <c r="T34" s="667" t="s">
        <v>14</v>
      </c>
      <c r="U34" s="668">
        <f t="shared" si="13"/>
        <v>100</v>
      </c>
      <c r="V34" s="667" t="s">
        <v>14</v>
      </c>
      <c r="W34" s="668">
        <f t="shared" si="14"/>
        <v>100</v>
      </c>
      <c r="X34" s="1261"/>
      <c r="Y34" s="3470"/>
      <c r="Z34" s="1260" t="str">
        <f t="shared" si="15"/>
        <v>建筑结构</v>
      </c>
      <c r="AA34" s="1260">
        <f t="shared" si="3"/>
        <v>1</v>
      </c>
      <c r="AB34" s="1260">
        <f t="shared" si="4"/>
        <v>1</v>
      </c>
      <c r="AC34" s="1260">
        <f t="shared" si="5"/>
        <v>1</v>
      </c>
    </row>
    <row r="35" spans="1:29" ht="15.5">
      <c r="A35" s="409"/>
      <c r="B35" s="364" t="s">
        <v>1783</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8"/>
      <c r="M35" s="2483"/>
      <c r="N35" s="2483"/>
      <c r="O35" s="2483"/>
      <c r="P35" s="3468"/>
      <c r="Q35" s="1259" t="str">
        <f t="shared" si="11"/>
        <v>公共部分装修</v>
      </c>
      <c r="R35" s="667" t="s">
        <v>14</v>
      </c>
      <c r="S35" s="668">
        <f t="shared" si="12"/>
        <v>100</v>
      </c>
      <c r="T35" s="667" t="s">
        <v>14</v>
      </c>
      <c r="U35" s="668">
        <f t="shared" si="13"/>
        <v>100</v>
      </c>
      <c r="V35" s="667" t="s">
        <v>14</v>
      </c>
      <c r="W35" s="668">
        <f t="shared" si="14"/>
        <v>100</v>
      </c>
      <c r="X35" s="1261"/>
      <c r="Y35" s="3470"/>
      <c r="Z35" s="1260" t="str">
        <f t="shared" si="15"/>
        <v>公共部分装修</v>
      </c>
      <c r="AA35" s="1260">
        <f t="shared" si="3"/>
        <v>1</v>
      </c>
      <c r="AB35" s="1260">
        <f t="shared" si="4"/>
        <v>1</v>
      </c>
      <c r="AC35" s="1260">
        <f t="shared" si="5"/>
        <v>1</v>
      </c>
    </row>
    <row r="36" spans="1:29" ht="15.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68"/>
      <c r="Q36" s="1259" t="str">
        <f t="shared" si="11"/>
        <v>成新度</v>
      </c>
      <c r="R36" s="667" t="s">
        <v>14</v>
      </c>
      <c r="S36" s="668" t="e">
        <f t="shared" si="12"/>
        <v>#N/A</v>
      </c>
      <c r="T36" s="667" t="s">
        <v>14</v>
      </c>
      <c r="U36" s="668" t="e">
        <f t="shared" si="13"/>
        <v>#N/A</v>
      </c>
      <c r="V36" s="667" t="s">
        <v>14</v>
      </c>
      <c r="W36" s="668" t="e">
        <f t="shared" si="14"/>
        <v>#N/A</v>
      </c>
      <c r="X36" s="1261"/>
      <c r="Y36" s="3470"/>
      <c r="Z36" s="1260" t="str">
        <f t="shared" si="15"/>
        <v>成新度</v>
      </c>
      <c r="AA36" s="1260" t="e">
        <f t="shared" si="3"/>
        <v>#N/A</v>
      </c>
      <c r="AB36" s="1260" t="e">
        <f t="shared" si="4"/>
        <v>#N/A</v>
      </c>
      <c r="AC36" s="1260" t="e">
        <f t="shared" si="5"/>
        <v>#N/A</v>
      </c>
    </row>
    <row r="37" spans="1:29" s="102" customFormat="1" ht="15.5">
      <c r="A37" s="410"/>
      <c r="B37" s="364" t="s">
        <v>1785</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4"/>
      <c r="M37" s="2435"/>
      <c r="N37" s="2435"/>
      <c r="O37" s="2435"/>
      <c r="P37" s="3468"/>
      <c r="Q37" s="530" t="str">
        <f t="shared" si="11"/>
        <v>市政基础设施</v>
      </c>
      <c r="R37" s="664" t="s">
        <v>14</v>
      </c>
      <c r="S37" s="665">
        <f t="shared" si="12"/>
        <v>100</v>
      </c>
      <c r="T37" s="664" t="s">
        <v>14</v>
      </c>
      <c r="U37" s="665">
        <f t="shared" si="13"/>
        <v>100</v>
      </c>
      <c r="V37" s="664" t="s">
        <v>14</v>
      </c>
      <c r="W37" s="665">
        <f t="shared" si="14"/>
        <v>100</v>
      </c>
      <c r="X37" s="666"/>
      <c r="Y37" s="3470"/>
      <c r="Z37" s="50" t="str">
        <f t="shared" si="15"/>
        <v>市政基础设施</v>
      </c>
      <c r="AA37" s="50">
        <f t="shared" si="3"/>
        <v>1</v>
      </c>
      <c r="AB37" s="50">
        <f t="shared" si="4"/>
        <v>1</v>
      </c>
      <c r="AC37" s="50">
        <f t="shared" si="5"/>
        <v>1</v>
      </c>
    </row>
    <row r="38" spans="1:29" ht="15.5">
      <c r="A38" s="409"/>
      <c r="B38" s="364" t="s">
        <v>1786</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8"/>
      <c r="M38" s="2483"/>
      <c r="N38" s="2483"/>
      <c r="O38" s="2483"/>
      <c r="P38" s="3468" t="s">
        <v>1694</v>
      </c>
      <c r="Q38" s="1259" t="str">
        <f t="shared" si="11"/>
        <v>业态</v>
      </c>
      <c r="R38" s="667" t="s">
        <v>14</v>
      </c>
      <c r="S38" s="668">
        <f t="shared" si="12"/>
        <v>100</v>
      </c>
      <c r="T38" s="667" t="s">
        <v>14</v>
      </c>
      <c r="U38" s="668">
        <f t="shared" si="13"/>
        <v>100</v>
      </c>
      <c r="V38" s="667" t="s">
        <v>14</v>
      </c>
      <c r="W38" s="668">
        <f t="shared" si="14"/>
        <v>100</v>
      </c>
      <c r="X38" s="1261"/>
      <c r="Y38" s="3470" t="s">
        <v>1694</v>
      </c>
      <c r="Z38" s="1260" t="str">
        <f t="shared" si="15"/>
        <v>业态</v>
      </c>
      <c r="AA38" s="1260">
        <f t="shared" si="3"/>
        <v>1</v>
      </c>
      <c r="AB38" s="1260">
        <f t="shared" si="4"/>
        <v>1</v>
      </c>
      <c r="AC38" s="1260">
        <f t="shared" si="5"/>
        <v>1</v>
      </c>
    </row>
    <row r="39" spans="1:29" ht="15.5">
      <c r="A39" s="409"/>
      <c r="B39" s="364" t="s">
        <v>1787</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8"/>
      <c r="M39" s="2483"/>
      <c r="N39" s="2483"/>
      <c r="O39" s="2483"/>
      <c r="P39" s="3468"/>
      <c r="Q39" s="1259" t="str">
        <f t="shared" si="11"/>
        <v>层高</v>
      </c>
      <c r="R39" s="667" t="s">
        <v>14</v>
      </c>
      <c r="S39" s="668">
        <f t="shared" si="12"/>
        <v>100</v>
      </c>
      <c r="T39" s="667" t="s">
        <v>14</v>
      </c>
      <c r="U39" s="668">
        <f t="shared" si="13"/>
        <v>100</v>
      </c>
      <c r="V39" s="667" t="s">
        <v>14</v>
      </c>
      <c r="W39" s="668">
        <f t="shared" si="14"/>
        <v>100</v>
      </c>
      <c r="X39" s="1261"/>
      <c r="Y39" s="3470"/>
      <c r="Z39" s="1260" t="str">
        <f t="shared" si="15"/>
        <v>层高</v>
      </c>
      <c r="AA39" s="1260">
        <f t="shared" si="3"/>
        <v>1</v>
      </c>
      <c r="AB39" s="1260">
        <f t="shared" si="4"/>
        <v>1</v>
      </c>
      <c r="AC39" s="1260">
        <f t="shared" si="5"/>
        <v>1</v>
      </c>
    </row>
    <row r="40" spans="1:29" ht="15.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68"/>
      <c r="Q40" s="1259" t="str">
        <f t="shared" si="11"/>
        <v>单套建筑面积</v>
      </c>
      <c r="R40" s="667" t="s">
        <v>14</v>
      </c>
      <c r="S40" s="668">
        <f t="shared" si="12"/>
        <v>100</v>
      </c>
      <c r="T40" s="667" t="s">
        <v>14</v>
      </c>
      <c r="U40" s="668">
        <f t="shared" si="13"/>
        <v>100</v>
      </c>
      <c r="V40" s="667" t="s">
        <v>14</v>
      </c>
      <c r="W40" s="668">
        <f t="shared" si="14"/>
        <v>100</v>
      </c>
      <c r="X40" s="1261"/>
      <c r="Y40" s="3470"/>
      <c r="Z40" s="1260" t="str">
        <f t="shared" si="15"/>
        <v>单套建筑面积</v>
      </c>
      <c r="AA40" s="1260">
        <f t="shared" si="3"/>
        <v>1</v>
      </c>
      <c r="AB40" s="1260">
        <f t="shared" si="4"/>
        <v>1</v>
      </c>
      <c r="AC40" s="1260">
        <f t="shared" si="5"/>
        <v>1</v>
      </c>
    </row>
    <row r="41" spans="1:29" s="408" customFormat="1" ht="15.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68"/>
      <c r="Q41" s="531" t="str">
        <f t="shared" si="11"/>
        <v>进深比</v>
      </c>
      <c r="R41" s="669" t="s">
        <v>14</v>
      </c>
      <c r="S41" s="670">
        <f t="shared" si="12"/>
        <v>100</v>
      </c>
      <c r="T41" s="669" t="s">
        <v>14</v>
      </c>
      <c r="U41" s="670">
        <f t="shared" si="13"/>
        <v>100</v>
      </c>
      <c r="V41" s="669" t="s">
        <v>14</v>
      </c>
      <c r="W41" s="670">
        <f t="shared" si="14"/>
        <v>100</v>
      </c>
      <c r="X41" s="671"/>
      <c r="Y41" s="3470"/>
      <c r="Z41" s="672" t="str">
        <f t="shared" si="15"/>
        <v>进深比</v>
      </c>
      <c r="AA41" s="1260">
        <f t="shared" si="3"/>
        <v>1</v>
      </c>
      <c r="AB41" s="1260">
        <f t="shared" si="4"/>
        <v>1</v>
      </c>
      <c r="AC41" s="1260">
        <f t="shared" si="5"/>
        <v>1</v>
      </c>
    </row>
    <row r="42" spans="1:29" ht="15.5">
      <c r="A42" s="409"/>
      <c r="B42" s="364" t="s">
        <v>1790</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8"/>
      <c r="M42" s="2483"/>
      <c r="N42" s="2483"/>
      <c r="O42" s="2483"/>
      <c r="P42" s="3468"/>
      <c r="Q42" s="1259" t="str">
        <f t="shared" si="11"/>
        <v>内部装修</v>
      </c>
      <c r="R42" s="667" t="s">
        <v>14</v>
      </c>
      <c r="S42" s="668">
        <f t="shared" si="12"/>
        <v>100</v>
      </c>
      <c r="T42" s="667" t="s">
        <v>14</v>
      </c>
      <c r="U42" s="668">
        <f t="shared" si="13"/>
        <v>100</v>
      </c>
      <c r="V42" s="667" t="s">
        <v>14</v>
      </c>
      <c r="W42" s="668">
        <f t="shared" si="14"/>
        <v>100</v>
      </c>
      <c r="X42" s="1261"/>
      <c r="Y42" s="3470"/>
      <c r="Z42" s="1260" t="str">
        <f t="shared" si="15"/>
        <v>内部装修</v>
      </c>
      <c r="AA42" s="1260">
        <f t="shared" si="3"/>
        <v>1</v>
      </c>
      <c r="AB42" s="1260">
        <f t="shared" si="4"/>
        <v>1</v>
      </c>
      <c r="AC42" s="1260">
        <f t="shared" si="5"/>
        <v>1</v>
      </c>
    </row>
    <row r="43" spans="1:29" ht="28">
      <c r="A43" s="409"/>
      <c r="B43" s="364" t="s">
        <v>1705</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8"/>
      <c r="M43" s="2483"/>
      <c r="N43" s="2483"/>
      <c r="O43" s="2483"/>
      <c r="P43" s="3468"/>
      <c r="Q43" s="1259" t="str">
        <f t="shared" si="11"/>
        <v>内部装修维护情况</v>
      </c>
      <c r="R43" s="667" t="s">
        <v>14</v>
      </c>
      <c r="S43" s="668">
        <f t="shared" si="12"/>
        <v>100</v>
      </c>
      <c r="T43" s="667" t="s">
        <v>14</v>
      </c>
      <c r="U43" s="668">
        <f t="shared" si="13"/>
        <v>100</v>
      </c>
      <c r="V43" s="667" t="s">
        <v>14</v>
      </c>
      <c r="W43" s="668">
        <f t="shared" si="14"/>
        <v>100</v>
      </c>
      <c r="X43" s="1261"/>
      <c r="Y43" s="3470"/>
      <c r="Z43" s="1260" t="str">
        <f t="shared" si="15"/>
        <v>内部装修维护情况</v>
      </c>
      <c r="AA43" s="1260">
        <f t="shared" si="3"/>
        <v>1</v>
      </c>
      <c r="AB43" s="1260">
        <f t="shared" si="4"/>
        <v>1</v>
      </c>
      <c r="AC43" s="1260">
        <f t="shared" si="5"/>
        <v>1</v>
      </c>
    </row>
    <row r="44" spans="1:29" s="102" customFormat="1" ht="15.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68"/>
      <c r="Q44" s="530">
        <f t="shared" si="11"/>
        <v>111</v>
      </c>
      <c r="R44" s="664" t="s">
        <v>14</v>
      </c>
      <c r="S44" s="665">
        <f t="shared" si="12"/>
        <v>100</v>
      </c>
      <c r="T44" s="664" t="s">
        <v>14</v>
      </c>
      <c r="U44" s="665">
        <f t="shared" si="13"/>
        <v>100</v>
      </c>
      <c r="V44" s="664" t="s">
        <v>14</v>
      </c>
      <c r="W44" s="665">
        <f t="shared" si="14"/>
        <v>100</v>
      </c>
      <c r="X44" s="666"/>
      <c r="Y44" s="3470"/>
      <c r="Z44" s="50">
        <f t="shared" si="15"/>
        <v>111</v>
      </c>
      <c r="AA44" s="50">
        <f t="shared" si="3"/>
        <v>1</v>
      </c>
      <c r="AB44" s="50">
        <f t="shared" si="4"/>
        <v>1</v>
      </c>
      <c r="AC44" s="50">
        <f t="shared" si="5"/>
        <v>1</v>
      </c>
    </row>
    <row r="45" spans="1:29" ht="15.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68"/>
      <c r="Q45" s="1259">
        <f t="shared" si="11"/>
        <v>111</v>
      </c>
      <c r="R45" s="667" t="s">
        <v>14</v>
      </c>
      <c r="S45" s="668">
        <f t="shared" si="12"/>
        <v>100</v>
      </c>
      <c r="T45" s="667" t="s">
        <v>14</v>
      </c>
      <c r="U45" s="668">
        <f t="shared" si="13"/>
        <v>100</v>
      </c>
      <c r="V45" s="667" t="s">
        <v>14</v>
      </c>
      <c r="W45" s="668">
        <f t="shared" si="14"/>
        <v>100</v>
      </c>
      <c r="X45" s="1261"/>
      <c r="Y45" s="3470"/>
      <c r="Z45" s="1260">
        <f t="shared" si="15"/>
        <v>111</v>
      </c>
      <c r="AA45" s="1260">
        <f t="shared" si="3"/>
        <v>1</v>
      </c>
      <c r="AB45" s="1260">
        <f t="shared" si="4"/>
        <v>1</v>
      </c>
      <c r="AC45" s="1260">
        <f t="shared" si="5"/>
        <v>1</v>
      </c>
    </row>
    <row r="46" spans="1:29" ht="1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69"/>
      <c r="Q46" s="1259">
        <f t="shared" si="11"/>
        <v>111</v>
      </c>
      <c r="R46" s="667" t="s">
        <v>14</v>
      </c>
      <c r="S46" s="668">
        <f t="shared" si="12"/>
        <v>100</v>
      </c>
      <c r="T46" s="667" t="s">
        <v>14</v>
      </c>
      <c r="U46" s="668">
        <f t="shared" si="13"/>
        <v>100</v>
      </c>
      <c r="V46" s="667" t="s">
        <v>14</v>
      </c>
      <c r="W46" s="668">
        <f t="shared" si="14"/>
        <v>100</v>
      </c>
      <c r="X46" s="1261"/>
      <c r="Y46" s="3471"/>
      <c r="Z46" s="1260">
        <f t="shared" si="15"/>
        <v>111</v>
      </c>
      <c r="AA46" s="1260">
        <f t="shared" si="3"/>
        <v>1</v>
      </c>
      <c r="AB46" s="1260">
        <f t="shared" si="4"/>
        <v>1</v>
      </c>
      <c r="AC46" s="1260">
        <f t="shared" si="5"/>
        <v>1</v>
      </c>
    </row>
    <row r="47" spans="1:29">
      <c r="A47" s="416" t="s">
        <v>1706</v>
      </c>
      <c r="B47" s="417"/>
      <c r="C47" s="1077" t="s">
        <v>0</v>
      </c>
      <c r="D47" s="418"/>
      <c r="E47" s="419"/>
      <c r="F47" s="420"/>
      <c r="G47" s="421"/>
      <c r="H47" s="422"/>
      <c r="I47" s="419"/>
      <c r="J47" s="422"/>
      <c r="K47" s="674"/>
      <c r="L47" s="2490"/>
      <c r="M47" s="2483"/>
      <c r="N47" s="2483"/>
      <c r="O47" s="2483"/>
      <c r="P47" s="3464" t="str">
        <f>A47</f>
        <v>成交单价（元/平方米）</v>
      </c>
      <c r="Q47" s="3464"/>
      <c r="R47" s="3459">
        <f>E47</f>
        <v>0</v>
      </c>
      <c r="S47" s="3459"/>
      <c r="T47" s="3459">
        <f>G47</f>
        <v>0</v>
      </c>
      <c r="U47" s="3459"/>
      <c r="V47" s="3459">
        <f>I47</f>
        <v>0</v>
      </c>
      <c r="W47" s="3459"/>
      <c r="X47" s="385"/>
      <c r="Y47" s="673"/>
      <c r="Z47" s="385"/>
      <c r="AA47" s="385"/>
      <c r="AB47" s="385"/>
      <c r="AC47" s="385"/>
    </row>
    <row r="48" spans="1:29" ht="14.5" thickBot="1">
      <c r="A48" s="423" t="s">
        <v>1791</v>
      </c>
      <c r="B48" s="424"/>
      <c r="C48" s="1078" t="e">
        <f>R49</f>
        <v>#DIV/0!</v>
      </c>
      <c r="D48" s="2137" t="s">
        <v>2136</v>
      </c>
      <c r="E48" s="1079" t="e">
        <f>R48</f>
        <v>#DIV/0!</v>
      </c>
      <c r="F48" s="2138"/>
      <c r="G48" s="1078" t="e">
        <f>T48</f>
        <v>#DIV/0!</v>
      </c>
      <c r="H48" s="2138"/>
      <c r="I48" s="1079" t="e">
        <f>V48</f>
        <v>#DIV/0!</v>
      </c>
      <c r="J48" s="2138"/>
      <c r="K48" s="2140">
        <f>F48+H48+J48</f>
        <v>0</v>
      </c>
      <c r="L48" s="2490"/>
      <c r="M48" s="2483"/>
      <c r="N48" s="2483"/>
      <c r="O48" s="2483"/>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5"/>
      <c r="Y48" s="385"/>
      <c r="Z48" s="385"/>
      <c r="AA48" s="385"/>
      <c r="AB48" s="385"/>
      <c r="AC48" s="385"/>
    </row>
    <row r="49" spans="1:29" ht="14.5" thickBot="1">
      <c r="A49" s="427" t="s">
        <v>1792</v>
      </c>
      <c r="B49" s="428"/>
      <c r="C49" s="351" t="e">
        <f>R49</f>
        <v>#DIV/0!</v>
      </c>
      <c r="D49" s="351"/>
      <c r="E49" s="351"/>
      <c r="F49" s="351"/>
      <c r="G49" s="351"/>
      <c r="H49" s="351"/>
      <c r="I49" s="351"/>
      <c r="J49" s="351"/>
      <c r="K49" s="675"/>
      <c r="L49" s="2490"/>
      <c r="M49" s="2483"/>
      <c r="N49" s="2483"/>
      <c r="O49" s="2483"/>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5" thickBot="1">
      <c r="A57" s="658" t="s">
        <v>1796</v>
      </c>
      <c r="B57" s="385"/>
      <c r="C57" s="659"/>
      <c r="D57" s="659"/>
      <c r="E57" s="659"/>
      <c r="F57" s="660"/>
      <c r="G57" s="660"/>
      <c r="H57" s="659"/>
      <c r="I57" s="659"/>
      <c r="J57" s="659"/>
      <c r="K57" s="661"/>
      <c r="L57" s="884"/>
      <c r="M57" s="882"/>
      <c r="N57" s="882"/>
      <c r="O57" s="882"/>
      <c r="P57" s="2503"/>
      <c r="Q57" s="2504"/>
      <c r="R57" s="2483"/>
      <c r="S57" s="2483"/>
      <c r="T57" s="2483"/>
      <c r="U57" s="2483"/>
      <c r="V57" s="2483"/>
      <c r="W57" s="2483"/>
      <c r="X57" s="2483"/>
      <c r="Y57" s="2483"/>
      <c r="Z57" s="2483"/>
      <c r="AA57" s="2483"/>
      <c r="AB57" s="2483"/>
      <c r="AC57" s="2483"/>
    </row>
    <row r="58" spans="1:29" s="442" customFormat="1">
      <c r="A58" s="440" t="s">
        <v>1677</v>
      </c>
      <c r="B58" s="441"/>
      <c r="C58" s="1099" t="str">
        <f>YEAR(C7)&amp;"-"&amp;MONTH(C7)</f>
        <v>2024-7</v>
      </c>
      <c r="D58" s="1100">
        <f>EDATE(C58,-1)</f>
        <v>45444</v>
      </c>
      <c r="E58" s="1100">
        <f t="shared" ref="E58:N58" si="16">EDATE(D58,-1)</f>
        <v>45413</v>
      </c>
      <c r="F58" s="1100">
        <f t="shared" si="16"/>
        <v>45383</v>
      </c>
      <c r="G58" s="1100">
        <f t="shared" si="16"/>
        <v>45352</v>
      </c>
      <c r="H58" s="1100">
        <f t="shared" si="16"/>
        <v>45323</v>
      </c>
      <c r="I58" s="1100">
        <f t="shared" si="16"/>
        <v>45292</v>
      </c>
      <c r="J58" s="1100">
        <f t="shared" si="16"/>
        <v>45261</v>
      </c>
      <c r="K58" s="1100">
        <f t="shared" si="16"/>
        <v>45231</v>
      </c>
      <c r="L58" s="1100">
        <f t="shared" si="16"/>
        <v>45200</v>
      </c>
      <c r="M58" s="1100">
        <f t="shared" si="16"/>
        <v>45170</v>
      </c>
      <c r="N58" s="1100">
        <f t="shared" si="16"/>
        <v>45139</v>
      </c>
      <c r="O58" s="1100">
        <f>EDATE(N58,-1)</f>
        <v>45108</v>
      </c>
      <c r="P58" s="2505"/>
      <c r="Q58" s="2506"/>
      <c r="R58" s="2506"/>
      <c r="S58" s="2506"/>
      <c r="T58" s="2506"/>
      <c r="U58" s="2506"/>
      <c r="V58" s="2506"/>
      <c r="W58" s="2506"/>
      <c r="X58" s="2506"/>
      <c r="Y58" s="2506"/>
      <c r="Z58" s="2506"/>
      <c r="AA58" s="2506"/>
      <c r="AB58" s="2506"/>
      <c r="AC58" s="2506"/>
    </row>
    <row r="59" spans="1:29" s="102" customFormat="1">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4.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c r="A61" s="455" t="s">
        <v>1679</v>
      </c>
      <c r="B61" s="444"/>
      <c r="C61" s="456" t="s">
        <v>1774</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4.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1683</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8.5" thickTop="1">
      <c r="A65" s="367"/>
      <c r="B65" s="469" t="s">
        <v>1686</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4.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1688</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4.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4.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4.5" thickTop="1">
      <c r="A82" s="367"/>
      <c r="B82" s="477" t="s">
        <v>1777</v>
      </c>
      <c r="C82" s="581" t="s">
        <v>1797</v>
      </c>
      <c r="D82" s="581" t="s">
        <v>1798</v>
      </c>
      <c r="E82" s="581" t="s">
        <v>1799</v>
      </c>
      <c r="F82" s="581" t="s">
        <v>1800</v>
      </c>
      <c r="G82" s="581" t="s">
        <v>1801</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4.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4.5" thickTop="1">
      <c r="A86" s="370"/>
      <c r="B86" s="469" t="s">
        <v>1802</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4.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4.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4.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1692</v>
      </c>
      <c r="B100" s="460" t="s">
        <v>1803</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4.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4.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4.5" thickTop="1">
      <c r="A107" s="409"/>
      <c r="B107" s="469" t="s">
        <v>1738</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4.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4.5" thickTop="1">
      <c r="A112" s="406"/>
      <c r="B112" s="469" t="s">
        <v>1740</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4.5" thickTop="1">
      <c r="A114" s="409"/>
      <c r="B114" s="469" t="s">
        <v>1804</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4.5" thickTop="1">
      <c r="A116" s="409"/>
      <c r="B116" s="469" t="s">
        <v>1805</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4.5" thickTop="1">
      <c r="A118" s="409"/>
      <c r="B118" s="469" t="s">
        <v>1806</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4.5" thickTop="1">
      <c r="A120" s="406"/>
      <c r="B120" s="469" t="s">
        <v>1807</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4.5" thickTop="1">
      <c r="A122" s="409"/>
      <c r="B122" s="469" t="s">
        <v>1742</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8.5" thickTop="1">
      <c r="A124" s="409"/>
      <c r="B124" s="469" t="s">
        <v>1743</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4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1658</v>
      </c>
      <c r="B1" s="1804" t="s">
        <v>1808</v>
      </c>
      <c r="C1" s="1137" t="s">
        <v>1660</v>
      </c>
      <c r="D1" s="1138"/>
      <c r="E1" s="3126"/>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26917.520000000128</v>
      </c>
      <c r="E3" s="1801"/>
      <c r="F3" s="852"/>
      <c r="G3" s="851"/>
      <c r="H3" s="851"/>
      <c r="I3" s="851"/>
      <c r="J3" s="851"/>
      <c r="K3" s="853"/>
      <c r="L3" s="2499"/>
      <c r="M3" s="2500"/>
      <c r="N3" s="2500"/>
      <c r="O3" s="2500"/>
      <c r="P3" s="341"/>
      <c r="Q3" s="341"/>
      <c r="R3" s="341"/>
      <c r="S3" s="341"/>
      <c r="T3" s="341"/>
      <c r="U3" s="341"/>
      <c r="V3" s="341"/>
      <c r="W3" s="341"/>
      <c r="X3" s="341"/>
      <c r="Y3" s="341"/>
      <c r="Z3" s="341"/>
      <c r="AA3" s="341"/>
      <c r="AB3" s="341"/>
      <c r="AC3" s="663"/>
    </row>
    <row r="4" spans="1:29">
      <c r="A4" s="345" t="s">
        <v>1767</v>
      </c>
      <c r="B4" s="346"/>
      <c r="C4" s="3447" t="s">
        <v>1768</v>
      </c>
      <c r="D4" s="3448"/>
      <c r="E4" s="3449" t="s">
        <v>1769</v>
      </c>
      <c r="F4" s="3450"/>
      <c r="G4" s="3447" t="s">
        <v>1770</v>
      </c>
      <c r="H4" s="3448"/>
      <c r="I4" s="3447" t="s">
        <v>1771</v>
      </c>
      <c r="J4" s="3448"/>
      <c r="K4" s="537" t="s">
        <v>1772</v>
      </c>
      <c r="L4" s="2482"/>
      <c r="M4" s="2483"/>
      <c r="N4" s="2483"/>
      <c r="O4" s="2483"/>
      <c r="P4" s="3480" t="s">
        <v>1773</v>
      </c>
      <c r="Q4" s="3481"/>
      <c r="R4" s="3475" t="s">
        <v>1769</v>
      </c>
      <c r="S4" s="3476"/>
      <c r="T4" s="3475" t="s">
        <v>1770</v>
      </c>
      <c r="U4" s="3476"/>
      <c r="V4" s="3484" t="s">
        <v>1771</v>
      </c>
      <c r="W4" s="3484"/>
      <c r="X4" s="1805"/>
      <c r="Y4" s="3475" t="s">
        <v>1773</v>
      </c>
      <c r="Z4" s="3476"/>
      <c r="AA4" s="3474" t="s">
        <v>1769</v>
      </c>
      <c r="AB4" s="3474" t="s">
        <v>1770</v>
      </c>
      <c r="AC4" s="3477" t="s">
        <v>1771</v>
      </c>
    </row>
    <row r="5" spans="1:29">
      <c r="A5" s="348"/>
      <c r="B5" s="349"/>
      <c r="C5" s="3440" t="s">
        <v>1671</v>
      </c>
      <c r="D5" s="3441"/>
      <c r="E5" s="3438" t="s">
        <v>1672</v>
      </c>
      <c r="F5" s="3439"/>
      <c r="G5" s="3440" t="s">
        <v>1673</v>
      </c>
      <c r="H5" s="3441"/>
      <c r="I5" s="3440" t="s">
        <v>1674</v>
      </c>
      <c r="J5" s="3441"/>
      <c r="K5" s="537"/>
      <c r="L5" s="2482"/>
      <c r="M5" s="2483"/>
      <c r="N5" s="2483"/>
      <c r="O5" s="2483"/>
      <c r="P5" s="3482"/>
      <c r="Q5" s="3454"/>
      <c r="R5" s="3436"/>
      <c r="S5" s="3437"/>
      <c r="T5" s="3436"/>
      <c r="U5" s="3437"/>
      <c r="V5" s="3459"/>
      <c r="W5" s="3459"/>
      <c r="X5" s="1261"/>
      <c r="Y5" s="3436"/>
      <c r="Z5" s="3437"/>
      <c r="AA5" s="3430"/>
      <c r="AB5" s="3430"/>
      <c r="AC5" s="3478"/>
    </row>
    <row r="6" spans="1:29" ht="15" thickBot="1">
      <c r="A6" s="350"/>
      <c r="B6" s="351"/>
      <c r="C6" s="3442" t="s">
        <v>1675</v>
      </c>
      <c r="D6" s="3443"/>
      <c r="E6" s="3444" t="s">
        <v>1675</v>
      </c>
      <c r="F6" s="3445"/>
      <c r="G6" s="3442" t="s">
        <v>1675</v>
      </c>
      <c r="H6" s="3443"/>
      <c r="I6" s="3442" t="s">
        <v>1675</v>
      </c>
      <c r="J6" s="3443"/>
      <c r="K6" s="537" t="s">
        <v>1676</v>
      </c>
      <c r="L6" s="2482"/>
      <c r="M6" s="2483"/>
      <c r="N6" s="2483"/>
      <c r="O6" s="2483"/>
      <c r="P6" s="3483"/>
      <c r="Q6" s="3456"/>
      <c r="R6" s="3436"/>
      <c r="S6" s="3437"/>
      <c r="T6" s="3457"/>
      <c r="U6" s="3458"/>
      <c r="V6" s="3459"/>
      <c r="W6" s="3459"/>
      <c r="X6" s="1261"/>
      <c r="Y6" s="3457"/>
      <c r="Z6" s="3458"/>
      <c r="AA6" s="3431"/>
      <c r="AB6" s="3431"/>
      <c r="AC6" s="3479"/>
    </row>
    <row r="7" spans="1:29" s="102" customFormat="1" ht="14.5" thickBot="1">
      <c r="A7" s="352" t="s">
        <v>1677</v>
      </c>
      <c r="B7" s="353"/>
      <c r="C7" s="354">
        <f>'数据-取费表'!B2</f>
        <v>45478</v>
      </c>
      <c r="D7" s="355">
        <v>100</v>
      </c>
      <c r="E7" s="356"/>
      <c r="F7" s="357">
        <f>SUMIF(59:59,YEAR(E7)&amp;"-"&amp;MONTH(E7),60:60)</f>
        <v>0</v>
      </c>
      <c r="G7" s="356"/>
      <c r="H7" s="355">
        <f>SUMIF(59:59,YEAR(G7)&amp;"-"&amp;MONTH(G7),60:60)</f>
        <v>0</v>
      </c>
      <c r="I7" s="356"/>
      <c r="J7" s="355">
        <f>SUMIF(59:59,YEAR(I7)&amp;"-"&amp;MONTH(I7),60:60)</f>
        <v>0</v>
      </c>
      <c r="K7" s="38"/>
      <c r="L7" s="2484"/>
      <c r="M7" s="2435"/>
      <c r="N7" s="2435"/>
      <c r="O7" s="2435"/>
      <c r="P7" s="3485" t="s">
        <v>1678</v>
      </c>
      <c r="Q7" s="3460"/>
      <c r="R7" s="664" t="s">
        <v>14</v>
      </c>
      <c r="S7" s="665">
        <f t="shared" ref="S7:S15" si="0">F7</f>
        <v>0</v>
      </c>
      <c r="T7" s="664" t="s">
        <v>14</v>
      </c>
      <c r="U7" s="665">
        <f t="shared" ref="U7:U15" si="1">H7</f>
        <v>0</v>
      </c>
      <c r="V7" s="664" t="s">
        <v>14</v>
      </c>
      <c r="W7" s="665">
        <f t="shared" ref="W7:W15" si="2">J7</f>
        <v>0</v>
      </c>
      <c r="X7" s="666"/>
      <c r="Y7" s="3432" t="s">
        <v>1678</v>
      </c>
      <c r="Z7" s="3433"/>
      <c r="AA7" s="50" t="e">
        <f>D7/F7</f>
        <v>#DIV/0!</v>
      </c>
      <c r="AB7" s="50" t="e">
        <f>D7/H7</f>
        <v>#DIV/0!</v>
      </c>
      <c r="AC7" s="798" t="e">
        <f>D7/J7</f>
        <v>#DIV/0!</v>
      </c>
    </row>
    <row r="8" spans="1:29" s="102" customFormat="1" ht="14.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85" t="s">
        <v>1681</v>
      </c>
      <c r="Q8" s="3433"/>
      <c r="R8" s="664" t="s">
        <v>14</v>
      </c>
      <c r="S8" s="665">
        <f t="shared" si="0"/>
        <v>100</v>
      </c>
      <c r="T8" s="664" t="s">
        <v>14</v>
      </c>
      <c r="U8" s="665">
        <f t="shared" si="1"/>
        <v>100</v>
      </c>
      <c r="V8" s="664" t="s">
        <v>14</v>
      </c>
      <c r="W8" s="665">
        <f t="shared" si="2"/>
        <v>100</v>
      </c>
      <c r="X8" s="666"/>
      <c r="Y8" s="3432" t="s">
        <v>1681</v>
      </c>
      <c r="Z8" s="3433"/>
      <c r="AA8" s="50">
        <f t="shared" ref="AA8:AA47" si="3">D8/F8</f>
        <v>1</v>
      </c>
      <c r="AB8" s="50">
        <f t="shared" ref="AB8:AB47" si="4">D8/H8</f>
        <v>1</v>
      </c>
      <c r="AC8" s="798">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46"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798">
        <f t="shared" si="5"/>
        <v>1</v>
      </c>
    </row>
    <row r="10" spans="1:29" s="366" customFormat="1" ht="28">
      <c r="A10" s="363"/>
      <c r="B10" s="364" t="s">
        <v>1686</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798">
        <f t="shared" si="5"/>
        <v>1</v>
      </c>
    </row>
    <row r="11" spans="1:29" ht="15.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46"/>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798">
        <f t="shared" si="5"/>
        <v>1</v>
      </c>
    </row>
    <row r="12" spans="1:29" s="102" customFormat="1" ht="15.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46"/>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798">
        <f>D12/J12</f>
        <v>1</v>
      </c>
    </row>
    <row r="13" spans="1:29" ht="15.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46"/>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798">
        <f t="shared" si="5"/>
        <v>1</v>
      </c>
    </row>
    <row r="14" spans="1:29" ht="16"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46"/>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798">
        <f t="shared" si="5"/>
        <v>1</v>
      </c>
    </row>
    <row r="15" spans="1:29" ht="15.5">
      <c r="A15" s="379" t="s">
        <v>1688</v>
      </c>
      <c r="B15" s="554" t="s">
        <v>1809</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72" t="s">
        <v>1689</v>
      </c>
      <c r="Q15" s="1259" t="str">
        <f t="shared" si="6"/>
        <v>办公集聚程度</v>
      </c>
      <c r="R15" s="667" t="s">
        <v>14</v>
      </c>
      <c r="S15" s="668">
        <f t="shared" si="0"/>
        <v>100</v>
      </c>
      <c r="T15" s="667" t="s">
        <v>14</v>
      </c>
      <c r="U15" s="668">
        <f t="shared" si="1"/>
        <v>100</v>
      </c>
      <c r="V15" s="667" t="s">
        <v>14</v>
      </c>
      <c r="W15" s="668">
        <f t="shared" si="2"/>
        <v>100</v>
      </c>
      <c r="X15" s="1261"/>
      <c r="Y15" s="3465" t="s">
        <v>1689</v>
      </c>
      <c r="Z15" s="1260" t="str">
        <f t="shared" si="7"/>
        <v>办公集聚程度</v>
      </c>
      <c r="AA15" s="1260">
        <f t="shared" si="3"/>
        <v>1</v>
      </c>
      <c r="AB15" s="1260">
        <f t="shared" si="4"/>
        <v>1</v>
      </c>
      <c r="AC15" s="1808">
        <f t="shared" si="5"/>
        <v>1</v>
      </c>
    </row>
    <row r="16" spans="1:29" ht="15.5">
      <c r="A16" s="367"/>
      <c r="B16" s="555"/>
      <c r="C16" s="1754"/>
      <c r="D16" s="387"/>
      <c r="E16" s="386"/>
      <c r="F16" s="387"/>
      <c r="G16" s="1754"/>
      <c r="H16" s="389"/>
      <c r="I16" s="386"/>
      <c r="J16" s="387"/>
      <c r="K16" s="541"/>
      <c r="L16" s="2488"/>
      <c r="M16" s="2483"/>
      <c r="N16" s="2483"/>
      <c r="O16" s="2483"/>
      <c r="P16" s="3473"/>
      <c r="Q16" s="1259"/>
      <c r="R16" s="667"/>
      <c r="S16" s="668"/>
      <c r="T16" s="667"/>
      <c r="U16" s="668"/>
      <c r="V16" s="667"/>
      <c r="W16" s="668"/>
      <c r="X16" s="1261"/>
      <c r="Y16" s="3466"/>
      <c r="Z16" s="1260"/>
      <c r="AA16" s="1260">
        <v>1</v>
      </c>
      <c r="AB16" s="1260">
        <v>1</v>
      </c>
      <c r="AC16" s="1808">
        <v>1</v>
      </c>
    </row>
    <row r="17" spans="1:29" ht="84">
      <c r="A17" s="367"/>
      <c r="B17" s="556" t="s">
        <v>1257</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73"/>
      <c r="Q17" s="1259" t="str">
        <f>B17</f>
        <v>交通便捷度</v>
      </c>
      <c r="R17" s="667" t="s">
        <v>14</v>
      </c>
      <c r="S17" s="668">
        <f>F17</f>
        <v>100</v>
      </c>
      <c r="T17" s="667" t="s">
        <v>14</v>
      </c>
      <c r="U17" s="668">
        <f>H17</f>
        <v>100</v>
      </c>
      <c r="V17" s="667" t="s">
        <v>14</v>
      </c>
      <c r="W17" s="668">
        <f>J17</f>
        <v>100</v>
      </c>
      <c r="X17" s="1261"/>
      <c r="Y17" s="3466"/>
      <c r="Z17" s="1260" t="str">
        <f>Q17</f>
        <v>交通便捷度</v>
      </c>
      <c r="AA17" s="1260">
        <f t="shared" si="3"/>
        <v>1</v>
      </c>
      <c r="AB17" s="1260">
        <f t="shared" si="4"/>
        <v>1</v>
      </c>
      <c r="AC17" s="1808">
        <f t="shared" si="5"/>
        <v>1</v>
      </c>
    </row>
    <row r="18" spans="1:29" ht="15.5">
      <c r="A18" s="367"/>
      <c r="B18" s="401"/>
      <c r="C18" s="1810"/>
      <c r="D18" s="389"/>
      <c r="E18" s="1752"/>
      <c r="F18" s="389"/>
      <c r="G18" s="1753"/>
      <c r="H18" s="387"/>
      <c r="I18" s="1753"/>
      <c r="J18" s="387"/>
      <c r="K18" s="541"/>
      <c r="L18" s="2488"/>
      <c r="M18" s="2483"/>
      <c r="N18" s="2483"/>
      <c r="O18" s="2483"/>
      <c r="P18" s="3473"/>
      <c r="Q18" s="1259"/>
      <c r="R18" s="667"/>
      <c r="S18" s="668"/>
      <c r="T18" s="667"/>
      <c r="U18" s="668"/>
      <c r="V18" s="667"/>
      <c r="W18" s="668"/>
      <c r="X18" s="1261"/>
      <c r="Y18" s="3466"/>
      <c r="Z18" s="1260"/>
      <c r="AA18" s="1260">
        <v>1</v>
      </c>
      <c r="AB18" s="1260">
        <v>1</v>
      </c>
      <c r="AC18" s="1808">
        <v>1</v>
      </c>
    </row>
    <row r="19" spans="1:29" ht="42">
      <c r="A19" s="367"/>
      <c r="B19" s="556" t="s">
        <v>1810</v>
      </c>
      <c r="C19" s="1809"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73"/>
      <c r="Q19" s="1259" t="str">
        <f>B19</f>
        <v>公共配套设施</v>
      </c>
      <c r="R19" s="667" t="s">
        <v>14</v>
      </c>
      <c r="S19" s="668">
        <f>F19</f>
        <v>100</v>
      </c>
      <c r="T19" s="667" t="s">
        <v>14</v>
      </c>
      <c r="U19" s="668">
        <f>H19</f>
        <v>100</v>
      </c>
      <c r="V19" s="667" t="s">
        <v>14</v>
      </c>
      <c r="W19" s="668">
        <f>J19</f>
        <v>100</v>
      </c>
      <c r="X19" s="1261"/>
      <c r="Y19" s="3466"/>
      <c r="Z19" s="1260" t="str">
        <f>Q19</f>
        <v>公共配套设施</v>
      </c>
      <c r="AA19" s="1260">
        <f t="shared" si="3"/>
        <v>1</v>
      </c>
      <c r="AB19" s="1260">
        <f t="shared" si="4"/>
        <v>1</v>
      </c>
      <c r="AC19" s="1808">
        <f t="shared" si="5"/>
        <v>1</v>
      </c>
    </row>
    <row r="20" spans="1:29" ht="15.5">
      <c r="A20" s="367"/>
      <c r="B20" s="401"/>
      <c r="C20" s="1754"/>
      <c r="D20" s="387"/>
      <c r="E20" s="1747"/>
      <c r="F20" s="387"/>
      <c r="G20" s="1748"/>
      <c r="H20" s="387"/>
      <c r="I20" s="1748"/>
      <c r="J20" s="387"/>
      <c r="K20" s="541"/>
      <c r="L20" s="2488"/>
      <c r="M20" s="2483"/>
      <c r="N20" s="2483"/>
      <c r="O20" s="2483"/>
      <c r="P20" s="3473"/>
      <c r="Q20" s="1259"/>
      <c r="R20" s="667"/>
      <c r="S20" s="668"/>
      <c r="T20" s="667"/>
      <c r="U20" s="668"/>
      <c r="V20" s="667"/>
      <c r="W20" s="668"/>
      <c r="X20" s="1261"/>
      <c r="Y20" s="3466"/>
      <c r="Z20" s="1260"/>
      <c r="AA20" s="1260">
        <v>1</v>
      </c>
      <c r="AB20" s="1260">
        <v>1</v>
      </c>
      <c r="AC20" s="1808">
        <v>1</v>
      </c>
    </row>
    <row r="21" spans="1:29" ht="28">
      <c r="A21" s="367"/>
      <c r="B21" s="557" t="s">
        <v>1811</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73"/>
      <c r="Q21" s="1259" t="str">
        <f>B21</f>
        <v>基础设施水平</v>
      </c>
      <c r="R21" s="667" t="s">
        <v>14</v>
      </c>
      <c r="S21" s="668">
        <f>F21</f>
        <v>100</v>
      </c>
      <c r="T21" s="667" t="s">
        <v>14</v>
      </c>
      <c r="U21" s="668">
        <f>H21</f>
        <v>100</v>
      </c>
      <c r="V21" s="667" t="s">
        <v>14</v>
      </c>
      <c r="W21" s="668">
        <f>J21</f>
        <v>100</v>
      </c>
      <c r="X21" s="1261"/>
      <c r="Y21" s="3466"/>
      <c r="Z21" s="1260" t="str">
        <f>Q21</f>
        <v>基础设施水平</v>
      </c>
      <c r="AA21" s="1260">
        <f t="shared" ref="AA21" si="8">D21/F21</f>
        <v>1</v>
      </c>
      <c r="AB21" s="1260">
        <f t="shared" ref="AB21" si="9">D21/H21</f>
        <v>1</v>
      </c>
      <c r="AC21" s="1808">
        <f t="shared" ref="AC21" si="10">D21/J21</f>
        <v>1</v>
      </c>
    </row>
    <row r="22" spans="1:29" ht="15.5">
      <c r="A22" s="367"/>
      <c r="B22" s="557"/>
      <c r="C22" s="1810"/>
      <c r="D22" s="387"/>
      <c r="E22" s="386"/>
      <c r="F22" s="387"/>
      <c r="G22" s="1754"/>
      <c r="H22" s="387"/>
      <c r="I22" s="1754"/>
      <c r="J22" s="387"/>
      <c r="K22" s="1060"/>
      <c r="L22" s="2488"/>
      <c r="M22" s="2483"/>
      <c r="N22" s="2483"/>
      <c r="O22" s="2483"/>
      <c r="P22" s="3473"/>
      <c r="Q22" s="1259"/>
      <c r="R22" s="667"/>
      <c r="S22" s="668"/>
      <c r="T22" s="667"/>
      <c r="U22" s="668"/>
      <c r="V22" s="667"/>
      <c r="W22" s="668"/>
      <c r="X22" s="1261"/>
      <c r="Y22" s="3466"/>
      <c r="Z22" s="1260"/>
      <c r="AA22" s="1260">
        <v>1</v>
      </c>
      <c r="AB22" s="1260">
        <v>1</v>
      </c>
      <c r="AC22" s="1808">
        <v>1</v>
      </c>
    </row>
    <row r="23" spans="1:29" ht="56">
      <c r="A23" s="367"/>
      <c r="B23" s="556" t="s">
        <v>1812</v>
      </c>
      <c r="C23" s="1809" t="str">
        <f>估价对象房地状况!C9</f>
        <v>区域自然环境：；人文环境；综合评价环境状况较好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73"/>
      <c r="Q23" s="1259" t="str">
        <f>B23</f>
        <v>环境质量</v>
      </c>
      <c r="R23" s="667" t="s">
        <v>14</v>
      </c>
      <c r="S23" s="668">
        <f>F23</f>
        <v>100</v>
      </c>
      <c r="T23" s="667" t="s">
        <v>14</v>
      </c>
      <c r="U23" s="668">
        <f>H23</f>
        <v>100</v>
      </c>
      <c r="V23" s="667" t="s">
        <v>14</v>
      </c>
      <c r="W23" s="668">
        <f>J23</f>
        <v>100</v>
      </c>
      <c r="X23" s="1261"/>
      <c r="Y23" s="3466"/>
      <c r="Z23" s="1260" t="str">
        <f>Q23</f>
        <v>环境质量</v>
      </c>
      <c r="AA23" s="1260">
        <f t="shared" si="3"/>
        <v>1</v>
      </c>
      <c r="AB23" s="1260">
        <f t="shared" si="4"/>
        <v>1</v>
      </c>
      <c r="AC23" s="1808">
        <f t="shared" si="5"/>
        <v>1</v>
      </c>
    </row>
    <row r="24" spans="1:29" ht="15.5">
      <c r="A24" s="367"/>
      <c r="B24" s="557"/>
      <c r="C24" s="1754"/>
      <c r="D24" s="387"/>
      <c r="E24" s="1747"/>
      <c r="F24" s="387"/>
      <c r="G24" s="1748"/>
      <c r="H24" s="387"/>
      <c r="I24" s="1748"/>
      <c r="J24" s="387"/>
      <c r="K24" s="541"/>
      <c r="L24" s="2488"/>
      <c r="M24" s="2483"/>
      <c r="N24" s="2483"/>
      <c r="O24" s="2483"/>
      <c r="P24" s="3473"/>
      <c r="Q24" s="1259"/>
      <c r="R24" s="667"/>
      <c r="S24" s="668"/>
      <c r="T24" s="667"/>
      <c r="U24" s="668"/>
      <c r="V24" s="667"/>
      <c r="W24" s="668"/>
      <c r="X24" s="1261"/>
      <c r="Y24" s="3466"/>
      <c r="Z24" s="1260"/>
      <c r="AA24" s="1260">
        <v>1</v>
      </c>
      <c r="AB24" s="1260">
        <v>1</v>
      </c>
      <c r="AC24" s="1808">
        <v>1</v>
      </c>
    </row>
    <row r="25" spans="1:29" ht="28">
      <c r="A25" s="348"/>
      <c r="B25" s="556" t="s">
        <v>1813</v>
      </c>
      <c r="C25" s="1758"/>
      <c r="D25" s="374">
        <v>100</v>
      </c>
      <c r="E25" s="373"/>
      <c r="F25" s="374">
        <f>SUMIF(87:87,E26,88:88)-SUMIF(87:87,C26,88:88)+100</f>
        <v>100</v>
      </c>
      <c r="G25" s="1758"/>
      <c r="H25" s="374">
        <f>SUMIF(87:87,G26,88:88)-SUMIF(87:87,C26,88:88)+100</f>
        <v>100</v>
      </c>
      <c r="I25" s="373"/>
      <c r="J25" s="374">
        <f>SUMIF(87:87,I26,88:88)-SUMIF(87:87,C26,88:88)+100</f>
        <v>100</v>
      </c>
      <c r="K25" s="540"/>
      <c r="L25" s="2488"/>
      <c r="M25" s="2483"/>
      <c r="N25" s="2483"/>
      <c r="O25" s="2483"/>
      <c r="P25" s="3473"/>
      <c r="Q25" s="1259" t="str">
        <f>B25</f>
        <v>毗邻道路的类型与等级</v>
      </c>
      <c r="R25" s="667" t="s">
        <v>14</v>
      </c>
      <c r="S25" s="668">
        <f>F25</f>
        <v>100</v>
      </c>
      <c r="T25" s="667" t="s">
        <v>14</v>
      </c>
      <c r="U25" s="668">
        <f>H25</f>
        <v>100</v>
      </c>
      <c r="V25" s="667" t="s">
        <v>14</v>
      </c>
      <c r="W25" s="668">
        <f>J25</f>
        <v>100</v>
      </c>
      <c r="X25" s="1261"/>
      <c r="Y25" s="3466"/>
      <c r="Z25" s="1260" t="str">
        <f>Q25</f>
        <v>毗邻道路的类型与等级</v>
      </c>
      <c r="AA25" s="1260">
        <f t="shared" si="3"/>
        <v>1</v>
      </c>
      <c r="AB25" s="1260">
        <f t="shared" si="4"/>
        <v>1</v>
      </c>
      <c r="AC25" s="1808">
        <f t="shared" si="5"/>
        <v>1</v>
      </c>
    </row>
    <row r="26" spans="1:29" ht="15.5">
      <c r="A26" s="348"/>
      <c r="B26" s="401"/>
      <c r="C26" s="558"/>
      <c r="D26" s="374"/>
      <c r="E26" s="542"/>
      <c r="F26" s="374"/>
      <c r="G26" s="558"/>
      <c r="H26" s="374"/>
      <c r="I26" s="542"/>
      <c r="J26" s="374"/>
      <c r="K26" s="541"/>
      <c r="L26" s="2488"/>
      <c r="M26" s="2483"/>
      <c r="N26" s="2483"/>
      <c r="O26" s="2483"/>
      <c r="P26" s="3473"/>
      <c r="Q26" s="1259"/>
      <c r="R26" s="667"/>
      <c r="S26" s="668"/>
      <c r="T26" s="667"/>
      <c r="U26" s="668"/>
      <c r="V26" s="667"/>
      <c r="W26" s="668"/>
      <c r="X26" s="1261"/>
      <c r="Y26" s="3466"/>
      <c r="Z26" s="1260"/>
      <c r="AA26" s="1260">
        <v>1</v>
      </c>
      <c r="AB26" s="1260">
        <v>1</v>
      </c>
      <c r="AC26" s="1808">
        <v>1</v>
      </c>
    </row>
    <row r="27" spans="1:29" ht="15.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73"/>
      <c r="Q27" s="1259" t="str">
        <f t="shared" ref="Q27:Q47" si="11">B27</f>
        <v>楼层</v>
      </c>
      <c r="R27" s="667" t="s">
        <v>14</v>
      </c>
      <c r="S27" s="668">
        <f>F27</f>
        <v>100</v>
      </c>
      <c r="T27" s="667" t="s">
        <v>14</v>
      </c>
      <c r="U27" s="668">
        <f>H27</f>
        <v>100</v>
      </c>
      <c r="V27" s="667" t="s">
        <v>14</v>
      </c>
      <c r="W27" s="668">
        <f>J27</f>
        <v>100</v>
      </c>
      <c r="X27" s="1261"/>
      <c r="Y27" s="3466"/>
      <c r="Z27" s="1260" t="str">
        <f>Q27</f>
        <v>楼层</v>
      </c>
      <c r="AA27" s="1260">
        <f t="shared" si="3"/>
        <v>1</v>
      </c>
      <c r="AB27" s="1260">
        <f t="shared" si="4"/>
        <v>1</v>
      </c>
      <c r="AC27" s="1808">
        <f t="shared" si="5"/>
        <v>1</v>
      </c>
    </row>
    <row r="28" spans="1:29" s="102" customFormat="1" ht="15.5">
      <c r="A28" s="370"/>
      <c r="B28" s="556" t="s">
        <v>1814</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73"/>
      <c r="Q28" s="530" t="str">
        <f t="shared" si="11"/>
        <v>朝向</v>
      </c>
      <c r="R28" s="664" t="s">
        <v>14</v>
      </c>
      <c r="S28" s="665">
        <f>F28</f>
        <v>100</v>
      </c>
      <c r="T28" s="664" t="s">
        <v>14</v>
      </c>
      <c r="U28" s="665">
        <f>H28</f>
        <v>100</v>
      </c>
      <c r="V28" s="664" t="s">
        <v>14</v>
      </c>
      <c r="W28" s="665">
        <f>J28</f>
        <v>100</v>
      </c>
      <c r="X28" s="666"/>
      <c r="Y28" s="3466"/>
      <c r="Z28" s="50" t="str">
        <f>Q28</f>
        <v>朝向</v>
      </c>
      <c r="AA28" s="1260">
        <f>D28/F28</f>
        <v>1</v>
      </c>
      <c r="AB28" s="1260">
        <f>D28/H28</f>
        <v>1</v>
      </c>
      <c r="AC28" s="1808">
        <f>D28/J28</f>
        <v>1</v>
      </c>
    </row>
    <row r="29" spans="1:29" ht="15.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73"/>
      <c r="Q29" s="1259">
        <f t="shared" si="11"/>
        <v>111</v>
      </c>
      <c r="R29" s="667" t="s">
        <v>14</v>
      </c>
      <c r="S29" s="668">
        <f t="shared" ref="S29:S47" si="12">F29</f>
        <v>100</v>
      </c>
      <c r="T29" s="667" t="s">
        <v>14</v>
      </c>
      <c r="U29" s="668">
        <f t="shared" ref="U29:U47" si="13">H29</f>
        <v>100</v>
      </c>
      <c r="V29" s="667" t="s">
        <v>14</v>
      </c>
      <c r="W29" s="668">
        <f t="shared" ref="W29:W47" si="14">J29</f>
        <v>100</v>
      </c>
      <c r="X29" s="1261"/>
      <c r="Y29" s="3466"/>
      <c r="Z29" s="1260">
        <f t="shared" ref="Z29:Z47" si="15">Q29</f>
        <v>111</v>
      </c>
      <c r="AA29" s="1260">
        <f t="shared" si="3"/>
        <v>1</v>
      </c>
      <c r="AB29" s="1260">
        <f t="shared" si="4"/>
        <v>1</v>
      </c>
      <c r="AC29" s="1808">
        <f t="shared" si="5"/>
        <v>1</v>
      </c>
    </row>
    <row r="30" spans="1:29" ht="15.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73"/>
      <c r="Q30" s="1259">
        <f t="shared" si="11"/>
        <v>111</v>
      </c>
      <c r="R30" s="667" t="s">
        <v>14</v>
      </c>
      <c r="S30" s="668">
        <f t="shared" si="12"/>
        <v>100</v>
      </c>
      <c r="T30" s="667" t="s">
        <v>14</v>
      </c>
      <c r="U30" s="668">
        <f t="shared" si="13"/>
        <v>100</v>
      </c>
      <c r="V30" s="667" t="s">
        <v>14</v>
      </c>
      <c r="W30" s="668">
        <f t="shared" si="14"/>
        <v>100</v>
      </c>
      <c r="X30" s="1261"/>
      <c r="Y30" s="3466"/>
      <c r="Z30" s="1260">
        <f t="shared" si="15"/>
        <v>111</v>
      </c>
      <c r="AA30" s="1260">
        <f t="shared" si="3"/>
        <v>1</v>
      </c>
      <c r="AB30" s="1260">
        <f t="shared" si="4"/>
        <v>1</v>
      </c>
      <c r="AC30" s="1808">
        <f t="shared" si="5"/>
        <v>1</v>
      </c>
    </row>
    <row r="31" spans="1:29" ht="15.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73"/>
      <c r="Q31" s="1259">
        <f t="shared" si="11"/>
        <v>111</v>
      </c>
      <c r="R31" s="667" t="s">
        <v>14</v>
      </c>
      <c r="S31" s="668">
        <f t="shared" si="12"/>
        <v>100</v>
      </c>
      <c r="T31" s="667" t="s">
        <v>14</v>
      </c>
      <c r="U31" s="668">
        <f t="shared" si="13"/>
        <v>100</v>
      </c>
      <c r="V31" s="667" t="s">
        <v>14</v>
      </c>
      <c r="W31" s="668">
        <f t="shared" si="14"/>
        <v>100</v>
      </c>
      <c r="X31" s="1261"/>
      <c r="Y31" s="3466"/>
      <c r="Z31" s="1260">
        <f t="shared" si="15"/>
        <v>111</v>
      </c>
      <c r="AA31" s="1260">
        <f t="shared" si="3"/>
        <v>1</v>
      </c>
      <c r="AB31" s="1260">
        <f t="shared" si="4"/>
        <v>1</v>
      </c>
      <c r="AC31" s="1808">
        <f t="shared" si="5"/>
        <v>1</v>
      </c>
    </row>
    <row r="32" spans="1:29" ht="1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73"/>
      <c r="Q32" s="1259">
        <f t="shared" si="11"/>
        <v>111</v>
      </c>
      <c r="R32" s="667" t="s">
        <v>14</v>
      </c>
      <c r="S32" s="668">
        <f t="shared" si="12"/>
        <v>100</v>
      </c>
      <c r="T32" s="667" t="s">
        <v>14</v>
      </c>
      <c r="U32" s="668">
        <f t="shared" si="13"/>
        <v>100</v>
      </c>
      <c r="V32" s="667" t="s">
        <v>14</v>
      </c>
      <c r="W32" s="668">
        <f t="shared" si="14"/>
        <v>100</v>
      </c>
      <c r="X32" s="1261"/>
      <c r="Y32" s="3466"/>
      <c r="Z32" s="1260">
        <f t="shared" si="15"/>
        <v>111</v>
      </c>
      <c r="AA32" s="1260">
        <f t="shared" si="3"/>
        <v>1</v>
      </c>
      <c r="AB32" s="1260">
        <f t="shared" si="4"/>
        <v>1</v>
      </c>
      <c r="AC32" s="1808">
        <f t="shared" si="5"/>
        <v>1</v>
      </c>
    </row>
    <row r="33" spans="1:29" ht="15.5">
      <c r="A33" s="379" t="s">
        <v>1692</v>
      </c>
      <c r="B33" s="60" t="s">
        <v>1815</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8"/>
      <c r="M33" s="2483"/>
      <c r="N33" s="2483"/>
      <c r="O33" s="2483"/>
      <c r="P33" s="3467" t="s">
        <v>1694</v>
      </c>
      <c r="Q33" s="1259" t="str">
        <f t="shared" si="11"/>
        <v>建筑类型</v>
      </c>
      <c r="R33" s="667" t="s">
        <v>14</v>
      </c>
      <c r="S33" s="668">
        <f t="shared" si="12"/>
        <v>100</v>
      </c>
      <c r="T33" s="667" t="s">
        <v>14</v>
      </c>
      <c r="U33" s="668">
        <f t="shared" si="13"/>
        <v>100</v>
      </c>
      <c r="V33" s="667" t="s">
        <v>14</v>
      </c>
      <c r="W33" s="668">
        <f t="shared" si="14"/>
        <v>100</v>
      </c>
      <c r="X33" s="1261"/>
      <c r="Y33" s="3470" t="s">
        <v>1694</v>
      </c>
      <c r="Z33" s="1260" t="str">
        <f t="shared" si="15"/>
        <v>建筑类型</v>
      </c>
      <c r="AA33" s="1260">
        <f t="shared" si="3"/>
        <v>1</v>
      </c>
      <c r="AB33" s="1260">
        <f t="shared" si="4"/>
        <v>1</v>
      </c>
      <c r="AC33" s="1808">
        <f t="shared" si="5"/>
        <v>1</v>
      </c>
    </row>
    <row r="34" spans="1:29" s="408" customFormat="1" ht="15.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68"/>
      <c r="Q34" s="531" t="str">
        <f t="shared" si="11"/>
        <v>项目建筑规模</v>
      </c>
      <c r="R34" s="669" t="s">
        <v>14</v>
      </c>
      <c r="S34" s="670" t="e">
        <f t="shared" si="12"/>
        <v>#N/A</v>
      </c>
      <c r="T34" s="669" t="s">
        <v>14</v>
      </c>
      <c r="U34" s="670" t="e">
        <f t="shared" si="13"/>
        <v>#N/A</v>
      </c>
      <c r="V34" s="669" t="s">
        <v>14</v>
      </c>
      <c r="W34" s="670" t="e">
        <f t="shared" si="14"/>
        <v>#N/A</v>
      </c>
      <c r="X34" s="671"/>
      <c r="Y34" s="3470"/>
      <c r="Z34" s="672" t="str">
        <f t="shared" si="15"/>
        <v>项目建筑规模</v>
      </c>
      <c r="AA34" s="1260" t="e">
        <f t="shared" si="3"/>
        <v>#N/A</v>
      </c>
      <c r="AB34" s="1260" t="e">
        <f t="shared" si="4"/>
        <v>#N/A</v>
      </c>
      <c r="AC34" s="1808" t="e">
        <f t="shared" si="5"/>
        <v>#N/A</v>
      </c>
    </row>
    <row r="35" spans="1:29" ht="15.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68"/>
      <c r="Q35" s="1259" t="str">
        <f t="shared" si="11"/>
        <v>建筑结构</v>
      </c>
      <c r="R35" s="667" t="s">
        <v>14</v>
      </c>
      <c r="S35" s="668">
        <f t="shared" si="12"/>
        <v>100</v>
      </c>
      <c r="T35" s="667" t="s">
        <v>14</v>
      </c>
      <c r="U35" s="668">
        <f t="shared" si="13"/>
        <v>100</v>
      </c>
      <c r="V35" s="667" t="s">
        <v>14</v>
      </c>
      <c r="W35" s="668">
        <f t="shared" si="14"/>
        <v>100</v>
      </c>
      <c r="X35" s="1261"/>
      <c r="Y35" s="3470"/>
      <c r="Z35" s="1260" t="str">
        <f t="shared" si="15"/>
        <v>建筑结构</v>
      </c>
      <c r="AA35" s="1260">
        <f t="shared" si="3"/>
        <v>1</v>
      </c>
      <c r="AB35" s="1260">
        <f t="shared" si="4"/>
        <v>1</v>
      </c>
      <c r="AC35" s="1808">
        <f t="shared" si="5"/>
        <v>1</v>
      </c>
    </row>
    <row r="36" spans="1:29" ht="15.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8"/>
      <c r="Q36" s="1259" t="str">
        <f t="shared" si="11"/>
        <v>公共部分装修</v>
      </c>
      <c r="R36" s="667" t="s">
        <v>14</v>
      </c>
      <c r="S36" s="668">
        <f t="shared" si="12"/>
        <v>100</v>
      </c>
      <c r="T36" s="667" t="s">
        <v>14</v>
      </c>
      <c r="U36" s="668">
        <f t="shared" si="13"/>
        <v>100</v>
      </c>
      <c r="V36" s="667" t="s">
        <v>14</v>
      </c>
      <c r="W36" s="668">
        <f t="shared" si="14"/>
        <v>100</v>
      </c>
      <c r="X36" s="1261"/>
      <c r="Y36" s="3470"/>
      <c r="Z36" s="1260" t="str">
        <f t="shared" si="15"/>
        <v>公共部分装修</v>
      </c>
      <c r="AA36" s="1260">
        <f t="shared" si="3"/>
        <v>1</v>
      </c>
      <c r="AB36" s="1260">
        <f t="shared" si="4"/>
        <v>1</v>
      </c>
      <c r="AC36" s="1808">
        <f t="shared" si="5"/>
        <v>1</v>
      </c>
    </row>
    <row r="37" spans="1:29" ht="15.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68"/>
      <c r="Q37" s="1259" t="str">
        <f t="shared" si="11"/>
        <v>成新度</v>
      </c>
      <c r="R37" s="667" t="s">
        <v>14</v>
      </c>
      <c r="S37" s="668" t="e">
        <f t="shared" si="12"/>
        <v>#N/A</v>
      </c>
      <c r="T37" s="667" t="s">
        <v>14</v>
      </c>
      <c r="U37" s="668" t="e">
        <f t="shared" si="13"/>
        <v>#N/A</v>
      </c>
      <c r="V37" s="667" t="s">
        <v>14</v>
      </c>
      <c r="W37" s="668" t="e">
        <f t="shared" si="14"/>
        <v>#N/A</v>
      </c>
      <c r="X37" s="1261"/>
      <c r="Y37" s="3470"/>
      <c r="Z37" s="1260" t="str">
        <f t="shared" si="15"/>
        <v>成新度</v>
      </c>
      <c r="AA37" s="1260" t="e">
        <f t="shared" si="3"/>
        <v>#N/A</v>
      </c>
      <c r="AB37" s="1260" t="e">
        <f t="shared" si="4"/>
        <v>#N/A</v>
      </c>
      <c r="AC37" s="1808" t="e">
        <f t="shared" si="5"/>
        <v>#N/A</v>
      </c>
    </row>
    <row r="38" spans="1:29" s="102" customFormat="1" ht="15.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68"/>
      <c r="Q38" s="530" t="str">
        <f t="shared" si="11"/>
        <v>写字楼等级</v>
      </c>
      <c r="R38" s="664" t="s">
        <v>14</v>
      </c>
      <c r="S38" s="665">
        <f t="shared" si="12"/>
        <v>100</v>
      </c>
      <c r="T38" s="664" t="s">
        <v>14</v>
      </c>
      <c r="U38" s="665">
        <f t="shared" si="13"/>
        <v>100</v>
      </c>
      <c r="V38" s="664" t="s">
        <v>14</v>
      </c>
      <c r="W38" s="665">
        <f t="shared" si="14"/>
        <v>100</v>
      </c>
      <c r="X38" s="666"/>
      <c r="Y38" s="3470"/>
      <c r="Z38" s="50" t="str">
        <f t="shared" si="15"/>
        <v>写字楼等级</v>
      </c>
      <c r="AA38" s="50">
        <f t="shared" si="3"/>
        <v>1</v>
      </c>
      <c r="AB38" s="50">
        <f t="shared" si="4"/>
        <v>1</v>
      </c>
      <c r="AC38" s="798">
        <f t="shared" si="5"/>
        <v>1</v>
      </c>
    </row>
    <row r="39" spans="1:29" ht="15.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68" t="s">
        <v>1694</v>
      </c>
      <c r="Q39" s="1259" t="str">
        <f t="shared" si="11"/>
        <v>物业管理</v>
      </c>
      <c r="R39" s="667" t="s">
        <v>14</v>
      </c>
      <c r="S39" s="668">
        <f t="shared" si="12"/>
        <v>100</v>
      </c>
      <c r="T39" s="667" t="s">
        <v>14</v>
      </c>
      <c r="U39" s="668">
        <f t="shared" si="13"/>
        <v>100</v>
      </c>
      <c r="V39" s="667" t="s">
        <v>14</v>
      </c>
      <c r="W39" s="668">
        <f t="shared" si="14"/>
        <v>100</v>
      </c>
      <c r="X39" s="1261"/>
      <c r="Y39" s="3470" t="s">
        <v>1694</v>
      </c>
      <c r="Z39" s="1260" t="str">
        <f t="shared" si="15"/>
        <v>物业管理</v>
      </c>
      <c r="AA39" s="1260">
        <f t="shared" si="3"/>
        <v>1</v>
      </c>
      <c r="AB39" s="1260">
        <f t="shared" si="4"/>
        <v>1</v>
      </c>
      <c r="AC39" s="1808">
        <f t="shared" si="5"/>
        <v>1</v>
      </c>
    </row>
    <row r="40" spans="1:29" ht="15.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68"/>
      <c r="Q40" s="1259" t="str">
        <f t="shared" si="11"/>
        <v>市政基础设施</v>
      </c>
      <c r="R40" s="667" t="s">
        <v>14</v>
      </c>
      <c r="S40" s="668">
        <f t="shared" si="12"/>
        <v>100</v>
      </c>
      <c r="T40" s="667" t="s">
        <v>14</v>
      </c>
      <c r="U40" s="668">
        <f t="shared" si="13"/>
        <v>100</v>
      </c>
      <c r="V40" s="667" t="s">
        <v>14</v>
      </c>
      <c r="W40" s="668">
        <f t="shared" si="14"/>
        <v>100</v>
      </c>
      <c r="X40" s="1261"/>
      <c r="Y40" s="3470"/>
      <c r="Z40" s="1260" t="str">
        <f t="shared" si="15"/>
        <v>市政基础设施</v>
      </c>
      <c r="AA40" s="1260">
        <f t="shared" si="3"/>
        <v>1</v>
      </c>
      <c r="AB40" s="1260">
        <f t="shared" si="4"/>
        <v>1</v>
      </c>
      <c r="AC40" s="1808">
        <f t="shared" si="5"/>
        <v>1</v>
      </c>
    </row>
    <row r="41" spans="1:29" ht="15.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68"/>
      <c r="Q41" s="1259" t="str">
        <f t="shared" si="11"/>
        <v>层高</v>
      </c>
      <c r="R41" s="667" t="s">
        <v>14</v>
      </c>
      <c r="S41" s="668">
        <f t="shared" si="12"/>
        <v>100</v>
      </c>
      <c r="T41" s="667" t="s">
        <v>14</v>
      </c>
      <c r="U41" s="668">
        <f t="shared" si="13"/>
        <v>100</v>
      </c>
      <c r="V41" s="667" t="s">
        <v>14</v>
      </c>
      <c r="W41" s="668">
        <f t="shared" si="14"/>
        <v>100</v>
      </c>
      <c r="X41" s="1261"/>
      <c r="Y41" s="3470"/>
      <c r="Z41" s="1260" t="str">
        <f t="shared" si="15"/>
        <v>层高</v>
      </c>
      <c r="AA41" s="1260">
        <f t="shared" si="3"/>
        <v>1</v>
      </c>
      <c r="AB41" s="1260">
        <f t="shared" si="4"/>
        <v>1</v>
      </c>
      <c r="AC41" s="1808">
        <f t="shared" si="5"/>
        <v>1</v>
      </c>
    </row>
    <row r="42" spans="1:29" s="408" customFormat="1" ht="15.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8"/>
      <c r="Q42" s="531" t="str">
        <f t="shared" si="11"/>
        <v>单套建筑面积</v>
      </c>
      <c r="R42" s="669" t="s">
        <v>14</v>
      </c>
      <c r="S42" s="670">
        <f t="shared" si="12"/>
        <v>100</v>
      </c>
      <c r="T42" s="669" t="s">
        <v>14</v>
      </c>
      <c r="U42" s="670">
        <f t="shared" si="13"/>
        <v>100</v>
      </c>
      <c r="V42" s="669" t="s">
        <v>14</v>
      </c>
      <c r="W42" s="670">
        <f t="shared" si="14"/>
        <v>100</v>
      </c>
      <c r="X42" s="671"/>
      <c r="Y42" s="3470"/>
      <c r="Z42" s="672" t="str">
        <f t="shared" si="15"/>
        <v>单套建筑面积</v>
      </c>
      <c r="AA42" s="1260">
        <f t="shared" si="3"/>
        <v>1</v>
      </c>
      <c r="AB42" s="1260">
        <f t="shared" si="4"/>
        <v>1</v>
      </c>
      <c r="AC42" s="1808">
        <f t="shared" si="5"/>
        <v>1</v>
      </c>
    </row>
    <row r="43" spans="1:29" ht="15.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68"/>
      <c r="Q43" s="1259" t="str">
        <f t="shared" si="11"/>
        <v>内部装修</v>
      </c>
      <c r="R43" s="667" t="s">
        <v>14</v>
      </c>
      <c r="S43" s="668">
        <f t="shared" si="12"/>
        <v>100</v>
      </c>
      <c r="T43" s="667" t="s">
        <v>14</v>
      </c>
      <c r="U43" s="668">
        <f t="shared" si="13"/>
        <v>100</v>
      </c>
      <c r="V43" s="667" t="s">
        <v>14</v>
      </c>
      <c r="W43" s="668">
        <f t="shared" si="14"/>
        <v>100</v>
      </c>
      <c r="X43" s="1261"/>
      <c r="Y43" s="3470"/>
      <c r="Z43" s="1260" t="str">
        <f t="shared" si="15"/>
        <v>内部装修</v>
      </c>
      <c r="AA43" s="1260">
        <f t="shared" si="3"/>
        <v>1</v>
      </c>
      <c r="AB43" s="1260">
        <f t="shared" si="4"/>
        <v>1</v>
      </c>
      <c r="AC43" s="1808">
        <f t="shared" si="5"/>
        <v>1</v>
      </c>
    </row>
    <row r="44" spans="1:29" ht="28">
      <c r="A44" s="409"/>
      <c r="B44" s="364" t="s">
        <v>1705</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8"/>
      <c r="M44" s="2483"/>
      <c r="N44" s="2483"/>
      <c r="O44" s="2483"/>
      <c r="P44" s="3468"/>
      <c r="Q44" s="1259" t="str">
        <f t="shared" si="11"/>
        <v>内部装修维护情况</v>
      </c>
      <c r="R44" s="667" t="s">
        <v>14</v>
      </c>
      <c r="S44" s="668">
        <f t="shared" si="12"/>
        <v>100</v>
      </c>
      <c r="T44" s="667" t="s">
        <v>14</v>
      </c>
      <c r="U44" s="668">
        <f t="shared" si="13"/>
        <v>100</v>
      </c>
      <c r="V44" s="667" t="s">
        <v>14</v>
      </c>
      <c r="W44" s="668">
        <f t="shared" si="14"/>
        <v>100</v>
      </c>
      <c r="X44" s="1261"/>
      <c r="Y44" s="3470"/>
      <c r="Z44" s="1260" t="str">
        <f t="shared" si="15"/>
        <v>内部装修维护情况</v>
      </c>
      <c r="AA44" s="1260">
        <f t="shared" si="3"/>
        <v>1</v>
      </c>
      <c r="AB44" s="1260">
        <f t="shared" si="4"/>
        <v>1</v>
      </c>
      <c r="AC44" s="1808">
        <f t="shared" si="5"/>
        <v>1</v>
      </c>
    </row>
    <row r="45" spans="1:29" s="102" customFormat="1" ht="15.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68"/>
      <c r="Q45" s="530">
        <f t="shared" si="11"/>
        <v>111</v>
      </c>
      <c r="R45" s="664" t="s">
        <v>14</v>
      </c>
      <c r="S45" s="665">
        <f t="shared" si="12"/>
        <v>100</v>
      </c>
      <c r="T45" s="664" t="s">
        <v>14</v>
      </c>
      <c r="U45" s="665">
        <f t="shared" si="13"/>
        <v>100</v>
      </c>
      <c r="V45" s="664" t="s">
        <v>14</v>
      </c>
      <c r="W45" s="665">
        <f t="shared" si="14"/>
        <v>100</v>
      </c>
      <c r="X45" s="666"/>
      <c r="Y45" s="3470"/>
      <c r="Z45" s="50">
        <f t="shared" si="15"/>
        <v>111</v>
      </c>
      <c r="AA45" s="50">
        <f t="shared" si="3"/>
        <v>1</v>
      </c>
      <c r="AB45" s="50">
        <f t="shared" si="4"/>
        <v>1</v>
      </c>
      <c r="AC45" s="798">
        <f t="shared" si="5"/>
        <v>1</v>
      </c>
    </row>
    <row r="46" spans="1:29" ht="15.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68"/>
      <c r="Q46" s="1259">
        <f t="shared" si="11"/>
        <v>111</v>
      </c>
      <c r="R46" s="667" t="s">
        <v>14</v>
      </c>
      <c r="S46" s="668">
        <f t="shared" si="12"/>
        <v>100</v>
      </c>
      <c r="T46" s="667" t="s">
        <v>14</v>
      </c>
      <c r="U46" s="668">
        <f t="shared" si="13"/>
        <v>100</v>
      </c>
      <c r="V46" s="667" t="s">
        <v>14</v>
      </c>
      <c r="W46" s="668">
        <f t="shared" si="14"/>
        <v>100</v>
      </c>
      <c r="X46" s="1261"/>
      <c r="Y46" s="3470"/>
      <c r="Z46" s="1260">
        <f t="shared" si="15"/>
        <v>111</v>
      </c>
      <c r="AA46" s="1260">
        <f t="shared" si="3"/>
        <v>1</v>
      </c>
      <c r="AB46" s="1260">
        <f t="shared" si="4"/>
        <v>1</v>
      </c>
      <c r="AC46" s="1808">
        <f t="shared" si="5"/>
        <v>1</v>
      </c>
    </row>
    <row r="47" spans="1:29" ht="1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69"/>
      <c r="Q47" s="1259">
        <f t="shared" si="11"/>
        <v>111</v>
      </c>
      <c r="R47" s="667" t="s">
        <v>14</v>
      </c>
      <c r="S47" s="668">
        <f t="shared" si="12"/>
        <v>100</v>
      </c>
      <c r="T47" s="667" t="s">
        <v>14</v>
      </c>
      <c r="U47" s="668">
        <f t="shared" si="13"/>
        <v>100</v>
      </c>
      <c r="V47" s="667" t="s">
        <v>14</v>
      </c>
      <c r="W47" s="668">
        <f t="shared" si="14"/>
        <v>100</v>
      </c>
      <c r="X47" s="1261"/>
      <c r="Y47" s="3471"/>
      <c r="Z47" s="1260">
        <f t="shared" si="15"/>
        <v>111</v>
      </c>
      <c r="AA47" s="1260">
        <f t="shared" si="3"/>
        <v>1</v>
      </c>
      <c r="AB47" s="1260">
        <f t="shared" si="4"/>
        <v>1</v>
      </c>
      <c r="AC47" s="1808">
        <f t="shared" si="5"/>
        <v>1</v>
      </c>
    </row>
    <row r="48" spans="1:29">
      <c r="A48" s="416" t="s">
        <v>1706</v>
      </c>
      <c r="B48" s="417"/>
      <c r="C48" s="1077" t="s">
        <v>0</v>
      </c>
      <c r="D48" s="418"/>
      <c r="E48" s="419"/>
      <c r="F48" s="420"/>
      <c r="G48" s="421"/>
      <c r="H48" s="422"/>
      <c r="I48" s="419"/>
      <c r="J48" s="422"/>
      <c r="K48" s="674"/>
      <c r="L48" s="2490"/>
      <c r="M48" s="2483"/>
      <c r="N48" s="2483"/>
      <c r="O48" s="2483"/>
      <c r="P48" s="3446" t="str">
        <f>A48</f>
        <v>成交单价（元/平方米）</v>
      </c>
      <c r="Q48" s="3464"/>
      <c r="R48" s="3459">
        <f>E48</f>
        <v>0</v>
      </c>
      <c r="S48" s="3459"/>
      <c r="T48" s="3459">
        <f>G48</f>
        <v>0</v>
      </c>
      <c r="U48" s="3459"/>
      <c r="V48" s="3459">
        <f>I48</f>
        <v>0</v>
      </c>
      <c r="W48" s="3459"/>
      <c r="X48" s="385"/>
      <c r="Y48" s="673"/>
      <c r="Z48" s="385"/>
      <c r="AA48" s="385"/>
      <c r="AB48" s="385"/>
      <c r="AC48" s="555"/>
    </row>
    <row r="49" spans="1:29" ht="14.5" thickBot="1">
      <c r="A49" s="423" t="s">
        <v>1791</v>
      </c>
      <c r="B49" s="424"/>
      <c r="C49" s="1078" t="e">
        <f>R50</f>
        <v>#DIV/0!</v>
      </c>
      <c r="D49" s="2137" t="s">
        <v>2136</v>
      </c>
      <c r="E49" s="1079" t="e">
        <f>R49</f>
        <v>#DIV/0!</v>
      </c>
      <c r="F49" s="2138"/>
      <c r="G49" s="1078" t="e">
        <f>T49</f>
        <v>#DIV/0!</v>
      </c>
      <c r="H49" s="2138"/>
      <c r="I49" s="1079" t="e">
        <f>V49</f>
        <v>#DIV/0!</v>
      </c>
      <c r="J49" s="2138"/>
      <c r="K49" s="2140">
        <f>F49+H49+J49</f>
        <v>0</v>
      </c>
      <c r="L49" s="2490"/>
      <c r="M49" s="2483"/>
      <c r="N49" s="2483"/>
      <c r="O49" s="2483"/>
      <c r="P49" s="3446" t="str">
        <f>A49</f>
        <v>比较价值（元/平方米）</v>
      </c>
      <c r="Q49" s="3464"/>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85"/>
      <c r="Y49" s="385"/>
      <c r="Z49" s="385"/>
      <c r="AA49" s="385"/>
      <c r="AB49" s="385"/>
      <c r="AC49" s="555"/>
    </row>
    <row r="50" spans="1:29" ht="14.5" thickBot="1">
      <c r="A50" s="427" t="s">
        <v>1792</v>
      </c>
      <c r="B50" s="428"/>
      <c r="C50" s="351" t="e">
        <f>R50</f>
        <v>#DIV/0!</v>
      </c>
      <c r="D50" s="351"/>
      <c r="E50" s="351"/>
      <c r="F50" s="351"/>
      <c r="G50" s="351"/>
      <c r="H50" s="351"/>
      <c r="I50" s="351"/>
      <c r="J50" s="429"/>
      <c r="K50" s="675"/>
      <c r="L50" s="2490"/>
      <c r="M50" s="2483"/>
      <c r="N50" s="2483"/>
      <c r="O50" s="2483"/>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5" thickBot="1">
      <c r="A58" s="658" t="s">
        <v>1796</v>
      </c>
      <c r="B58" s="385"/>
      <c r="C58" s="659"/>
      <c r="D58" s="659"/>
      <c r="E58" s="659"/>
      <c r="F58" s="660"/>
      <c r="G58" s="660"/>
      <c r="H58" s="659"/>
      <c r="I58" s="659"/>
      <c r="J58" s="659"/>
      <c r="K58" s="661"/>
      <c r="L58" s="884"/>
      <c r="M58" s="882"/>
      <c r="N58" s="2533"/>
      <c r="O58" s="2533"/>
      <c r="P58" s="2522"/>
      <c r="Q58" s="2504"/>
      <c r="R58" s="2483"/>
      <c r="S58" s="2483"/>
      <c r="T58" s="2483"/>
      <c r="U58" s="2483"/>
      <c r="V58" s="2483"/>
      <c r="W58" s="2483"/>
      <c r="X58" s="2483"/>
      <c r="Y58" s="2483"/>
      <c r="Z58" s="2483"/>
      <c r="AA58" s="2483"/>
      <c r="AB58" s="2483"/>
      <c r="AC58" s="2483"/>
    </row>
    <row r="59" spans="1:29" s="442" customFormat="1">
      <c r="A59" s="440" t="s">
        <v>1677</v>
      </c>
      <c r="B59" s="441"/>
      <c r="C59" s="1099" t="str">
        <f>YEAR(C7)&amp;"-"&amp;MONTH(C7)</f>
        <v>2024-7</v>
      </c>
      <c r="D59" s="1100">
        <f>EDATE(C59,-1)</f>
        <v>45444</v>
      </c>
      <c r="E59" s="1100">
        <f>EDATE(D59,-1)</f>
        <v>45413</v>
      </c>
      <c r="F59" s="1100">
        <f t="shared" ref="F59:O59" si="16">EDATE(E59,-1)</f>
        <v>45383</v>
      </c>
      <c r="G59" s="1100">
        <f t="shared" si="16"/>
        <v>45352</v>
      </c>
      <c r="H59" s="1100">
        <f t="shared" si="16"/>
        <v>45323</v>
      </c>
      <c r="I59" s="1100">
        <f t="shared" si="16"/>
        <v>45292</v>
      </c>
      <c r="J59" s="1100">
        <f t="shared" si="16"/>
        <v>45261</v>
      </c>
      <c r="K59" s="1100">
        <f t="shared" si="16"/>
        <v>45231</v>
      </c>
      <c r="L59" s="1100">
        <f t="shared" si="16"/>
        <v>45200</v>
      </c>
      <c r="M59" s="1100">
        <f t="shared" si="16"/>
        <v>45170</v>
      </c>
      <c r="N59" s="1100">
        <f t="shared" si="16"/>
        <v>45139</v>
      </c>
      <c r="O59" s="1100">
        <f t="shared" si="16"/>
        <v>45108</v>
      </c>
      <c r="P59" s="2523"/>
      <c r="Q59" s="2506"/>
      <c r="R59" s="2506"/>
      <c r="S59" s="2506"/>
      <c r="T59" s="2506"/>
      <c r="U59" s="2506"/>
      <c r="V59" s="2506"/>
      <c r="W59" s="2506"/>
      <c r="X59" s="2506"/>
      <c r="Y59" s="2506"/>
      <c r="Z59" s="2506"/>
      <c r="AA59" s="2506"/>
      <c r="AB59" s="2506"/>
      <c r="AC59" s="2506"/>
    </row>
    <row r="60" spans="1:29" s="102" customFormat="1">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4.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c r="A62" s="455" t="s">
        <v>1679</v>
      </c>
      <c r="B62" s="444"/>
      <c r="C62" s="456" t="s">
        <v>1774</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4.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1683</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8.5" thickTop="1">
      <c r="A66" s="367"/>
      <c r="B66" s="469" t="s">
        <v>1686</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4.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1688</v>
      </c>
      <c r="B77" s="460" t="s">
        <v>1819</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4.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4.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4.5" thickTop="1">
      <c r="A83" s="367"/>
      <c r="B83" s="477" t="s">
        <v>1811</v>
      </c>
      <c r="C83" s="581" t="s">
        <v>1797</v>
      </c>
      <c r="D83" s="581" t="s">
        <v>1798</v>
      </c>
      <c r="E83" s="581" t="s">
        <v>1799</v>
      </c>
      <c r="F83" s="581" t="s">
        <v>1800</v>
      </c>
      <c r="G83" s="581" t="s">
        <v>1801</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4.5" thickTop="1">
      <c r="A85" s="367"/>
      <c r="B85" s="469" t="s">
        <v>1820</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8.5" thickTop="1">
      <c r="A87" s="370"/>
      <c r="B87" s="469" t="s">
        <v>1821</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4.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4.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1692</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4.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4.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4.5" thickTop="1">
      <c r="A108" s="409"/>
      <c r="B108" s="469" t="s">
        <v>1738</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4.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4.5" thickTop="1">
      <c r="A113" s="406"/>
      <c r="B113" s="469" t="s">
        <v>1822</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4.5" thickTop="1">
      <c r="A115" s="409"/>
      <c r="B115" s="469" t="s">
        <v>1739</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4.5" thickTop="1">
      <c r="A117" s="409"/>
      <c r="B117" s="469" t="s">
        <v>1740</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4.5" thickTop="1">
      <c r="A119" s="409"/>
      <c r="B119" s="560" t="s">
        <v>1823</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4.5" thickTop="1">
      <c r="A121" s="406"/>
      <c r="B121" s="469" t="s">
        <v>1806</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4.5" thickTop="1">
      <c r="A123" s="409"/>
      <c r="B123" s="469" t="s">
        <v>1742</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8.5" thickTop="1">
      <c r="A125" s="409"/>
      <c r="B125" s="469" t="s">
        <v>1743</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1658</v>
      </c>
      <c r="B1" s="1804" t="s">
        <v>1824</v>
      </c>
      <c r="C1" s="1137" t="s">
        <v>1660</v>
      </c>
      <c r="D1" s="1138"/>
      <c r="E1" s="3126"/>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26917.520000000128</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c r="A4" s="345" t="s">
        <v>1767</v>
      </c>
      <c r="B4" s="346"/>
      <c r="C4" s="3447" t="s">
        <v>1768</v>
      </c>
      <c r="D4" s="3448"/>
      <c r="E4" s="3449" t="s">
        <v>1769</v>
      </c>
      <c r="F4" s="3450"/>
      <c r="G4" s="3447" t="s">
        <v>1770</v>
      </c>
      <c r="H4" s="3448"/>
      <c r="I4" s="3447" t="s">
        <v>1771</v>
      </c>
      <c r="J4" s="3448"/>
      <c r="K4" s="537" t="s">
        <v>1772</v>
      </c>
      <c r="L4" s="856"/>
      <c r="M4" s="857"/>
      <c r="N4" s="857"/>
      <c r="O4" s="857"/>
      <c r="P4" s="3451" t="s">
        <v>1773</v>
      </c>
      <c r="Q4" s="3452"/>
      <c r="R4" s="3434" t="s">
        <v>1769</v>
      </c>
      <c r="S4" s="3435"/>
      <c r="T4" s="3434" t="s">
        <v>1770</v>
      </c>
      <c r="U4" s="3435"/>
      <c r="V4" s="3459" t="s">
        <v>1771</v>
      </c>
      <c r="W4" s="3459"/>
      <c r="X4" s="1261"/>
      <c r="Y4" s="3434" t="s">
        <v>1773</v>
      </c>
      <c r="Z4" s="3435"/>
      <c r="AA4" s="3429" t="s">
        <v>1769</v>
      </c>
      <c r="AB4" s="3430" t="s">
        <v>1770</v>
      </c>
      <c r="AC4" s="3429" t="s">
        <v>1771</v>
      </c>
    </row>
    <row r="5" spans="1:29">
      <c r="A5" s="348"/>
      <c r="B5" s="349"/>
      <c r="C5" s="3440" t="s">
        <v>1671</v>
      </c>
      <c r="D5" s="3441"/>
      <c r="E5" s="3438" t="s">
        <v>1672</v>
      </c>
      <c r="F5" s="3439"/>
      <c r="G5" s="3440" t="s">
        <v>1673</v>
      </c>
      <c r="H5" s="3441"/>
      <c r="I5" s="3440" t="s">
        <v>1674</v>
      </c>
      <c r="J5" s="3441"/>
      <c r="K5" s="537"/>
      <c r="L5" s="856"/>
      <c r="M5" s="857"/>
      <c r="N5" s="857"/>
      <c r="O5" s="857"/>
      <c r="P5" s="3453"/>
      <c r="Q5" s="3454"/>
      <c r="R5" s="3436"/>
      <c r="S5" s="3437"/>
      <c r="T5" s="3436"/>
      <c r="U5" s="3437"/>
      <c r="V5" s="3459"/>
      <c r="W5" s="3459"/>
      <c r="X5" s="1261"/>
      <c r="Y5" s="3436"/>
      <c r="Z5" s="3437"/>
      <c r="AA5" s="3430"/>
      <c r="AB5" s="3430"/>
      <c r="AC5" s="3430"/>
    </row>
    <row r="6" spans="1:29" ht="15" thickBot="1">
      <c r="A6" s="350"/>
      <c r="B6" s="351"/>
      <c r="C6" s="3442" t="s">
        <v>1675</v>
      </c>
      <c r="D6" s="3443"/>
      <c r="E6" s="3444" t="s">
        <v>1675</v>
      </c>
      <c r="F6" s="3445"/>
      <c r="G6" s="3442" t="s">
        <v>1675</v>
      </c>
      <c r="H6" s="3443"/>
      <c r="I6" s="3442" t="s">
        <v>1675</v>
      </c>
      <c r="J6" s="3443"/>
      <c r="K6" s="537" t="s">
        <v>1676</v>
      </c>
      <c r="L6" s="856"/>
      <c r="M6" s="857"/>
      <c r="N6" s="857"/>
      <c r="O6" s="857"/>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SUMIF(52:52,YEAR(E7)&amp;"-"&amp;MONTH(E7),53:53)</f>
        <v>0</v>
      </c>
      <c r="G7" s="356"/>
      <c r="H7" s="355">
        <f>SUMIF(52:52,YEAR(G7)&amp;"-"&amp;MONTH(G7),53:53)</f>
        <v>0</v>
      </c>
      <c r="I7" s="356"/>
      <c r="J7" s="355">
        <f>SUMIF(52:52,YEAR(I7)&amp;"-"&amp;MONTH(I7),53:53)</f>
        <v>0</v>
      </c>
      <c r="K7" s="38"/>
      <c r="L7" s="858"/>
      <c r="M7" s="859"/>
      <c r="N7" s="859"/>
      <c r="O7" s="859"/>
      <c r="P7" s="3432" t="s">
        <v>1678</v>
      </c>
      <c r="Q7" s="3460"/>
      <c r="R7" s="664" t="s">
        <v>14</v>
      </c>
      <c r="S7" s="665">
        <f t="shared" ref="S7:S15" si="0">F7</f>
        <v>0</v>
      </c>
      <c r="T7" s="664" t="s">
        <v>14</v>
      </c>
      <c r="U7" s="665">
        <f t="shared" ref="U7:U15" si="1">H7</f>
        <v>0</v>
      </c>
      <c r="V7" s="664" t="s">
        <v>14</v>
      </c>
      <c r="W7" s="665">
        <f t="shared" ref="W7:W15" si="2">J7</f>
        <v>0</v>
      </c>
      <c r="X7" s="666"/>
      <c r="Y7" s="3432" t="s">
        <v>1678</v>
      </c>
      <c r="Z7" s="3433"/>
      <c r="AA7" s="50" t="e">
        <f>D7/F7</f>
        <v>#DIV/0!</v>
      </c>
      <c r="AB7" s="50" t="e">
        <f>D7/H7</f>
        <v>#DIV/0!</v>
      </c>
      <c r="AC7" s="50" t="e">
        <f>D7/J7</f>
        <v>#DIV/0!</v>
      </c>
    </row>
    <row r="8" spans="1:29" s="102" customFormat="1" ht="14.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2" t="s">
        <v>1681</v>
      </c>
      <c r="Q8" s="3433"/>
      <c r="R8" s="664" t="s">
        <v>14</v>
      </c>
      <c r="S8" s="665">
        <f t="shared" si="0"/>
        <v>100</v>
      </c>
      <c r="T8" s="664" t="s">
        <v>14</v>
      </c>
      <c r="U8" s="665">
        <f t="shared" si="1"/>
        <v>100</v>
      </c>
      <c r="V8" s="664" t="s">
        <v>14</v>
      </c>
      <c r="W8" s="665">
        <f t="shared" si="2"/>
        <v>100</v>
      </c>
      <c r="X8" s="666"/>
      <c r="Y8" s="3432" t="s">
        <v>1681</v>
      </c>
      <c r="Z8" s="3433"/>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464"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50">
        <f t="shared" si="5"/>
        <v>1</v>
      </c>
    </row>
    <row r="10" spans="1:29" s="366" customFormat="1" ht="28">
      <c r="A10" s="363"/>
      <c r="B10" s="364" t="s">
        <v>1686</v>
      </c>
      <c r="C10" s="3127"/>
      <c r="D10" s="119">
        <v>100</v>
      </c>
      <c r="E10" s="3127"/>
      <c r="F10" s="119">
        <f>SUMIF(59:59,E10,60:60)-SUMIF(59:59,C10,60:60)+100</f>
        <v>100</v>
      </c>
      <c r="G10" s="3128"/>
      <c r="H10" s="119">
        <f>SUMIF(59:59,G10,60:60)-SUMIF(59:59,C10,60:60)+100</f>
        <v>100</v>
      </c>
      <c r="I10" s="3127"/>
      <c r="J10" s="119">
        <f>SUMIF(59:59,I10,60:60)-SUMIF(59:59,C10,60:60)+100</f>
        <v>100</v>
      </c>
      <c r="K10" s="38"/>
      <c r="L10" s="861"/>
      <c r="M10" s="862"/>
      <c r="N10" s="862"/>
      <c r="O10" s="863"/>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464"/>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70">
      <c r="A15" s="379" t="s">
        <v>1688</v>
      </c>
      <c r="B15" s="58" t="s">
        <v>1825</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65" t="s">
        <v>1689</v>
      </c>
      <c r="Q15" s="1259" t="str">
        <f t="shared" si="6"/>
        <v>产业集聚程度</v>
      </c>
      <c r="R15" s="667" t="s">
        <v>14</v>
      </c>
      <c r="S15" s="668">
        <f t="shared" si="0"/>
        <v>100</v>
      </c>
      <c r="T15" s="667" t="s">
        <v>14</v>
      </c>
      <c r="U15" s="668">
        <f t="shared" si="1"/>
        <v>100</v>
      </c>
      <c r="V15" s="667" t="s">
        <v>14</v>
      </c>
      <c r="W15" s="668">
        <f t="shared" si="2"/>
        <v>100</v>
      </c>
      <c r="X15" s="1261"/>
      <c r="Y15" s="3465" t="s">
        <v>1689</v>
      </c>
      <c r="Z15" s="1260" t="str">
        <f t="shared" si="7"/>
        <v>产业集聚程度</v>
      </c>
      <c r="AA15" s="1260">
        <f t="shared" si="3"/>
        <v>1</v>
      </c>
      <c r="AB15" s="1260">
        <f t="shared" si="4"/>
        <v>1</v>
      </c>
      <c r="AC15" s="1260">
        <f t="shared" si="5"/>
        <v>1</v>
      </c>
    </row>
    <row r="16" spans="1:29" ht="15.5">
      <c r="A16" s="367"/>
      <c r="B16" s="385"/>
      <c r="C16" s="386"/>
      <c r="D16" s="387"/>
      <c r="E16" s="386"/>
      <c r="F16" s="388"/>
      <c r="G16" s="386"/>
      <c r="H16" s="389"/>
      <c r="I16" s="386"/>
      <c r="J16" s="387"/>
      <c r="K16" s="541"/>
      <c r="L16" s="866"/>
      <c r="M16" s="857"/>
      <c r="N16" s="857"/>
      <c r="O16" s="865"/>
      <c r="P16" s="3466"/>
      <c r="Q16" s="1259"/>
      <c r="R16" s="667"/>
      <c r="S16" s="668"/>
      <c r="T16" s="667"/>
      <c r="U16" s="668"/>
      <c r="V16" s="667"/>
      <c r="W16" s="668"/>
      <c r="X16" s="1261"/>
      <c r="Y16" s="3466"/>
      <c r="Z16" s="1260"/>
      <c r="AA16" s="1260">
        <v>1</v>
      </c>
      <c r="AB16" s="1260">
        <v>1</v>
      </c>
      <c r="AC16" s="1260">
        <v>1</v>
      </c>
    </row>
    <row r="17" spans="1:29" ht="98">
      <c r="A17" s="367"/>
      <c r="B17" s="390" t="s">
        <v>1257</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66"/>
      <c r="Q17" s="1259" t="str">
        <f>B17</f>
        <v>交通便捷度</v>
      </c>
      <c r="R17" s="667" t="s">
        <v>14</v>
      </c>
      <c r="S17" s="668">
        <f>F17</f>
        <v>100</v>
      </c>
      <c r="T17" s="667" t="s">
        <v>14</v>
      </c>
      <c r="U17" s="668">
        <f>H17</f>
        <v>100</v>
      </c>
      <c r="V17" s="667" t="s">
        <v>14</v>
      </c>
      <c r="W17" s="668">
        <f>J17</f>
        <v>100</v>
      </c>
      <c r="X17" s="1261"/>
      <c r="Y17" s="3466"/>
      <c r="Z17" s="1260" t="str">
        <f>Q17</f>
        <v>交通便捷度</v>
      </c>
      <c r="AA17" s="1260">
        <f t="shared" si="3"/>
        <v>1</v>
      </c>
      <c r="AB17" s="1260">
        <f t="shared" si="4"/>
        <v>1</v>
      </c>
      <c r="AC17" s="1260">
        <f t="shared" si="5"/>
        <v>1</v>
      </c>
    </row>
    <row r="18" spans="1:29" ht="15.5">
      <c r="A18" s="367"/>
      <c r="B18" s="395"/>
      <c r="C18" s="1751"/>
      <c r="D18" s="389"/>
      <c r="E18" s="1753"/>
      <c r="F18" s="392"/>
      <c r="G18" s="1752"/>
      <c r="H18" s="387"/>
      <c r="I18" s="1753"/>
      <c r="J18" s="387"/>
      <c r="K18" s="541"/>
      <c r="L18" s="866"/>
      <c r="M18" s="857"/>
      <c r="N18" s="857"/>
      <c r="O18" s="865"/>
      <c r="P18" s="3466"/>
      <c r="Q18" s="1259"/>
      <c r="R18" s="667"/>
      <c r="S18" s="668"/>
      <c r="T18" s="667"/>
      <c r="U18" s="668"/>
      <c r="V18" s="667"/>
      <c r="W18" s="668"/>
      <c r="X18" s="1261"/>
      <c r="Y18" s="3466"/>
      <c r="Z18" s="1260"/>
      <c r="AA18" s="1260">
        <v>1</v>
      </c>
      <c r="AB18" s="1260">
        <v>1</v>
      </c>
      <c r="AC18" s="1260">
        <v>1</v>
      </c>
    </row>
    <row r="19" spans="1:29" ht="42">
      <c r="A19" s="367"/>
      <c r="B19" s="390" t="s">
        <v>1810</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66"/>
      <c r="Q19" s="1259" t="str">
        <f>B19</f>
        <v>公共配套设施</v>
      </c>
      <c r="R19" s="667" t="s">
        <v>14</v>
      </c>
      <c r="S19" s="668">
        <f>F19</f>
        <v>100</v>
      </c>
      <c r="T19" s="667" t="s">
        <v>14</v>
      </c>
      <c r="U19" s="668">
        <f>H19</f>
        <v>100</v>
      </c>
      <c r="V19" s="667" t="s">
        <v>14</v>
      </c>
      <c r="W19" s="668">
        <f>J19</f>
        <v>100</v>
      </c>
      <c r="X19" s="1261"/>
      <c r="Y19" s="3466"/>
      <c r="Z19" s="1260" t="str">
        <f>Q19</f>
        <v>公共配套设施</v>
      </c>
      <c r="AA19" s="1260">
        <f t="shared" si="3"/>
        <v>1</v>
      </c>
      <c r="AB19" s="1260">
        <f t="shared" si="4"/>
        <v>1</v>
      </c>
      <c r="AC19" s="1260">
        <f t="shared" si="5"/>
        <v>1</v>
      </c>
    </row>
    <row r="20" spans="1:29" ht="15.5">
      <c r="A20" s="367"/>
      <c r="B20" s="395"/>
      <c r="C20" s="386"/>
      <c r="D20" s="387"/>
      <c r="E20" s="1748"/>
      <c r="F20" s="388"/>
      <c r="G20" s="1747"/>
      <c r="H20" s="387"/>
      <c r="I20" s="1748"/>
      <c r="J20" s="387"/>
      <c r="K20" s="541"/>
      <c r="L20" s="866"/>
      <c r="M20" s="857"/>
      <c r="N20" s="857"/>
      <c r="O20" s="865"/>
      <c r="P20" s="3466"/>
      <c r="Q20" s="1259"/>
      <c r="R20" s="667"/>
      <c r="S20" s="668"/>
      <c r="T20" s="667"/>
      <c r="U20" s="668"/>
      <c r="V20" s="667"/>
      <c r="W20" s="668"/>
      <c r="X20" s="1261"/>
      <c r="Y20" s="3466"/>
      <c r="Z20" s="1260"/>
      <c r="AA20" s="1260">
        <v>1</v>
      </c>
      <c r="AB20" s="1260">
        <v>1</v>
      </c>
      <c r="AC20" s="1260">
        <v>1</v>
      </c>
    </row>
    <row r="21" spans="1:29" ht="42">
      <c r="A21" s="367"/>
      <c r="B21" s="586" t="s">
        <v>1811</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66"/>
      <c r="Q21" s="1259" t="str">
        <f>B21</f>
        <v>基础设施水平</v>
      </c>
      <c r="R21" s="667" t="s">
        <v>14</v>
      </c>
      <c r="S21" s="668">
        <f>F21</f>
        <v>100</v>
      </c>
      <c r="T21" s="667" t="s">
        <v>14</v>
      </c>
      <c r="U21" s="668">
        <f>H21</f>
        <v>100</v>
      </c>
      <c r="V21" s="667" t="s">
        <v>14</v>
      </c>
      <c r="W21" s="668">
        <f>J21</f>
        <v>100</v>
      </c>
      <c r="X21" s="1261"/>
      <c r="Y21" s="3466"/>
      <c r="Z21" s="1260" t="str">
        <f>Q21</f>
        <v>基础设施水平</v>
      </c>
      <c r="AA21" s="1260">
        <f t="shared" ref="AA21" si="8">D21/F21</f>
        <v>1</v>
      </c>
      <c r="AB21" s="1260">
        <f t="shared" ref="AB21" si="9">D21/H21</f>
        <v>1</v>
      </c>
      <c r="AC21" s="1260">
        <f t="shared" ref="AC21" si="10">D21/J21</f>
        <v>1</v>
      </c>
    </row>
    <row r="22" spans="1:29" ht="15.5">
      <c r="A22" s="367"/>
      <c r="B22" s="586"/>
      <c r="C22" s="1751"/>
      <c r="D22" s="387"/>
      <c r="E22" s="386"/>
      <c r="F22" s="388"/>
      <c r="G22" s="386"/>
      <c r="H22" s="387"/>
      <c r="I22" s="386"/>
      <c r="J22" s="387"/>
      <c r="K22" s="1060"/>
      <c r="L22" s="866"/>
      <c r="M22" s="857"/>
      <c r="N22" s="857"/>
      <c r="O22" s="865"/>
      <c r="P22" s="3466"/>
      <c r="Q22" s="1259"/>
      <c r="R22" s="667"/>
      <c r="S22" s="668"/>
      <c r="T22" s="667"/>
      <c r="U22" s="668"/>
      <c r="V22" s="667"/>
      <c r="W22" s="668"/>
      <c r="X22" s="1261"/>
      <c r="Y22" s="3466"/>
      <c r="Z22" s="1260"/>
      <c r="AA22" s="1260">
        <v>1</v>
      </c>
      <c r="AB22" s="1260">
        <v>1</v>
      </c>
      <c r="AC22" s="1260">
        <v>1</v>
      </c>
    </row>
    <row r="23" spans="1:29" ht="84">
      <c r="A23" s="367"/>
      <c r="B23" s="390" t="s">
        <v>1812</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66"/>
      <c r="Q23" s="1259" t="str">
        <f>B23</f>
        <v>环境质量</v>
      </c>
      <c r="R23" s="667" t="s">
        <v>14</v>
      </c>
      <c r="S23" s="668">
        <f>F23</f>
        <v>100</v>
      </c>
      <c r="T23" s="667" t="s">
        <v>14</v>
      </c>
      <c r="U23" s="668">
        <f>H23</f>
        <v>100</v>
      </c>
      <c r="V23" s="667" t="s">
        <v>14</v>
      </c>
      <c r="W23" s="668">
        <f>J23</f>
        <v>100</v>
      </c>
      <c r="X23" s="1261"/>
      <c r="Y23" s="3466"/>
      <c r="Z23" s="1260" t="str">
        <f>Q23</f>
        <v>环境质量</v>
      </c>
      <c r="AA23" s="1260">
        <f t="shared" si="3"/>
        <v>1</v>
      </c>
      <c r="AB23" s="1260">
        <f t="shared" si="4"/>
        <v>1</v>
      </c>
      <c r="AC23" s="1260">
        <f t="shared" si="5"/>
        <v>1</v>
      </c>
    </row>
    <row r="24" spans="1:29" ht="15.5">
      <c r="A24" s="367"/>
      <c r="B24" s="586"/>
      <c r="C24" s="386"/>
      <c r="D24" s="387"/>
      <c r="E24" s="1748"/>
      <c r="F24" s="388"/>
      <c r="G24" s="1747"/>
      <c r="H24" s="387"/>
      <c r="I24" s="1748"/>
      <c r="J24" s="387"/>
      <c r="K24" s="541"/>
      <c r="L24" s="866"/>
      <c r="M24" s="857"/>
      <c r="N24" s="857"/>
      <c r="O24" s="865"/>
      <c r="P24" s="3466"/>
      <c r="Q24" s="1259"/>
      <c r="R24" s="667"/>
      <c r="S24" s="668"/>
      <c r="T24" s="667"/>
      <c r="U24" s="668"/>
      <c r="V24" s="667"/>
      <c r="W24" s="668"/>
      <c r="X24" s="1261"/>
      <c r="Y24" s="3466"/>
      <c r="Z24" s="1260"/>
      <c r="AA24" s="1260">
        <v>1</v>
      </c>
      <c r="AB24" s="1260">
        <v>1</v>
      </c>
      <c r="AC24" s="1260">
        <v>1</v>
      </c>
    </row>
    <row r="25" spans="1:29" ht="15.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66"/>
      <c r="Q25" s="1259">
        <f>B25</f>
        <v>111</v>
      </c>
      <c r="R25" s="667" t="s">
        <v>14</v>
      </c>
      <c r="S25" s="668">
        <f>F25</f>
        <v>100</v>
      </c>
      <c r="T25" s="667" t="s">
        <v>14</v>
      </c>
      <c r="U25" s="668">
        <f>H25</f>
        <v>100</v>
      </c>
      <c r="V25" s="667" t="s">
        <v>14</v>
      </c>
      <c r="W25" s="668">
        <f>J25</f>
        <v>100</v>
      </c>
      <c r="X25" s="1261"/>
      <c r="Y25" s="3466"/>
      <c r="Z25" s="1260">
        <f>Q25</f>
        <v>111</v>
      </c>
      <c r="AA25" s="1260">
        <f t="shared" si="3"/>
        <v>1</v>
      </c>
      <c r="AB25" s="1260">
        <f t="shared" si="4"/>
        <v>1</v>
      </c>
      <c r="AC25" s="1260">
        <f t="shared" si="5"/>
        <v>1</v>
      </c>
    </row>
    <row r="26" spans="1:29" ht="15.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66"/>
      <c r="Q26" s="1259">
        <f t="shared" ref="Q26:Q40" si="11">B26</f>
        <v>111</v>
      </c>
      <c r="R26" s="667" t="s">
        <v>14</v>
      </c>
      <c r="S26" s="668">
        <f>F26</f>
        <v>100</v>
      </c>
      <c r="T26" s="667" t="s">
        <v>14</v>
      </c>
      <c r="U26" s="668">
        <f>H26</f>
        <v>100</v>
      </c>
      <c r="V26" s="667" t="s">
        <v>14</v>
      </c>
      <c r="W26" s="668">
        <f>J26</f>
        <v>100</v>
      </c>
      <c r="X26" s="1261"/>
      <c r="Y26" s="3466"/>
      <c r="Z26" s="1260">
        <f>Q26</f>
        <v>111</v>
      </c>
      <c r="AA26" s="1260">
        <f t="shared" si="3"/>
        <v>1</v>
      </c>
      <c r="AB26" s="1260">
        <f t="shared" si="4"/>
        <v>1</v>
      </c>
      <c r="AC26" s="1260">
        <f t="shared" si="5"/>
        <v>1</v>
      </c>
    </row>
    <row r="27" spans="1:29" s="102" customFormat="1" ht="15.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66"/>
      <c r="Q27" s="530">
        <f t="shared" si="11"/>
        <v>111</v>
      </c>
      <c r="R27" s="664" t="s">
        <v>14</v>
      </c>
      <c r="S27" s="665">
        <f>F27</f>
        <v>100</v>
      </c>
      <c r="T27" s="664" t="s">
        <v>14</v>
      </c>
      <c r="U27" s="665">
        <f>H27</f>
        <v>100</v>
      </c>
      <c r="V27" s="664" t="s">
        <v>14</v>
      </c>
      <c r="W27" s="665">
        <f>J27</f>
        <v>100</v>
      </c>
      <c r="X27" s="666"/>
      <c r="Y27" s="3466"/>
      <c r="Z27" s="50">
        <f>Q27</f>
        <v>111</v>
      </c>
      <c r="AA27" s="1260">
        <f>D27/F27</f>
        <v>1</v>
      </c>
      <c r="AB27" s="1260">
        <f>D27/H27</f>
        <v>1</v>
      </c>
      <c r="AC27" s="1260">
        <f>D27/J27</f>
        <v>1</v>
      </c>
    </row>
    <row r="28" spans="1:29" ht="1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66"/>
      <c r="Q28" s="1259">
        <f t="shared" si="11"/>
        <v>111</v>
      </c>
      <c r="R28" s="667" t="s">
        <v>14</v>
      </c>
      <c r="S28" s="668">
        <f t="shared" ref="S28:S40" si="12">F28</f>
        <v>100</v>
      </c>
      <c r="T28" s="667" t="s">
        <v>14</v>
      </c>
      <c r="U28" s="668">
        <f t="shared" ref="U28:U40" si="13">H28</f>
        <v>100</v>
      </c>
      <c r="V28" s="667" t="s">
        <v>14</v>
      </c>
      <c r="W28" s="668">
        <f t="shared" ref="W28:W40" si="14">J28</f>
        <v>100</v>
      </c>
      <c r="X28" s="1261"/>
      <c r="Y28" s="3466"/>
      <c r="Z28" s="1260">
        <f t="shared" ref="Z28:Z40" si="15">Q28</f>
        <v>111</v>
      </c>
      <c r="AA28" s="1260">
        <f t="shared" si="3"/>
        <v>1</v>
      </c>
      <c r="AB28" s="1260">
        <f t="shared" si="4"/>
        <v>1</v>
      </c>
      <c r="AC28" s="1260">
        <f t="shared" si="5"/>
        <v>1</v>
      </c>
    </row>
    <row r="29" spans="1:29" ht="29">
      <c r="A29" s="404" t="s">
        <v>1692</v>
      </c>
      <c r="B29" s="60" t="s">
        <v>1815</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89" t="s">
        <v>1694</v>
      </c>
      <c r="Q29" s="1259" t="str">
        <f t="shared" si="11"/>
        <v>建筑类型</v>
      </c>
      <c r="R29" s="667" t="s">
        <v>14</v>
      </c>
      <c r="S29" s="668">
        <f t="shared" si="12"/>
        <v>100</v>
      </c>
      <c r="T29" s="667" t="s">
        <v>14</v>
      </c>
      <c r="U29" s="668">
        <f t="shared" si="13"/>
        <v>100</v>
      </c>
      <c r="V29" s="667" t="s">
        <v>14</v>
      </c>
      <c r="W29" s="668">
        <f t="shared" si="14"/>
        <v>100</v>
      </c>
      <c r="X29" s="1261"/>
      <c r="Y29" s="3470" t="s">
        <v>1694</v>
      </c>
      <c r="Z29" s="1260" t="str">
        <f t="shared" si="15"/>
        <v>建筑类型</v>
      </c>
      <c r="AA29" s="1260">
        <f t="shared" si="3"/>
        <v>1</v>
      </c>
      <c r="AB29" s="1260">
        <f t="shared" si="4"/>
        <v>1</v>
      </c>
      <c r="AC29" s="1260">
        <f t="shared" si="5"/>
        <v>1</v>
      </c>
    </row>
    <row r="30" spans="1:29" s="408" customFormat="1" ht="15.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70"/>
      <c r="Q30" s="531" t="str">
        <f t="shared" si="11"/>
        <v>项目建筑规模</v>
      </c>
      <c r="R30" s="669" t="s">
        <v>14</v>
      </c>
      <c r="S30" s="670" t="e">
        <f t="shared" si="12"/>
        <v>#N/A</v>
      </c>
      <c r="T30" s="669" t="s">
        <v>14</v>
      </c>
      <c r="U30" s="670" t="e">
        <f t="shared" si="13"/>
        <v>#N/A</v>
      </c>
      <c r="V30" s="669" t="s">
        <v>14</v>
      </c>
      <c r="W30" s="670" t="e">
        <f t="shared" si="14"/>
        <v>#N/A</v>
      </c>
      <c r="X30" s="671"/>
      <c r="Y30" s="3470"/>
      <c r="Z30" s="672" t="str">
        <f t="shared" si="15"/>
        <v>项目建筑规模</v>
      </c>
      <c r="AA30" s="1260" t="e">
        <f t="shared" si="3"/>
        <v>#N/A</v>
      </c>
      <c r="AB30" s="1260" t="e">
        <f t="shared" si="4"/>
        <v>#N/A</v>
      </c>
      <c r="AC30" s="1260" t="e">
        <f t="shared" si="5"/>
        <v>#N/A</v>
      </c>
    </row>
    <row r="31" spans="1:29" ht="15.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70"/>
      <c r="Q31" s="1259" t="str">
        <f t="shared" si="11"/>
        <v>建筑结构</v>
      </c>
      <c r="R31" s="667" t="s">
        <v>14</v>
      </c>
      <c r="S31" s="668">
        <f t="shared" si="12"/>
        <v>100</v>
      </c>
      <c r="T31" s="667" t="s">
        <v>14</v>
      </c>
      <c r="U31" s="668">
        <f t="shared" si="13"/>
        <v>100</v>
      </c>
      <c r="V31" s="667" t="s">
        <v>14</v>
      </c>
      <c r="W31" s="668">
        <f t="shared" si="14"/>
        <v>100</v>
      </c>
      <c r="X31" s="1261"/>
      <c r="Y31" s="3470"/>
      <c r="Z31" s="1260" t="str">
        <f t="shared" si="15"/>
        <v>建筑结构</v>
      </c>
      <c r="AA31" s="1260">
        <f t="shared" si="3"/>
        <v>1</v>
      </c>
      <c r="AB31" s="1260">
        <f t="shared" si="4"/>
        <v>1</v>
      </c>
      <c r="AC31" s="1260">
        <f t="shared" si="5"/>
        <v>1</v>
      </c>
    </row>
    <row r="32" spans="1:29" ht="15.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70"/>
      <c r="Q32" s="1259" t="str">
        <f t="shared" si="11"/>
        <v>公共部分装修</v>
      </c>
      <c r="R32" s="667" t="s">
        <v>14</v>
      </c>
      <c r="S32" s="668">
        <f t="shared" si="12"/>
        <v>100</v>
      </c>
      <c r="T32" s="667" t="s">
        <v>14</v>
      </c>
      <c r="U32" s="668">
        <f t="shared" si="13"/>
        <v>100</v>
      </c>
      <c r="V32" s="667" t="s">
        <v>14</v>
      </c>
      <c r="W32" s="668">
        <f t="shared" si="14"/>
        <v>100</v>
      </c>
      <c r="X32" s="1261"/>
      <c r="Y32" s="3470"/>
      <c r="Z32" s="1260" t="str">
        <f t="shared" si="15"/>
        <v>公共部分装修</v>
      </c>
      <c r="AA32" s="1260">
        <f t="shared" si="3"/>
        <v>1</v>
      </c>
      <c r="AB32" s="1260">
        <f t="shared" si="4"/>
        <v>1</v>
      </c>
      <c r="AC32" s="1260">
        <f t="shared" si="5"/>
        <v>1</v>
      </c>
    </row>
    <row r="33" spans="1:29" ht="15.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70"/>
      <c r="Q33" s="1259" t="str">
        <f t="shared" si="11"/>
        <v>成新度</v>
      </c>
      <c r="R33" s="667" t="s">
        <v>14</v>
      </c>
      <c r="S33" s="668" t="e">
        <f t="shared" si="12"/>
        <v>#N/A</v>
      </c>
      <c r="T33" s="667" t="s">
        <v>14</v>
      </c>
      <c r="U33" s="668" t="e">
        <f t="shared" si="13"/>
        <v>#N/A</v>
      </c>
      <c r="V33" s="667" t="s">
        <v>14</v>
      </c>
      <c r="W33" s="668" t="e">
        <f t="shared" si="14"/>
        <v>#N/A</v>
      </c>
      <c r="X33" s="1261"/>
      <c r="Y33" s="3470"/>
      <c r="Z33" s="1260" t="str">
        <f t="shared" si="15"/>
        <v>成新度</v>
      </c>
      <c r="AA33" s="1260" t="e">
        <f t="shared" si="3"/>
        <v>#N/A</v>
      </c>
      <c r="AB33" s="1260" t="e">
        <f t="shared" si="4"/>
        <v>#N/A</v>
      </c>
      <c r="AC33" s="1260" t="e">
        <f t="shared" si="5"/>
        <v>#N/A</v>
      </c>
    </row>
    <row r="34" spans="1:29" s="102" customFormat="1" ht="15.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70"/>
      <c r="Q34" s="530" t="str">
        <f t="shared" si="11"/>
        <v>物业管理</v>
      </c>
      <c r="R34" s="664" t="s">
        <v>14</v>
      </c>
      <c r="S34" s="665">
        <f t="shared" si="12"/>
        <v>100</v>
      </c>
      <c r="T34" s="664" t="s">
        <v>14</v>
      </c>
      <c r="U34" s="665">
        <f t="shared" si="13"/>
        <v>100</v>
      </c>
      <c r="V34" s="664" t="s">
        <v>14</v>
      </c>
      <c r="W34" s="665">
        <f t="shared" si="14"/>
        <v>100</v>
      </c>
      <c r="X34" s="666"/>
      <c r="Y34" s="3470"/>
      <c r="Z34" s="50" t="str">
        <f t="shared" si="15"/>
        <v>物业管理</v>
      </c>
      <c r="AA34" s="50">
        <f t="shared" si="3"/>
        <v>1</v>
      </c>
      <c r="AB34" s="50">
        <f t="shared" si="4"/>
        <v>1</v>
      </c>
      <c r="AC34" s="50">
        <f t="shared" si="5"/>
        <v>1</v>
      </c>
    </row>
    <row r="35" spans="1:29" ht="15.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70" t="s">
        <v>1694</v>
      </c>
      <c r="Q35" s="1259" t="str">
        <f t="shared" si="11"/>
        <v>市政基础设施</v>
      </c>
      <c r="R35" s="667" t="s">
        <v>14</v>
      </c>
      <c r="S35" s="668">
        <f t="shared" si="12"/>
        <v>100</v>
      </c>
      <c r="T35" s="667" t="s">
        <v>14</v>
      </c>
      <c r="U35" s="668">
        <f t="shared" si="13"/>
        <v>100</v>
      </c>
      <c r="V35" s="667" t="s">
        <v>14</v>
      </c>
      <c r="W35" s="668">
        <f t="shared" si="14"/>
        <v>100</v>
      </c>
      <c r="X35" s="1261"/>
      <c r="Y35" s="3470" t="s">
        <v>1694</v>
      </c>
      <c r="Z35" s="1260" t="str">
        <f t="shared" si="15"/>
        <v>市政基础设施</v>
      </c>
      <c r="AA35" s="1260">
        <f t="shared" si="3"/>
        <v>1</v>
      </c>
      <c r="AB35" s="1260">
        <f t="shared" si="4"/>
        <v>1</v>
      </c>
      <c r="AC35" s="1260">
        <f t="shared" si="5"/>
        <v>1</v>
      </c>
    </row>
    <row r="36" spans="1:29" ht="15.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70"/>
      <c r="Q36" s="1259" t="str">
        <f t="shared" si="11"/>
        <v>内部装修</v>
      </c>
      <c r="R36" s="667" t="s">
        <v>14</v>
      </c>
      <c r="S36" s="668">
        <f t="shared" si="12"/>
        <v>100</v>
      </c>
      <c r="T36" s="667" t="s">
        <v>14</v>
      </c>
      <c r="U36" s="668">
        <f t="shared" si="13"/>
        <v>100</v>
      </c>
      <c r="V36" s="667" t="s">
        <v>14</v>
      </c>
      <c r="W36" s="668">
        <f t="shared" si="14"/>
        <v>100</v>
      </c>
      <c r="X36" s="1261"/>
      <c r="Y36" s="3470"/>
      <c r="Z36" s="1260" t="str">
        <f t="shared" si="15"/>
        <v>内部装修</v>
      </c>
      <c r="AA36" s="1260">
        <f t="shared" si="3"/>
        <v>1</v>
      </c>
      <c r="AB36" s="1260">
        <f t="shared" si="4"/>
        <v>1</v>
      </c>
      <c r="AC36" s="1260">
        <f t="shared" si="5"/>
        <v>1</v>
      </c>
    </row>
    <row r="37" spans="1:29" ht="15.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70"/>
      <c r="Q37" s="1259" t="str">
        <f t="shared" si="11"/>
        <v>内部装修状况</v>
      </c>
      <c r="R37" s="667" t="s">
        <v>14</v>
      </c>
      <c r="S37" s="668">
        <f t="shared" si="12"/>
        <v>100</v>
      </c>
      <c r="T37" s="667" t="s">
        <v>14</v>
      </c>
      <c r="U37" s="668">
        <f t="shared" si="13"/>
        <v>100</v>
      </c>
      <c r="V37" s="667" t="s">
        <v>14</v>
      </c>
      <c r="W37" s="668">
        <f t="shared" si="14"/>
        <v>100</v>
      </c>
      <c r="X37" s="1261"/>
      <c r="Y37" s="3470"/>
      <c r="Z37" s="1260" t="str">
        <f t="shared" si="15"/>
        <v>内部装修状况</v>
      </c>
      <c r="AA37" s="1260">
        <f t="shared" si="3"/>
        <v>1</v>
      </c>
      <c r="AB37" s="1260">
        <f t="shared" si="4"/>
        <v>1</v>
      </c>
      <c r="AC37" s="1260">
        <f t="shared" si="5"/>
        <v>1</v>
      </c>
    </row>
    <row r="38" spans="1:29" s="408" customFormat="1" ht="15.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70"/>
      <c r="Q38" s="531">
        <f t="shared" si="11"/>
        <v>111</v>
      </c>
      <c r="R38" s="669" t="s">
        <v>14</v>
      </c>
      <c r="S38" s="670">
        <f t="shared" si="12"/>
        <v>100</v>
      </c>
      <c r="T38" s="669" t="s">
        <v>14</v>
      </c>
      <c r="U38" s="670">
        <f t="shared" si="13"/>
        <v>100</v>
      </c>
      <c r="V38" s="669" t="s">
        <v>14</v>
      </c>
      <c r="W38" s="670">
        <f t="shared" si="14"/>
        <v>100</v>
      </c>
      <c r="X38" s="671"/>
      <c r="Y38" s="3470"/>
      <c r="Z38" s="672">
        <f t="shared" si="15"/>
        <v>111</v>
      </c>
      <c r="AA38" s="1260">
        <f t="shared" si="3"/>
        <v>1</v>
      </c>
      <c r="AB38" s="1260">
        <f t="shared" si="4"/>
        <v>1</v>
      </c>
      <c r="AC38" s="1260">
        <f t="shared" si="5"/>
        <v>1</v>
      </c>
    </row>
    <row r="39" spans="1:29" ht="15.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70"/>
      <c r="Q39" s="1259">
        <f t="shared" si="11"/>
        <v>111</v>
      </c>
      <c r="R39" s="667" t="s">
        <v>14</v>
      </c>
      <c r="S39" s="668">
        <f t="shared" si="12"/>
        <v>100</v>
      </c>
      <c r="T39" s="667" t="s">
        <v>14</v>
      </c>
      <c r="U39" s="668">
        <f t="shared" si="13"/>
        <v>100</v>
      </c>
      <c r="V39" s="667" t="s">
        <v>14</v>
      </c>
      <c r="W39" s="668">
        <f t="shared" si="14"/>
        <v>100</v>
      </c>
      <c r="X39" s="1261"/>
      <c r="Y39" s="3470"/>
      <c r="Z39" s="1260">
        <f t="shared" si="15"/>
        <v>111</v>
      </c>
      <c r="AA39" s="1260">
        <f t="shared" si="3"/>
        <v>1</v>
      </c>
      <c r="AB39" s="1260">
        <f t="shared" si="4"/>
        <v>1</v>
      </c>
      <c r="AC39" s="1260">
        <f t="shared" si="5"/>
        <v>1</v>
      </c>
    </row>
    <row r="40" spans="1:29" ht="1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71"/>
      <c r="Q40" s="1259">
        <f t="shared" si="11"/>
        <v>111</v>
      </c>
      <c r="R40" s="667" t="s">
        <v>14</v>
      </c>
      <c r="S40" s="668">
        <f t="shared" si="12"/>
        <v>100</v>
      </c>
      <c r="T40" s="667" t="s">
        <v>14</v>
      </c>
      <c r="U40" s="668">
        <f t="shared" si="13"/>
        <v>100</v>
      </c>
      <c r="V40" s="667" t="s">
        <v>14</v>
      </c>
      <c r="W40" s="668">
        <f t="shared" si="14"/>
        <v>100</v>
      </c>
      <c r="X40" s="1261"/>
      <c r="Y40" s="3471"/>
      <c r="Z40" s="1260">
        <f t="shared" si="15"/>
        <v>111</v>
      </c>
      <c r="AA40" s="1260">
        <f t="shared" si="3"/>
        <v>1</v>
      </c>
      <c r="AB40" s="1260">
        <f t="shared" si="4"/>
        <v>1</v>
      </c>
      <c r="AC40" s="1260">
        <f t="shared" si="5"/>
        <v>1</v>
      </c>
    </row>
    <row r="41" spans="1:29">
      <c r="A41" s="416" t="s">
        <v>1706</v>
      </c>
      <c r="B41" s="417"/>
      <c r="C41" s="1077" t="s">
        <v>0</v>
      </c>
      <c r="D41" s="418"/>
      <c r="E41" s="419"/>
      <c r="F41" s="420"/>
      <c r="G41" s="421"/>
      <c r="H41" s="422"/>
      <c r="I41" s="419"/>
      <c r="J41" s="422"/>
      <c r="K41" s="674"/>
      <c r="L41" s="869"/>
      <c r="M41" s="857"/>
      <c r="N41" s="857"/>
      <c r="O41" s="857"/>
      <c r="P41" s="3464" t="str">
        <f>A41</f>
        <v>成交单价（元/平方米）</v>
      </c>
      <c r="Q41" s="3464"/>
      <c r="R41" s="3459">
        <f>E41</f>
        <v>0</v>
      </c>
      <c r="S41" s="3459"/>
      <c r="T41" s="3459">
        <f>G41</f>
        <v>0</v>
      </c>
      <c r="U41" s="3459"/>
      <c r="V41" s="3459">
        <f>I41</f>
        <v>0</v>
      </c>
      <c r="W41" s="3459"/>
      <c r="X41" s="385"/>
      <c r="Y41" s="673"/>
      <c r="Z41" s="385"/>
      <c r="AA41" s="385"/>
      <c r="AB41" s="385"/>
      <c r="AC41" s="385"/>
    </row>
    <row r="42" spans="1:29" ht="14.5" thickBot="1">
      <c r="A42" s="423" t="s">
        <v>1791</v>
      </c>
      <c r="B42" s="424"/>
      <c r="C42" s="1078" t="e">
        <f>R43</f>
        <v>#DIV/0!</v>
      </c>
      <c r="D42" s="2137" t="s">
        <v>2136</v>
      </c>
      <c r="E42" s="1079" t="e">
        <f>R42</f>
        <v>#DIV/0!</v>
      </c>
      <c r="F42" s="2138"/>
      <c r="G42" s="1078" t="e">
        <f>T42</f>
        <v>#DIV/0!</v>
      </c>
      <c r="H42" s="2138"/>
      <c r="I42" s="1079" t="e">
        <f>V42</f>
        <v>#DIV/0!</v>
      </c>
      <c r="J42" s="2138"/>
      <c r="K42" s="2140">
        <f>F42+H42+J42</f>
        <v>0</v>
      </c>
      <c r="L42" s="869"/>
      <c r="M42" s="857"/>
      <c r="N42" s="857"/>
      <c r="O42" s="857"/>
      <c r="P42" s="3464" t="str">
        <f>A42</f>
        <v>比较价值（元/平方米）</v>
      </c>
      <c r="Q42" s="3464"/>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85"/>
      <c r="Y42" s="385"/>
      <c r="Z42" s="385"/>
      <c r="AA42" s="385"/>
      <c r="AB42" s="385"/>
      <c r="AC42" s="385"/>
    </row>
    <row r="43" spans="1:29" ht="14.5" thickBot="1">
      <c r="A43" s="427" t="s">
        <v>1792</v>
      </c>
      <c r="B43" s="428"/>
      <c r="C43" s="351" t="e">
        <f>R43</f>
        <v>#DIV/0!</v>
      </c>
      <c r="D43" s="351"/>
      <c r="E43" s="351"/>
      <c r="F43" s="351"/>
      <c r="G43" s="351"/>
      <c r="H43" s="351"/>
      <c r="I43" s="351"/>
      <c r="J43" s="351"/>
      <c r="K43" s="675"/>
      <c r="L43" s="869"/>
      <c r="M43" s="857"/>
      <c r="N43" s="857"/>
      <c r="O43" s="857"/>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1.5" thickBot="1">
      <c r="A51" s="658" t="s">
        <v>1796</v>
      </c>
      <c r="B51" s="385"/>
      <c r="C51" s="659"/>
      <c r="D51" s="659"/>
      <c r="E51" s="659"/>
      <c r="F51" s="660"/>
      <c r="G51" s="660"/>
      <c r="H51" s="659"/>
      <c r="I51" s="659"/>
      <c r="J51" s="659"/>
      <c r="K51" s="883"/>
      <c r="L51" s="884"/>
      <c r="M51" s="882"/>
      <c r="N51" s="882"/>
      <c r="O51" s="882"/>
      <c r="P51" s="438"/>
      <c r="Q51" s="439"/>
    </row>
    <row r="52" spans="1:17" s="442" customFormat="1">
      <c r="A52" s="440" t="s">
        <v>1677</v>
      </c>
      <c r="B52" s="441"/>
      <c r="C52" s="1099" t="str">
        <f>YEAR(C7)&amp;"-"&amp;MONTH(C7)</f>
        <v>2024-7</v>
      </c>
      <c r="D52" s="1100">
        <f>EDATE(C52,-1)</f>
        <v>45444</v>
      </c>
      <c r="E52" s="1100">
        <f t="shared" ref="E52:O52" si="16">EDATE(D52,-1)</f>
        <v>45413</v>
      </c>
      <c r="F52" s="1100">
        <f t="shared" si="16"/>
        <v>45383</v>
      </c>
      <c r="G52" s="1100">
        <f t="shared" si="16"/>
        <v>45352</v>
      </c>
      <c r="H52" s="1100">
        <f t="shared" si="16"/>
        <v>45323</v>
      </c>
      <c r="I52" s="1100">
        <f t="shared" si="16"/>
        <v>45292</v>
      </c>
      <c r="J52" s="1100">
        <f t="shared" si="16"/>
        <v>45261</v>
      </c>
      <c r="K52" s="1100">
        <f t="shared" si="16"/>
        <v>45231</v>
      </c>
      <c r="L52" s="1100">
        <f t="shared" si="16"/>
        <v>45200</v>
      </c>
      <c r="M52" s="1100">
        <f t="shared" si="16"/>
        <v>45170</v>
      </c>
      <c r="N52" s="1100">
        <f t="shared" si="16"/>
        <v>45139</v>
      </c>
      <c r="O52" s="1100">
        <f t="shared" si="16"/>
        <v>45108</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4.5" thickBot="1">
      <c r="A54" s="449" t="s">
        <v>1714</v>
      </c>
      <c r="B54" s="450"/>
      <c r="C54" s="451"/>
      <c r="D54" s="452"/>
      <c r="E54" s="452"/>
      <c r="F54" s="452"/>
      <c r="G54" s="452"/>
      <c r="H54" s="452"/>
      <c r="I54" s="452"/>
      <c r="J54" s="452"/>
      <c r="K54" s="452"/>
      <c r="L54" s="452"/>
      <c r="M54" s="453"/>
      <c r="N54" s="2534"/>
      <c r="O54" s="2535"/>
      <c r="P54" s="439"/>
      <c r="Q54" s="439"/>
    </row>
    <row r="55" spans="1:17" s="102" customFormat="1">
      <c r="A55" s="455" t="s">
        <v>1679</v>
      </c>
      <c r="B55" s="444"/>
      <c r="C55" s="456" t="s">
        <v>1774</v>
      </c>
      <c r="D55" s="31"/>
      <c r="E55" s="31"/>
      <c r="F55" s="31"/>
      <c r="G55" s="31"/>
      <c r="H55" s="31"/>
      <c r="I55" s="31"/>
      <c r="J55" s="31"/>
      <c r="K55" s="31"/>
      <c r="L55" s="457"/>
      <c r="M55" s="458"/>
      <c r="N55" s="874"/>
      <c r="O55" s="874"/>
      <c r="P55" s="459"/>
      <c r="Q55" s="439"/>
    </row>
    <row r="56" spans="1:17" s="102" customFormat="1" ht="14.5" thickBot="1">
      <c r="A56" s="455"/>
      <c r="B56" s="444"/>
      <c r="C56" s="563">
        <v>100</v>
      </c>
      <c r="D56" s="446"/>
      <c r="E56" s="446"/>
      <c r="F56" s="446"/>
      <c r="G56" s="446"/>
      <c r="H56" s="446"/>
      <c r="I56" s="446"/>
      <c r="J56" s="446"/>
      <c r="K56" s="446"/>
      <c r="L56" s="446"/>
      <c r="M56" s="448"/>
      <c r="N56" s="874"/>
      <c r="O56" s="874"/>
      <c r="P56" s="439"/>
      <c r="Q56" s="439"/>
    </row>
    <row r="57" spans="1:17">
      <c r="A57" s="379" t="s">
        <v>1717</v>
      </c>
      <c r="B57" s="460" t="s">
        <v>1683</v>
      </c>
      <c r="C57" s="461">
        <f>C9</f>
        <v>0</v>
      </c>
      <c r="D57" s="462"/>
      <c r="E57" s="462"/>
      <c r="F57" s="462"/>
      <c r="G57" s="462"/>
      <c r="H57" s="462"/>
      <c r="I57" s="462"/>
      <c r="J57" s="462"/>
      <c r="K57" s="463"/>
      <c r="L57" s="464"/>
      <c r="M57" s="465"/>
      <c r="N57" s="875"/>
      <c r="O57" s="875"/>
      <c r="P57" s="40"/>
      <c r="Q57" s="439"/>
    </row>
    <row r="58" spans="1:17" ht="14.5" thickBot="1">
      <c r="A58" s="367"/>
      <c r="B58" s="466"/>
      <c r="C58" s="467">
        <v>100</v>
      </c>
      <c r="D58" s="467"/>
      <c r="E58" s="467"/>
      <c r="F58" s="467"/>
      <c r="G58" s="467"/>
      <c r="H58" s="467"/>
      <c r="I58" s="467"/>
      <c r="J58" s="467"/>
      <c r="K58" s="467"/>
      <c r="L58" s="467"/>
      <c r="M58" s="468"/>
      <c r="N58" s="876"/>
      <c r="O58" s="876"/>
      <c r="P58" s="40"/>
      <c r="Q58" s="439"/>
    </row>
    <row r="59" spans="1:17" ht="28.5" thickTop="1">
      <c r="A59" s="367"/>
      <c r="B59" s="469" t="s">
        <v>1686</v>
      </c>
      <c r="C59" s="513"/>
      <c r="D59" s="513"/>
      <c r="E59" s="513"/>
      <c r="F59" s="513"/>
      <c r="G59" s="513"/>
      <c r="H59" s="513"/>
      <c r="I59" s="513"/>
      <c r="J59" s="513"/>
      <c r="K59" s="514"/>
      <c r="L59" s="515"/>
      <c r="M59" s="516"/>
      <c r="N59" s="875"/>
      <c r="O59" s="875"/>
      <c r="P59" s="40"/>
      <c r="Q59" s="439"/>
    </row>
    <row r="60" spans="1:17" ht="14.5" thickBot="1">
      <c r="A60" s="367"/>
      <c r="B60" s="474"/>
      <c r="C60" s="467"/>
      <c r="D60" s="467"/>
      <c r="E60" s="467"/>
      <c r="F60" s="467"/>
      <c r="G60" s="467"/>
      <c r="H60" s="467"/>
      <c r="I60" s="467"/>
      <c r="J60" s="467"/>
      <c r="K60" s="467"/>
      <c r="L60" s="467"/>
      <c r="M60" s="468"/>
      <c r="N60" s="876"/>
      <c r="O60" s="876"/>
      <c r="P60" s="40"/>
      <c r="Q60" s="439"/>
    </row>
    <row r="61" spans="1:17" ht="14.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5" thickTop="1">
      <c r="A64" s="484"/>
      <c r="B64" s="469">
        <f>B12</f>
        <v>111</v>
      </c>
      <c r="C64" s="485"/>
      <c r="D64" s="485"/>
      <c r="E64" s="485"/>
      <c r="F64" s="485"/>
      <c r="G64" s="485"/>
      <c r="H64" s="486"/>
      <c r="I64" s="486"/>
      <c r="J64" s="486"/>
      <c r="K64" s="486"/>
      <c r="L64" s="487"/>
      <c r="M64" s="488"/>
      <c r="N64" s="877"/>
      <c r="O64" s="877"/>
      <c r="P64" s="489"/>
      <c r="Q64" s="490"/>
    </row>
    <row r="65" spans="1:17" s="408" customFormat="1" ht="14.5" thickBot="1">
      <c r="A65" s="484"/>
      <c r="B65" s="474"/>
      <c r="C65" s="491"/>
      <c r="D65" s="467"/>
      <c r="E65" s="467"/>
      <c r="F65" s="467"/>
      <c r="G65" s="467"/>
      <c r="H65" s="467"/>
      <c r="I65" s="467"/>
      <c r="J65" s="467"/>
      <c r="K65" s="467"/>
      <c r="L65" s="467"/>
      <c r="M65" s="468"/>
      <c r="N65" s="876"/>
      <c r="O65" s="876"/>
      <c r="P65" s="489"/>
      <c r="Q65" s="490"/>
    </row>
    <row r="66" spans="1:17" s="408" customFormat="1" ht="14.5" thickTop="1">
      <c r="A66" s="484"/>
      <c r="B66" s="469">
        <f>B13</f>
        <v>111</v>
      </c>
      <c r="C66" s="485"/>
      <c r="D66" s="485"/>
      <c r="E66" s="485"/>
      <c r="F66" s="485"/>
      <c r="G66" s="485"/>
      <c r="H66" s="486"/>
      <c r="I66" s="486"/>
      <c r="J66" s="486"/>
      <c r="K66" s="486"/>
      <c r="L66" s="487"/>
      <c r="M66" s="488"/>
      <c r="N66" s="877"/>
      <c r="O66" s="877"/>
      <c r="Q66" s="492"/>
    </row>
    <row r="67" spans="1:17" s="408" customFormat="1" ht="14.5" thickBot="1">
      <c r="A67" s="484"/>
      <c r="B67" s="474"/>
      <c r="C67" s="491"/>
      <c r="D67" s="467"/>
      <c r="E67" s="467"/>
      <c r="F67" s="467"/>
      <c r="G67" s="491"/>
      <c r="H67" s="493"/>
      <c r="I67" s="493"/>
      <c r="J67" s="493"/>
      <c r="K67" s="493"/>
      <c r="L67" s="493"/>
      <c r="M67" s="494"/>
      <c r="N67" s="877"/>
      <c r="O67" s="877"/>
      <c r="P67" s="489"/>
      <c r="Q67" s="490"/>
    </row>
    <row r="68" spans="1:17" s="408" customFormat="1" ht="14.5" thickTop="1">
      <c r="A68" s="484"/>
      <c r="B68" s="477">
        <f>B14</f>
        <v>111</v>
      </c>
      <c r="C68" s="31"/>
      <c r="D68" s="31"/>
      <c r="E68" s="31"/>
      <c r="F68" s="31"/>
      <c r="G68" s="31"/>
      <c r="H68" s="495"/>
      <c r="I68" s="495"/>
      <c r="J68" s="495"/>
      <c r="K68" s="495"/>
      <c r="L68" s="496"/>
      <c r="M68" s="497"/>
      <c r="N68" s="877"/>
      <c r="O68" s="877"/>
      <c r="P68" s="498"/>
      <c r="Q68" s="490"/>
    </row>
    <row r="69" spans="1:17" s="408" customFormat="1" ht="14.5" thickBot="1">
      <c r="A69" s="499"/>
      <c r="B69" s="500"/>
      <c r="C69" s="501"/>
      <c r="D69" s="501"/>
      <c r="E69" s="501"/>
      <c r="F69" s="501"/>
      <c r="G69" s="501"/>
      <c r="H69" s="502"/>
      <c r="I69" s="502"/>
      <c r="J69" s="502"/>
      <c r="K69" s="502"/>
      <c r="L69" s="502"/>
      <c r="M69" s="503"/>
      <c r="N69" s="877"/>
      <c r="O69" s="877"/>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5"/>
      <c r="O70" s="875"/>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4.5" thickTop="1">
      <c r="A72" s="367"/>
      <c r="B72" s="469" t="s">
        <v>1724</v>
      </c>
      <c r="C72" s="509" t="s">
        <v>1719</v>
      </c>
      <c r="D72" s="509" t="s">
        <v>1720</v>
      </c>
      <c r="E72" s="509" t="s">
        <v>1721</v>
      </c>
      <c r="F72" s="509" t="s">
        <v>1722</v>
      </c>
      <c r="G72" s="509" t="s">
        <v>1723</v>
      </c>
      <c r="H72" s="470"/>
      <c r="I72" s="470"/>
      <c r="J72" s="470"/>
      <c r="K72" s="471"/>
      <c r="L72" s="472"/>
      <c r="M72" s="473"/>
      <c r="N72" s="875"/>
      <c r="O72" s="875"/>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4.5" thickTop="1">
      <c r="A74" s="367"/>
      <c r="B74" s="469" t="s">
        <v>1725</v>
      </c>
      <c r="C74" s="509" t="s">
        <v>1719</v>
      </c>
      <c r="D74" s="509" t="s">
        <v>1720</v>
      </c>
      <c r="E74" s="509" t="s">
        <v>1721</v>
      </c>
      <c r="F74" s="509" t="s">
        <v>1722</v>
      </c>
      <c r="G74" s="509" t="s">
        <v>1723</v>
      </c>
      <c r="H74" s="470"/>
      <c r="I74" s="470"/>
      <c r="J74" s="470"/>
      <c r="K74" s="471"/>
      <c r="L74" s="472"/>
      <c r="M74" s="473"/>
      <c r="N74" s="875"/>
      <c r="O74" s="875"/>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4.5" thickTop="1">
      <c r="A76" s="367"/>
      <c r="B76" s="477" t="s">
        <v>1811</v>
      </c>
      <c r="C76" s="581" t="s">
        <v>1797</v>
      </c>
      <c r="D76" s="581" t="s">
        <v>1798</v>
      </c>
      <c r="E76" s="581" t="s">
        <v>1799</v>
      </c>
      <c r="F76" s="581" t="s">
        <v>1800</v>
      </c>
      <c r="G76" s="581" t="s">
        <v>1801</v>
      </c>
      <c r="H76" s="470"/>
      <c r="I76" s="470"/>
      <c r="J76" s="470"/>
      <c r="K76" s="470"/>
      <c r="L76" s="470"/>
      <c r="M76" s="1059"/>
      <c r="N76" s="876"/>
      <c r="O76" s="876"/>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4.5" thickTop="1">
      <c r="A78" s="367"/>
      <c r="B78" s="469" t="s">
        <v>1820</v>
      </c>
      <c r="C78" s="509" t="s">
        <v>1719</v>
      </c>
      <c r="D78" s="509" t="s">
        <v>1720</v>
      </c>
      <c r="E78" s="509" t="s">
        <v>1721</v>
      </c>
      <c r="F78" s="509" t="s">
        <v>1722</v>
      </c>
      <c r="G78" s="509" t="s">
        <v>1723</v>
      </c>
      <c r="H78" s="470"/>
      <c r="I78" s="470"/>
      <c r="J78" s="470"/>
      <c r="K78" s="471"/>
      <c r="L78" s="472"/>
      <c r="M78" s="473"/>
      <c r="N78" s="875"/>
      <c r="O78" s="875"/>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5" thickTop="1">
      <c r="A80" s="370"/>
      <c r="B80" s="469">
        <f>B25</f>
        <v>111</v>
      </c>
      <c r="C80" s="485"/>
      <c r="D80" s="485"/>
      <c r="E80" s="485"/>
      <c r="F80" s="485"/>
      <c r="G80" s="485"/>
      <c r="H80" s="485"/>
      <c r="I80" s="485"/>
      <c r="J80" s="485"/>
      <c r="K80" s="485"/>
      <c r="L80" s="510"/>
      <c r="M80" s="511"/>
      <c r="N80" s="874"/>
      <c r="O80" s="874"/>
      <c r="P80" s="40"/>
      <c r="Q80" s="439"/>
    </row>
    <row r="81" spans="1:17" s="102" customFormat="1" ht="14.5" thickBot="1">
      <c r="A81" s="370"/>
      <c r="B81" s="474"/>
      <c r="C81" s="491"/>
      <c r="D81" s="467"/>
      <c r="E81" s="467"/>
      <c r="F81" s="467"/>
      <c r="G81" s="467"/>
      <c r="H81" s="467"/>
      <c r="I81" s="467"/>
      <c r="J81" s="467"/>
      <c r="K81" s="467"/>
      <c r="L81" s="467"/>
      <c r="M81" s="468"/>
      <c r="N81" s="876"/>
      <c r="O81" s="876"/>
      <c r="P81" s="40"/>
      <c r="Q81" s="439"/>
    </row>
    <row r="82" spans="1:17" s="102" customFormat="1" ht="14.5" thickTop="1">
      <c r="A82" s="370"/>
      <c r="B82" s="469">
        <f>B26</f>
        <v>111</v>
      </c>
      <c r="C82" s="485"/>
      <c r="D82" s="485"/>
      <c r="E82" s="485"/>
      <c r="F82" s="485"/>
      <c r="G82" s="485"/>
      <c r="H82" s="485"/>
      <c r="I82" s="485"/>
      <c r="J82" s="485"/>
      <c r="K82" s="485"/>
      <c r="L82" s="510"/>
      <c r="M82" s="511"/>
      <c r="N82" s="874"/>
      <c r="O82" s="874"/>
      <c r="P82" s="40"/>
      <c r="Q82" s="439"/>
    </row>
    <row r="83" spans="1:17" s="102" customFormat="1" ht="14.5" thickBot="1">
      <c r="A83" s="370"/>
      <c r="B83" s="474"/>
      <c r="C83" s="491"/>
      <c r="D83" s="467"/>
      <c r="E83" s="467"/>
      <c r="F83" s="467"/>
      <c r="G83" s="467"/>
      <c r="H83" s="467"/>
      <c r="I83" s="467"/>
      <c r="J83" s="467"/>
      <c r="K83" s="467"/>
      <c r="L83" s="467"/>
      <c r="M83" s="468"/>
      <c r="N83" s="876"/>
      <c r="O83" s="876"/>
      <c r="P83" s="40"/>
      <c r="Q83" s="439"/>
    </row>
    <row r="84" spans="1:17" s="408" customFormat="1" ht="14.5" thickTop="1">
      <c r="A84" s="484"/>
      <c r="B84" s="469">
        <f>B27</f>
        <v>111</v>
      </c>
      <c r="C84" s="485"/>
      <c r="D84" s="485"/>
      <c r="E84" s="485"/>
      <c r="F84" s="485"/>
      <c r="G84" s="485"/>
      <c r="H84" s="485"/>
      <c r="I84" s="485"/>
      <c r="J84" s="485"/>
      <c r="K84" s="485"/>
      <c r="L84" s="510"/>
      <c r="M84" s="511"/>
      <c r="N84" s="877"/>
      <c r="O84" s="877"/>
      <c r="P84" s="489"/>
      <c r="Q84" s="490"/>
    </row>
    <row r="85" spans="1:17" s="408" customFormat="1" ht="14.5" thickBot="1">
      <c r="A85" s="484"/>
      <c r="B85" s="474"/>
      <c r="C85" s="491"/>
      <c r="D85" s="467"/>
      <c r="E85" s="467"/>
      <c r="F85" s="467"/>
      <c r="G85" s="467"/>
      <c r="H85" s="467"/>
      <c r="I85" s="467"/>
      <c r="J85" s="467"/>
      <c r="K85" s="467"/>
      <c r="L85" s="467"/>
      <c r="M85" s="468"/>
      <c r="N85" s="877"/>
      <c r="O85" s="877"/>
      <c r="P85" s="489"/>
      <c r="Q85" s="490"/>
    </row>
    <row r="86" spans="1:17" ht="14.5" thickTop="1">
      <c r="A86" s="367"/>
      <c r="B86" s="477">
        <f>B28</f>
        <v>111</v>
      </c>
      <c r="C86" s="31"/>
      <c r="D86" s="31"/>
      <c r="E86" s="31"/>
      <c r="F86" s="31"/>
      <c r="G86" s="517"/>
      <c r="H86" s="517"/>
      <c r="I86" s="517"/>
      <c r="J86" s="517"/>
      <c r="K86" s="518"/>
      <c r="L86" s="519"/>
      <c r="M86" s="520"/>
      <c r="N86" s="875"/>
      <c r="O86" s="875"/>
      <c r="P86" s="40"/>
      <c r="Q86" s="439"/>
    </row>
    <row r="87" spans="1:17" ht="14.5" thickBot="1">
      <c r="A87" s="375"/>
      <c r="B87" s="500"/>
      <c r="C87" s="501"/>
      <c r="D87" s="501"/>
      <c r="E87" s="501"/>
      <c r="F87" s="501"/>
      <c r="G87" s="521"/>
      <c r="H87" s="521"/>
      <c r="I87" s="521"/>
      <c r="J87" s="521"/>
      <c r="K87" s="521"/>
      <c r="L87" s="521"/>
      <c r="M87" s="522"/>
      <c r="N87" s="876"/>
      <c r="O87" s="876"/>
      <c r="P87" s="40"/>
      <c r="Q87" s="439"/>
    </row>
    <row r="88" spans="1:17">
      <c r="A88" s="379" t="s">
        <v>1692</v>
      </c>
      <c r="B88" s="460" t="s">
        <v>1734</v>
      </c>
      <c r="C88" s="462"/>
      <c r="D88" s="462"/>
      <c r="E88" s="462"/>
      <c r="F88" s="462"/>
      <c r="G88" s="462"/>
      <c r="H88" s="462"/>
      <c r="I88" s="462"/>
      <c r="J88" s="462"/>
      <c r="K88" s="463"/>
      <c r="L88" s="464"/>
      <c r="M88" s="465"/>
      <c r="N88" s="875"/>
      <c r="O88" s="875"/>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4.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5" thickBot="1">
      <c r="A92" s="484"/>
      <c r="B92" s="474"/>
      <c r="C92" s="491"/>
      <c r="D92" s="467"/>
      <c r="E92" s="467"/>
      <c r="F92" s="467"/>
      <c r="G92" s="467"/>
      <c r="H92" s="467"/>
      <c r="I92" s="467"/>
      <c r="J92" s="467"/>
      <c r="K92" s="467"/>
      <c r="L92" s="467"/>
      <c r="M92" s="468"/>
      <c r="N92" s="876"/>
      <c r="O92" s="876"/>
      <c r="P92" s="489"/>
      <c r="Q92" s="490"/>
    </row>
    <row r="93" spans="1:17" ht="14.5" thickTop="1">
      <c r="A93" s="409"/>
      <c r="B93" s="469" t="s">
        <v>1736</v>
      </c>
      <c r="C93" s="485"/>
      <c r="D93" s="485"/>
      <c r="E93" s="513"/>
      <c r="F93" s="513"/>
      <c r="G93" s="513"/>
      <c r="H93" s="513"/>
      <c r="I93" s="513"/>
      <c r="J93" s="513"/>
      <c r="K93" s="514"/>
      <c r="L93" s="515"/>
      <c r="M93" s="516"/>
      <c r="N93" s="875"/>
      <c r="O93" s="875"/>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4.5" thickTop="1">
      <c r="A95" s="409"/>
      <c r="B95" s="469" t="s">
        <v>1738</v>
      </c>
      <c r="C95" s="485"/>
      <c r="D95" s="485"/>
      <c r="E95" s="485"/>
      <c r="F95" s="513"/>
      <c r="G95" s="513"/>
      <c r="H95" s="513"/>
      <c r="I95" s="513"/>
      <c r="J95" s="513"/>
      <c r="K95" s="514"/>
      <c r="L95" s="515"/>
      <c r="M95" s="516"/>
      <c r="N95" s="875"/>
      <c r="O95" s="875"/>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4.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4.5" thickTop="1">
      <c r="A100" s="406"/>
      <c r="B100" s="469" t="s">
        <v>1739</v>
      </c>
      <c r="C100" s="485"/>
      <c r="D100" s="485"/>
      <c r="E100" s="485"/>
      <c r="F100" s="485"/>
      <c r="G100" s="485"/>
      <c r="H100" s="513"/>
      <c r="I100" s="513"/>
      <c r="J100" s="513"/>
      <c r="K100" s="514"/>
      <c r="L100" s="515"/>
      <c r="M100" s="516"/>
      <c r="N100" s="877"/>
      <c r="O100" s="877"/>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4.5" thickTop="1">
      <c r="A102" s="409"/>
      <c r="B102" s="469" t="s">
        <v>1740</v>
      </c>
      <c r="C102" s="485"/>
      <c r="D102" s="485"/>
      <c r="E102" s="485"/>
      <c r="F102" s="485"/>
      <c r="G102" s="485"/>
      <c r="H102" s="513"/>
      <c r="I102" s="513"/>
      <c r="J102" s="513"/>
      <c r="K102" s="514"/>
      <c r="L102" s="515"/>
      <c r="M102" s="516"/>
      <c r="N102" s="875"/>
      <c r="O102" s="875"/>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4.5" thickTop="1">
      <c r="A104" s="409"/>
      <c r="B104" s="469" t="s">
        <v>1742</v>
      </c>
      <c r="C104" s="485"/>
      <c r="D104" s="485"/>
      <c r="E104" s="485"/>
      <c r="F104" s="485"/>
      <c r="G104" s="485"/>
      <c r="H104" s="513"/>
      <c r="I104" s="513"/>
      <c r="J104" s="513"/>
      <c r="K104" s="514"/>
      <c r="L104" s="515"/>
      <c r="M104" s="516"/>
      <c r="N104" s="875"/>
      <c r="O104" s="875"/>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8.5" thickTop="1">
      <c r="A106" s="409"/>
      <c r="B106" s="560" t="s">
        <v>1828</v>
      </c>
      <c r="C106" s="509" t="s">
        <v>1719</v>
      </c>
      <c r="D106" s="509" t="s">
        <v>1720</v>
      </c>
      <c r="E106" s="509" t="s">
        <v>1721</v>
      </c>
      <c r="F106" s="509" t="s">
        <v>1722</v>
      </c>
      <c r="G106" s="509" t="s">
        <v>1723</v>
      </c>
      <c r="H106" s="470"/>
      <c r="I106" s="470"/>
      <c r="J106" s="470"/>
      <c r="K106" s="471"/>
      <c r="L106" s="472"/>
      <c r="M106" s="473"/>
      <c r="N106" s="876"/>
      <c r="O106" s="876"/>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5" thickBot="1">
      <c r="A109" s="484"/>
      <c r="B109" s="466"/>
      <c r="C109" s="491"/>
      <c r="D109" s="467"/>
      <c r="E109" s="467"/>
      <c r="F109" s="467"/>
      <c r="G109" s="491"/>
      <c r="H109" s="493"/>
      <c r="I109" s="493"/>
      <c r="J109" s="493"/>
      <c r="K109" s="493"/>
      <c r="L109" s="493"/>
      <c r="M109" s="494"/>
      <c r="N109" s="877"/>
      <c r="O109" s="877"/>
      <c r="P109" s="489"/>
      <c r="Q109" s="490"/>
    </row>
    <row r="110" spans="1:17" ht="14.5" thickTop="1">
      <c r="A110" s="409"/>
      <c r="B110" s="469">
        <f>B39</f>
        <v>111</v>
      </c>
      <c r="C110" s="485"/>
      <c r="D110" s="485"/>
      <c r="E110" s="485"/>
      <c r="F110" s="485"/>
      <c r="G110" s="485"/>
      <c r="H110" s="486"/>
      <c r="I110" s="486"/>
      <c r="J110" s="486"/>
      <c r="K110" s="486"/>
      <c r="L110" s="487"/>
      <c r="M110" s="488"/>
      <c r="N110" s="875"/>
      <c r="O110" s="875"/>
      <c r="P110" s="40"/>
      <c r="Q110" s="439"/>
    </row>
    <row r="111" spans="1:17" ht="14.5" thickBot="1">
      <c r="A111" s="367"/>
      <c r="B111" s="474"/>
      <c r="C111" s="491"/>
      <c r="D111" s="467"/>
      <c r="E111" s="467"/>
      <c r="F111" s="467"/>
      <c r="G111" s="491"/>
      <c r="H111" s="493"/>
      <c r="I111" s="493"/>
      <c r="J111" s="493"/>
      <c r="K111" s="493"/>
      <c r="L111" s="493"/>
      <c r="M111" s="494"/>
      <c r="N111" s="876"/>
      <c r="O111" s="876"/>
      <c r="P111" s="40"/>
      <c r="Q111" s="439"/>
    </row>
    <row r="112" spans="1:17" ht="14.5" thickTop="1">
      <c r="A112" s="409"/>
      <c r="B112" s="477">
        <f>B40</f>
        <v>111</v>
      </c>
      <c r="C112" s="31"/>
      <c r="D112" s="31"/>
      <c r="E112" s="31"/>
      <c r="F112" s="31"/>
      <c r="G112" s="517"/>
      <c r="H112" s="517"/>
      <c r="I112" s="517"/>
      <c r="J112" s="517"/>
      <c r="K112" s="31"/>
      <c r="L112" s="457"/>
      <c r="M112" s="520"/>
      <c r="N112" s="875"/>
      <c r="O112" s="875"/>
      <c r="P112" s="40"/>
      <c r="Q112" s="439"/>
    </row>
    <row r="113" spans="1:17" ht="14.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4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1829</v>
      </c>
      <c r="B1" s="1136" t="s">
        <v>3331</v>
      </c>
      <c r="C1" s="1137" t="s">
        <v>1660</v>
      </c>
      <c r="D1" s="1138"/>
      <c r="E1" s="3126"/>
      <c r="F1" s="1731"/>
      <c r="G1" s="1140" t="s">
        <v>1765</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499"/>
      <c r="M2" s="2500"/>
      <c r="N2" s="2500"/>
      <c r="O2" s="2500"/>
      <c r="P2" s="1082"/>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2"/>
      <c r="Q3" s="341"/>
      <c r="R3" s="341"/>
      <c r="S3" s="341"/>
      <c r="T3" s="341"/>
      <c r="U3" s="341"/>
      <c r="V3" s="341"/>
      <c r="W3" s="341"/>
      <c r="X3" s="341"/>
      <c r="Y3" s="341"/>
      <c r="Z3" s="341"/>
      <c r="AA3" s="341"/>
      <c r="AB3" s="676"/>
      <c r="AC3" s="663"/>
    </row>
    <row r="4" spans="1:29">
      <c r="A4" s="345" t="s">
        <v>1767</v>
      </c>
      <c r="B4" s="346"/>
      <c r="C4" s="3447" t="s">
        <v>1768</v>
      </c>
      <c r="D4" s="3448"/>
      <c r="E4" s="3449" t="s">
        <v>1769</v>
      </c>
      <c r="F4" s="3450"/>
      <c r="G4" s="3447" t="s">
        <v>1770</v>
      </c>
      <c r="H4" s="3448"/>
      <c r="I4" s="3447" t="s">
        <v>1771</v>
      </c>
      <c r="J4" s="3448"/>
      <c r="K4" s="537" t="s">
        <v>1772</v>
      </c>
      <c r="L4" s="2482"/>
      <c r="M4" s="2483"/>
      <c r="N4" s="2483"/>
      <c r="O4" s="2483"/>
      <c r="P4" s="3451" t="s">
        <v>1773</v>
      </c>
      <c r="Q4" s="3452"/>
      <c r="R4" s="3434" t="s">
        <v>1769</v>
      </c>
      <c r="S4" s="3435"/>
      <c r="T4" s="3434" t="s">
        <v>1770</v>
      </c>
      <c r="U4" s="3435"/>
      <c r="V4" s="3459" t="s">
        <v>1771</v>
      </c>
      <c r="W4" s="3459"/>
      <c r="X4" s="1261"/>
      <c r="Y4" s="3434" t="s">
        <v>1773</v>
      </c>
      <c r="Z4" s="3435"/>
      <c r="AA4" s="3429" t="s">
        <v>1769</v>
      </c>
      <c r="AB4" s="3430" t="s">
        <v>1770</v>
      </c>
      <c r="AC4" s="3429" t="s">
        <v>1771</v>
      </c>
    </row>
    <row r="5" spans="1:29">
      <c r="A5" s="348"/>
      <c r="B5" s="349"/>
      <c r="C5" s="3440" t="s">
        <v>1671</v>
      </c>
      <c r="D5" s="3441"/>
      <c r="E5" s="3438" t="s">
        <v>1672</v>
      </c>
      <c r="F5" s="3439"/>
      <c r="G5" s="3440" t="s">
        <v>1673</v>
      </c>
      <c r="H5" s="3441"/>
      <c r="I5" s="3440" t="s">
        <v>1674</v>
      </c>
      <c r="J5" s="3441"/>
      <c r="K5" s="537"/>
      <c r="L5" s="2482"/>
      <c r="M5" s="2483"/>
      <c r="N5" s="2483"/>
      <c r="O5" s="2483"/>
      <c r="P5" s="3453"/>
      <c r="Q5" s="3454"/>
      <c r="R5" s="3436"/>
      <c r="S5" s="3437"/>
      <c r="T5" s="3436"/>
      <c r="U5" s="3437"/>
      <c r="V5" s="3459"/>
      <c r="W5" s="3459"/>
      <c r="X5" s="1261"/>
      <c r="Y5" s="3436"/>
      <c r="Z5" s="3437"/>
      <c r="AA5" s="3430"/>
      <c r="AB5" s="3430"/>
      <c r="AC5" s="3430"/>
    </row>
    <row r="6" spans="1:29" ht="15" thickBot="1">
      <c r="A6" s="350"/>
      <c r="B6" s="351"/>
      <c r="C6" s="3442" t="s">
        <v>1675</v>
      </c>
      <c r="D6" s="3443"/>
      <c r="E6" s="3444" t="s">
        <v>1675</v>
      </c>
      <c r="F6" s="3445"/>
      <c r="G6" s="3442" t="s">
        <v>1675</v>
      </c>
      <c r="H6" s="3443"/>
      <c r="I6" s="3442" t="s">
        <v>1675</v>
      </c>
      <c r="J6" s="3443"/>
      <c r="K6" s="537" t="s">
        <v>1676</v>
      </c>
      <c r="L6" s="2482"/>
      <c r="M6" s="2483"/>
      <c r="N6" s="2483"/>
      <c r="O6" s="2483"/>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2" t="s">
        <v>1678</v>
      </c>
      <c r="Q7" s="3460"/>
      <c r="R7" s="664" t="s">
        <v>14</v>
      </c>
      <c r="S7" s="665">
        <f t="shared" ref="S7:S14" si="0">F7</f>
        <v>0</v>
      </c>
      <c r="T7" s="664" t="s">
        <v>14</v>
      </c>
      <c r="U7" s="665">
        <f t="shared" ref="U7:U14" si="1">H7</f>
        <v>0</v>
      </c>
      <c r="V7" s="664" t="s">
        <v>14</v>
      </c>
      <c r="W7" s="665">
        <f t="shared" ref="W7:W14" si="2">J7</f>
        <v>0</v>
      </c>
      <c r="X7" s="666"/>
      <c r="Y7" s="3432" t="s">
        <v>1678</v>
      </c>
      <c r="Z7" s="3433"/>
      <c r="AA7" s="50" t="e">
        <f>D7/F7</f>
        <v>#DIV/0!</v>
      </c>
      <c r="AB7" s="50" t="e">
        <f>D7/H7</f>
        <v>#DIV/0!</v>
      </c>
      <c r="AC7" s="50" t="e">
        <f>D7/J7</f>
        <v>#DIV/0!</v>
      </c>
    </row>
    <row r="8" spans="1:29" s="102" customFormat="1" ht="14.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2" t="s">
        <v>1681</v>
      </c>
      <c r="Q8" s="3433"/>
      <c r="R8" s="664" t="s">
        <v>14</v>
      </c>
      <c r="S8" s="665">
        <f t="shared" si="0"/>
        <v>100</v>
      </c>
      <c r="T8" s="664" t="s">
        <v>14</v>
      </c>
      <c r="U8" s="665">
        <f t="shared" si="1"/>
        <v>100</v>
      </c>
      <c r="V8" s="664" t="s">
        <v>14</v>
      </c>
      <c r="W8" s="665">
        <f t="shared" si="2"/>
        <v>100</v>
      </c>
      <c r="X8" s="666"/>
      <c r="Y8" s="3432" t="s">
        <v>1681</v>
      </c>
      <c r="Z8" s="3433"/>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64" t="s">
        <v>1684</v>
      </c>
      <c r="Q9" s="530" t="str">
        <f t="shared" ref="Q9:Q14" si="6">B9</f>
        <v>用途</v>
      </c>
      <c r="R9" s="664" t="s">
        <v>14</v>
      </c>
      <c r="S9" s="665">
        <f t="shared" si="0"/>
        <v>100</v>
      </c>
      <c r="T9" s="664" t="s">
        <v>14</v>
      </c>
      <c r="U9" s="665">
        <f t="shared" si="1"/>
        <v>100</v>
      </c>
      <c r="V9" s="664" t="s">
        <v>14</v>
      </c>
      <c r="W9" s="665">
        <f t="shared" si="2"/>
        <v>100</v>
      </c>
      <c r="X9" s="666"/>
      <c r="Y9" s="3357" t="s">
        <v>1685</v>
      </c>
      <c r="Z9" s="50" t="str">
        <f t="shared" ref="Z9:Z14" si="7">Q9</f>
        <v>用途</v>
      </c>
      <c r="AA9" s="50">
        <f t="shared" si="3"/>
        <v>1</v>
      </c>
      <c r="AB9" s="50">
        <f t="shared" si="4"/>
        <v>1</v>
      </c>
      <c r="AC9" s="50">
        <f t="shared" si="5"/>
        <v>1</v>
      </c>
    </row>
    <row r="10" spans="1:29" s="366" customFormat="1" ht="28">
      <c r="A10" s="565"/>
      <c r="B10" s="566" t="s">
        <v>1686</v>
      </c>
      <c r="C10" s="3127"/>
      <c r="D10" s="119">
        <v>100</v>
      </c>
      <c r="E10" s="3127"/>
      <c r="F10" s="119">
        <f>SUMIF(55:55,E10,56:56)-SUMIF(55:55,C10,56:56)+100</f>
        <v>100</v>
      </c>
      <c r="G10" s="3128"/>
      <c r="H10" s="119">
        <f>SUMIF(55:55,G10,56:56)-SUMIF(55:55,C10,56:56)+100</f>
        <v>100</v>
      </c>
      <c r="I10" s="3127"/>
      <c r="J10" s="119">
        <f>SUMIF(55:55,I10,56:56)-SUMIF(55:55,C10,56:56)+100</f>
        <v>100</v>
      </c>
      <c r="K10" s="38"/>
      <c r="L10" s="2485"/>
      <c r="M10" s="2486"/>
      <c r="N10" s="2486"/>
      <c r="O10" s="2486"/>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64"/>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98">
      <c r="A14" s="345" t="s">
        <v>1688</v>
      </c>
      <c r="B14" s="554" t="s">
        <v>1831</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65" t="s">
        <v>1689</v>
      </c>
      <c r="Q14" s="1259" t="str">
        <f t="shared" si="6"/>
        <v>交通便捷度</v>
      </c>
      <c r="R14" s="667" t="s">
        <v>14</v>
      </c>
      <c r="S14" s="668">
        <f t="shared" si="0"/>
        <v>100</v>
      </c>
      <c r="T14" s="667" t="s">
        <v>14</v>
      </c>
      <c r="U14" s="668">
        <f t="shared" si="1"/>
        <v>100</v>
      </c>
      <c r="V14" s="667" t="s">
        <v>14</v>
      </c>
      <c r="W14" s="668">
        <f t="shared" si="2"/>
        <v>100</v>
      </c>
      <c r="X14" s="1261"/>
      <c r="Y14" s="3465" t="s">
        <v>1689</v>
      </c>
      <c r="Z14" s="1260" t="str">
        <f t="shared" si="7"/>
        <v>交通便捷度</v>
      </c>
      <c r="AA14" s="1260">
        <f t="shared" si="3"/>
        <v>1</v>
      </c>
      <c r="AB14" s="1260">
        <f t="shared" si="4"/>
        <v>1</v>
      </c>
      <c r="AC14" s="1260">
        <f t="shared" si="5"/>
        <v>1</v>
      </c>
    </row>
    <row r="15" spans="1:29" ht="15.5">
      <c r="A15" s="348"/>
      <c r="B15" s="571"/>
      <c r="C15" s="386"/>
      <c r="D15" s="387"/>
      <c r="E15" s="386"/>
      <c r="F15" s="388"/>
      <c r="G15" s="386"/>
      <c r="H15" s="389"/>
      <c r="I15" s="386"/>
      <c r="J15" s="387"/>
      <c r="K15" s="541"/>
      <c r="L15" s="2488"/>
      <c r="M15" s="2483"/>
      <c r="N15" s="2483"/>
      <c r="O15" s="2483"/>
      <c r="P15" s="3466"/>
      <c r="Q15" s="1259"/>
      <c r="R15" s="667"/>
      <c r="S15" s="668"/>
      <c r="T15" s="667"/>
      <c r="U15" s="668"/>
      <c r="V15" s="667"/>
      <c r="W15" s="668"/>
      <c r="X15" s="1261"/>
      <c r="Y15" s="3466"/>
      <c r="Z15" s="1260"/>
      <c r="AA15" s="1260">
        <v>1</v>
      </c>
      <c r="AB15" s="1260">
        <v>1</v>
      </c>
      <c r="AC15" s="1260">
        <v>1</v>
      </c>
    </row>
    <row r="16" spans="1:29" ht="56">
      <c r="A16" s="348"/>
      <c r="B16" s="556" t="s">
        <v>1810</v>
      </c>
      <c r="C16" s="1750"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66"/>
      <c r="Q16" s="1259" t="str">
        <f>B16</f>
        <v>公共配套设施</v>
      </c>
      <c r="R16" s="667" t="s">
        <v>14</v>
      </c>
      <c r="S16" s="668">
        <f>F16</f>
        <v>100</v>
      </c>
      <c r="T16" s="667" t="s">
        <v>14</v>
      </c>
      <c r="U16" s="668">
        <f>H16</f>
        <v>100</v>
      </c>
      <c r="V16" s="667" t="s">
        <v>14</v>
      </c>
      <c r="W16" s="668">
        <f>J16</f>
        <v>100</v>
      </c>
      <c r="X16" s="1261"/>
      <c r="Y16" s="3466"/>
      <c r="Z16" s="1260" t="str">
        <f>Q16</f>
        <v>公共配套设施</v>
      </c>
      <c r="AA16" s="1260">
        <f t="shared" si="3"/>
        <v>1</v>
      </c>
      <c r="AB16" s="1260">
        <f t="shared" si="4"/>
        <v>1</v>
      </c>
      <c r="AC16" s="1260">
        <f t="shared" si="5"/>
        <v>1</v>
      </c>
    </row>
    <row r="17" spans="1:29" ht="15.5">
      <c r="A17" s="348"/>
      <c r="B17" s="401"/>
      <c r="C17" s="1751"/>
      <c r="D17" s="387"/>
      <c r="E17" s="386"/>
      <c r="F17" s="388"/>
      <c r="G17" s="386"/>
      <c r="H17" s="387"/>
      <c r="I17" s="386"/>
      <c r="J17" s="387"/>
      <c r="K17" s="541"/>
      <c r="L17" s="2488"/>
      <c r="M17" s="2483"/>
      <c r="N17" s="2483"/>
      <c r="O17" s="2483"/>
      <c r="P17" s="3466"/>
      <c r="Q17" s="1259"/>
      <c r="R17" s="667"/>
      <c r="S17" s="668"/>
      <c r="T17" s="667"/>
      <c r="U17" s="668"/>
      <c r="V17" s="667"/>
      <c r="W17" s="668"/>
      <c r="X17" s="1261"/>
      <c r="Y17" s="3466"/>
      <c r="Z17" s="1260"/>
      <c r="AA17" s="1260">
        <v>1</v>
      </c>
      <c r="AB17" s="1260">
        <v>1</v>
      </c>
      <c r="AC17" s="1260">
        <v>1</v>
      </c>
    </row>
    <row r="18" spans="1:29" ht="42">
      <c r="A18" s="348"/>
      <c r="B18" s="557" t="s">
        <v>1811</v>
      </c>
      <c r="C18" s="1750"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66"/>
      <c r="Q18" s="1259" t="str">
        <f>B18</f>
        <v>基础设施水平</v>
      </c>
      <c r="R18" s="667" t="s">
        <v>14</v>
      </c>
      <c r="S18" s="668">
        <f>F18</f>
        <v>100</v>
      </c>
      <c r="T18" s="667" t="s">
        <v>14</v>
      </c>
      <c r="U18" s="668">
        <f>H18</f>
        <v>100</v>
      </c>
      <c r="V18" s="667" t="s">
        <v>14</v>
      </c>
      <c r="W18" s="668">
        <f>J18</f>
        <v>100</v>
      </c>
      <c r="X18" s="1261"/>
      <c r="Y18" s="3466"/>
      <c r="Z18" s="1260" t="str">
        <f>Q18</f>
        <v>基础设施水平</v>
      </c>
      <c r="AA18" s="1260">
        <f t="shared" ref="AA18" si="8">D18/F18</f>
        <v>1</v>
      </c>
      <c r="AB18" s="1260">
        <f t="shared" ref="AB18" si="9">D18/H18</f>
        <v>1</v>
      </c>
      <c r="AC18" s="1260">
        <f t="shared" ref="AC18" si="10">D18/J18</f>
        <v>1</v>
      </c>
    </row>
    <row r="19" spans="1:29" ht="15.5">
      <c r="A19" s="348"/>
      <c r="B19" s="557"/>
      <c r="C19" s="1751"/>
      <c r="D19" s="389"/>
      <c r="E19" s="1751"/>
      <c r="F19" s="392"/>
      <c r="G19" s="1751"/>
      <c r="H19" s="387"/>
      <c r="I19" s="386"/>
      <c r="J19" s="387"/>
      <c r="K19" s="1060"/>
      <c r="L19" s="2488"/>
      <c r="M19" s="2483"/>
      <c r="N19" s="2483"/>
      <c r="O19" s="2483"/>
      <c r="P19" s="3466"/>
      <c r="Q19" s="1259"/>
      <c r="R19" s="667"/>
      <c r="S19" s="668"/>
      <c r="T19" s="667"/>
      <c r="U19" s="668"/>
      <c r="V19" s="667"/>
      <c r="W19" s="668"/>
      <c r="X19" s="1261"/>
      <c r="Y19" s="3466"/>
      <c r="Z19" s="1260"/>
      <c r="AA19" s="1260">
        <v>1</v>
      </c>
      <c r="AB19" s="1260">
        <v>1</v>
      </c>
      <c r="AC19" s="1260">
        <v>1</v>
      </c>
    </row>
    <row r="20" spans="1:29" ht="56">
      <c r="A20" s="348"/>
      <c r="B20" s="556" t="s">
        <v>1832</v>
      </c>
      <c r="C20" s="1750" t="str">
        <f>IF(B1="工业",估价对象房地状况!G7,估价对象房地状况!C9)</f>
        <v>区域自然环境：；人文环境；综合评价环境状况较好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66"/>
      <c r="Q20" s="1259" t="str">
        <f>B20</f>
        <v>自然及人文环境</v>
      </c>
      <c r="R20" s="667" t="s">
        <v>14</v>
      </c>
      <c r="S20" s="668">
        <f>F20</f>
        <v>100</v>
      </c>
      <c r="T20" s="667" t="s">
        <v>14</v>
      </c>
      <c r="U20" s="668">
        <f>H20</f>
        <v>100</v>
      </c>
      <c r="V20" s="667" t="s">
        <v>14</v>
      </c>
      <c r="W20" s="668">
        <f>J20</f>
        <v>100</v>
      </c>
      <c r="X20" s="1261"/>
      <c r="Y20" s="3466"/>
      <c r="Z20" s="1260" t="str">
        <f>Q20</f>
        <v>自然及人文环境</v>
      </c>
      <c r="AA20" s="1260">
        <f t="shared" si="3"/>
        <v>1</v>
      </c>
      <c r="AB20" s="1260">
        <f t="shared" si="4"/>
        <v>1</v>
      </c>
      <c r="AC20" s="1260">
        <f t="shared" si="5"/>
        <v>1</v>
      </c>
    </row>
    <row r="21" spans="1:29" ht="15.5">
      <c r="A21" s="348"/>
      <c r="B21" s="401"/>
      <c r="C21" s="386"/>
      <c r="D21" s="387"/>
      <c r="E21" s="386"/>
      <c r="F21" s="388"/>
      <c r="G21" s="386"/>
      <c r="H21" s="387"/>
      <c r="I21" s="386"/>
      <c r="J21" s="387"/>
      <c r="K21" s="541"/>
      <c r="L21" s="2488"/>
      <c r="M21" s="2483"/>
      <c r="N21" s="2483"/>
      <c r="O21" s="2483"/>
      <c r="P21" s="3466"/>
      <c r="Q21" s="1259"/>
      <c r="R21" s="667"/>
      <c r="S21" s="668"/>
      <c r="T21" s="667"/>
      <c r="U21" s="668"/>
      <c r="V21" s="667"/>
      <c r="W21" s="668"/>
      <c r="X21" s="1261"/>
      <c r="Y21" s="3466"/>
      <c r="Z21" s="1260"/>
      <c r="AA21" s="1260">
        <v>1</v>
      </c>
      <c r="AB21" s="1260">
        <v>1</v>
      </c>
      <c r="AC21" s="1260">
        <v>1</v>
      </c>
    </row>
    <row r="22" spans="1:29" ht="15.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66"/>
      <c r="Q22" s="1259" t="str">
        <f>B22</f>
        <v>楼层</v>
      </c>
      <c r="R22" s="667" t="s">
        <v>14</v>
      </c>
      <c r="S22" s="668">
        <f>F22</f>
        <v>100</v>
      </c>
      <c r="T22" s="667" t="s">
        <v>14</v>
      </c>
      <c r="U22" s="668">
        <f>H22</f>
        <v>100</v>
      </c>
      <c r="V22" s="667" t="s">
        <v>14</v>
      </c>
      <c r="W22" s="668">
        <f>J22</f>
        <v>100</v>
      </c>
      <c r="X22" s="1261"/>
      <c r="Y22" s="3466"/>
      <c r="Z22" s="1260" t="str">
        <f>Q22</f>
        <v>楼层</v>
      </c>
      <c r="AA22" s="1260">
        <f t="shared" si="3"/>
        <v>1</v>
      </c>
      <c r="AB22" s="1260">
        <f t="shared" si="4"/>
        <v>1</v>
      </c>
      <c r="AC22" s="1260">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66"/>
      <c r="Q23" s="1259">
        <f>B23</f>
        <v>111</v>
      </c>
      <c r="R23" s="667" t="s">
        <v>14</v>
      </c>
      <c r="S23" s="668">
        <f>F23</f>
        <v>100</v>
      </c>
      <c r="T23" s="667" t="s">
        <v>14</v>
      </c>
      <c r="U23" s="668">
        <f>H23</f>
        <v>100</v>
      </c>
      <c r="V23" s="667" t="s">
        <v>14</v>
      </c>
      <c r="W23" s="668">
        <f>J23</f>
        <v>100</v>
      </c>
      <c r="X23" s="1261"/>
      <c r="Y23" s="3466"/>
      <c r="Z23" s="1260">
        <f>Q23</f>
        <v>111</v>
      </c>
      <c r="AA23" s="1260">
        <f t="shared" si="3"/>
        <v>1</v>
      </c>
      <c r="AB23" s="1260">
        <f t="shared" si="4"/>
        <v>1</v>
      </c>
      <c r="AC23" s="1260">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66"/>
      <c r="Q24" s="1259">
        <f t="shared" ref="Q24:Q36" si="11">B24</f>
        <v>111</v>
      </c>
      <c r="R24" s="667" t="s">
        <v>14</v>
      </c>
      <c r="S24" s="668">
        <f>F24</f>
        <v>100</v>
      </c>
      <c r="T24" s="667" t="s">
        <v>14</v>
      </c>
      <c r="U24" s="668">
        <f>H24</f>
        <v>100</v>
      </c>
      <c r="V24" s="667" t="s">
        <v>14</v>
      </c>
      <c r="W24" s="668">
        <f>J24</f>
        <v>100</v>
      </c>
      <c r="X24" s="1261"/>
      <c r="Y24" s="3466"/>
      <c r="Z24" s="1260">
        <f>Q24</f>
        <v>111</v>
      </c>
      <c r="AA24" s="1260">
        <f t="shared" si="3"/>
        <v>1</v>
      </c>
      <c r="AB24" s="1260">
        <f t="shared" si="4"/>
        <v>1</v>
      </c>
      <c r="AC24" s="1260">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66"/>
      <c r="Q25" s="530">
        <f t="shared" si="11"/>
        <v>111</v>
      </c>
      <c r="R25" s="664" t="s">
        <v>14</v>
      </c>
      <c r="S25" s="665">
        <f>F25</f>
        <v>100</v>
      </c>
      <c r="T25" s="664" t="s">
        <v>14</v>
      </c>
      <c r="U25" s="665">
        <f>H25</f>
        <v>100</v>
      </c>
      <c r="V25" s="664" t="s">
        <v>14</v>
      </c>
      <c r="W25" s="665">
        <f>J25</f>
        <v>100</v>
      </c>
      <c r="X25" s="666"/>
      <c r="Y25" s="3466"/>
      <c r="Z25" s="50">
        <f>Q25</f>
        <v>111</v>
      </c>
      <c r="AA25" s="1260">
        <f>D25/F25</f>
        <v>1</v>
      </c>
      <c r="AB25" s="1260">
        <f>D25/H25</f>
        <v>1</v>
      </c>
      <c r="AC25" s="1260">
        <f>D25/J25</f>
        <v>1</v>
      </c>
    </row>
    <row r="26" spans="1:29" ht="29">
      <c r="A26" s="574" t="s">
        <v>1692</v>
      </c>
      <c r="B26" s="59" t="s">
        <v>1834</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9" t="s">
        <v>1694</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470" t="s">
        <v>1694</v>
      </c>
      <c r="Z26" s="1260" t="str">
        <f t="shared" ref="Z26:Z36" si="15">Q26</f>
        <v>配套类型</v>
      </c>
      <c r="AA26" s="1260" t="e">
        <f t="shared" si="3"/>
        <v>#DIV/0!</v>
      </c>
      <c r="AB26" s="1260" t="e">
        <f t="shared" si="4"/>
        <v>#DIV/0!</v>
      </c>
      <c r="AC26" s="1260" t="e">
        <f t="shared" si="5"/>
        <v>#DIV/0!</v>
      </c>
    </row>
    <row r="27" spans="1:29" s="408" customFormat="1" ht="15.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70"/>
      <c r="Q27" s="531" t="str">
        <f t="shared" si="11"/>
        <v>项目停车位配比</v>
      </c>
      <c r="R27" s="669" t="s">
        <v>14</v>
      </c>
      <c r="S27" s="670">
        <f t="shared" si="12"/>
        <v>100</v>
      </c>
      <c r="T27" s="669" t="s">
        <v>14</v>
      </c>
      <c r="U27" s="670">
        <f t="shared" si="13"/>
        <v>100</v>
      </c>
      <c r="V27" s="669" t="s">
        <v>14</v>
      </c>
      <c r="W27" s="670">
        <f t="shared" si="14"/>
        <v>100</v>
      </c>
      <c r="X27" s="671"/>
      <c r="Y27" s="3470"/>
      <c r="Z27" s="672" t="str">
        <f t="shared" si="15"/>
        <v>项目停车位配比</v>
      </c>
      <c r="AA27" s="1260">
        <f t="shared" si="3"/>
        <v>1</v>
      </c>
      <c r="AB27" s="1260">
        <f t="shared" si="4"/>
        <v>1</v>
      </c>
      <c r="AC27" s="1260">
        <f t="shared" si="5"/>
        <v>1</v>
      </c>
    </row>
    <row r="28" spans="1:29" ht="15.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70"/>
      <c r="Q28" s="1259" t="str">
        <f t="shared" si="11"/>
        <v>公共部分装修</v>
      </c>
      <c r="R28" s="667" t="s">
        <v>14</v>
      </c>
      <c r="S28" s="668">
        <f t="shared" si="12"/>
        <v>100</v>
      </c>
      <c r="T28" s="667" t="s">
        <v>14</v>
      </c>
      <c r="U28" s="668">
        <f t="shared" si="13"/>
        <v>100</v>
      </c>
      <c r="V28" s="667" t="s">
        <v>14</v>
      </c>
      <c r="W28" s="668">
        <f t="shared" si="14"/>
        <v>100</v>
      </c>
      <c r="X28" s="1261"/>
      <c r="Y28" s="3470"/>
      <c r="Z28" s="1260" t="str">
        <f t="shared" si="15"/>
        <v>公共部分装修</v>
      </c>
      <c r="AA28" s="1260">
        <f t="shared" si="3"/>
        <v>1</v>
      </c>
      <c r="AB28" s="1260">
        <f t="shared" si="4"/>
        <v>1</v>
      </c>
      <c r="AC28" s="1260">
        <f t="shared" si="5"/>
        <v>1</v>
      </c>
    </row>
    <row r="29" spans="1:29" ht="15.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70"/>
      <c r="Q29" s="1259" t="str">
        <f t="shared" si="11"/>
        <v>成新率</v>
      </c>
      <c r="R29" s="667" t="s">
        <v>14</v>
      </c>
      <c r="S29" s="668" t="e">
        <f t="shared" si="12"/>
        <v>#N/A</v>
      </c>
      <c r="T29" s="667" t="s">
        <v>14</v>
      </c>
      <c r="U29" s="668" t="e">
        <f t="shared" si="13"/>
        <v>#N/A</v>
      </c>
      <c r="V29" s="667" t="s">
        <v>14</v>
      </c>
      <c r="W29" s="668" t="e">
        <f t="shared" si="14"/>
        <v>#N/A</v>
      </c>
      <c r="X29" s="1261"/>
      <c r="Y29" s="3470"/>
      <c r="Z29" s="1260" t="str">
        <f t="shared" si="15"/>
        <v>成新率</v>
      </c>
      <c r="AA29" s="1260" t="e">
        <f t="shared" si="3"/>
        <v>#N/A</v>
      </c>
      <c r="AB29" s="1260" t="e">
        <f t="shared" si="4"/>
        <v>#N/A</v>
      </c>
      <c r="AC29" s="1260" t="e">
        <f t="shared" si="5"/>
        <v>#N/A</v>
      </c>
    </row>
    <row r="30" spans="1:29" ht="15.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70"/>
      <c r="Q30" s="1259" t="str">
        <f t="shared" si="11"/>
        <v>物业等级</v>
      </c>
      <c r="R30" s="667" t="s">
        <v>14</v>
      </c>
      <c r="S30" s="668">
        <f t="shared" si="12"/>
        <v>100</v>
      </c>
      <c r="T30" s="667" t="s">
        <v>14</v>
      </c>
      <c r="U30" s="668">
        <f t="shared" si="13"/>
        <v>100</v>
      </c>
      <c r="V30" s="667" t="s">
        <v>14</v>
      </c>
      <c r="W30" s="668">
        <f t="shared" si="14"/>
        <v>100</v>
      </c>
      <c r="X30" s="1261"/>
      <c r="Y30" s="3470"/>
      <c r="Z30" s="1260" t="str">
        <f t="shared" si="15"/>
        <v>物业等级</v>
      </c>
      <c r="AA30" s="1260">
        <f t="shared" si="3"/>
        <v>1</v>
      </c>
      <c r="AB30" s="1260">
        <f t="shared" si="4"/>
        <v>1</v>
      </c>
      <c r="AC30" s="1260">
        <f t="shared" si="5"/>
        <v>1</v>
      </c>
    </row>
    <row r="31" spans="1:29" s="102" customFormat="1" ht="15.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70"/>
      <c r="Q31" s="530" t="str">
        <f t="shared" si="11"/>
        <v>停车位面积</v>
      </c>
      <c r="R31" s="664" t="s">
        <v>14</v>
      </c>
      <c r="S31" s="665" t="e">
        <f t="shared" si="12"/>
        <v>#N/A</v>
      </c>
      <c r="T31" s="664" t="s">
        <v>14</v>
      </c>
      <c r="U31" s="665" t="e">
        <f t="shared" si="13"/>
        <v>#N/A</v>
      </c>
      <c r="V31" s="664" t="s">
        <v>14</v>
      </c>
      <c r="W31" s="665" t="e">
        <f t="shared" si="14"/>
        <v>#N/A</v>
      </c>
      <c r="X31" s="666"/>
      <c r="Y31" s="3470"/>
      <c r="Z31" s="50" t="str">
        <f t="shared" si="15"/>
        <v>停车位面积</v>
      </c>
      <c r="AA31" s="50" t="e">
        <f t="shared" si="3"/>
        <v>#N/A</v>
      </c>
      <c r="AB31" s="50" t="e">
        <f t="shared" si="4"/>
        <v>#N/A</v>
      </c>
      <c r="AC31" s="50" t="e">
        <f t="shared" si="5"/>
        <v>#N/A</v>
      </c>
    </row>
    <row r="32" spans="1:29" ht="15.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70" t="s">
        <v>1694</v>
      </c>
      <c r="Q32" s="1259" t="str">
        <f t="shared" si="11"/>
        <v>车位类型</v>
      </c>
      <c r="R32" s="667" t="s">
        <v>14</v>
      </c>
      <c r="S32" s="668">
        <f t="shared" si="12"/>
        <v>100</v>
      </c>
      <c r="T32" s="667" t="s">
        <v>14</v>
      </c>
      <c r="U32" s="668">
        <f t="shared" si="13"/>
        <v>100</v>
      </c>
      <c r="V32" s="667" t="s">
        <v>14</v>
      </c>
      <c r="W32" s="668">
        <f t="shared" si="14"/>
        <v>100</v>
      </c>
      <c r="X32" s="1261"/>
      <c r="Y32" s="3470" t="s">
        <v>1694</v>
      </c>
      <c r="Z32" s="1260" t="str">
        <f t="shared" si="15"/>
        <v>车位类型</v>
      </c>
      <c r="AA32" s="1260">
        <f t="shared" si="3"/>
        <v>1</v>
      </c>
      <c r="AB32" s="1260">
        <f t="shared" si="4"/>
        <v>1</v>
      </c>
      <c r="AC32" s="1260">
        <f t="shared" si="5"/>
        <v>1</v>
      </c>
    </row>
    <row r="33" spans="1:29" ht="15.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70"/>
      <c r="Q33" s="1259" t="str">
        <f t="shared" si="11"/>
        <v>是否直接入户</v>
      </c>
      <c r="R33" s="667" t="s">
        <v>14</v>
      </c>
      <c r="S33" s="668">
        <f t="shared" si="12"/>
        <v>100</v>
      </c>
      <c r="T33" s="667" t="s">
        <v>14</v>
      </c>
      <c r="U33" s="668">
        <f t="shared" si="13"/>
        <v>100</v>
      </c>
      <c r="V33" s="667" t="s">
        <v>14</v>
      </c>
      <c r="W33" s="668">
        <f t="shared" si="14"/>
        <v>100</v>
      </c>
      <c r="X33" s="1261"/>
      <c r="Y33" s="3470"/>
      <c r="Z33" s="1260" t="str">
        <f t="shared" si="15"/>
        <v>是否直接入户</v>
      </c>
      <c r="AA33" s="1260">
        <f t="shared" si="3"/>
        <v>1</v>
      </c>
      <c r="AB33" s="1260">
        <f t="shared" si="4"/>
        <v>1</v>
      </c>
      <c r="AC33" s="1260">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70"/>
      <c r="Q34" s="1259">
        <f t="shared" si="11"/>
        <v>111</v>
      </c>
      <c r="R34" s="667" t="s">
        <v>14</v>
      </c>
      <c r="S34" s="668">
        <f t="shared" si="12"/>
        <v>100</v>
      </c>
      <c r="T34" s="667" t="s">
        <v>14</v>
      </c>
      <c r="U34" s="668">
        <f t="shared" si="13"/>
        <v>100</v>
      </c>
      <c r="V34" s="667" t="s">
        <v>14</v>
      </c>
      <c r="W34" s="668">
        <f t="shared" si="14"/>
        <v>100</v>
      </c>
      <c r="X34" s="1261"/>
      <c r="Y34" s="3470"/>
      <c r="Z34" s="1260">
        <f t="shared" si="15"/>
        <v>111</v>
      </c>
      <c r="AA34" s="1260">
        <f t="shared" si="3"/>
        <v>1</v>
      </c>
      <c r="AB34" s="1260">
        <f t="shared" si="4"/>
        <v>1</v>
      </c>
      <c r="AC34" s="1260">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70"/>
      <c r="Q35" s="531">
        <f t="shared" si="11"/>
        <v>111</v>
      </c>
      <c r="R35" s="669" t="s">
        <v>14</v>
      </c>
      <c r="S35" s="670">
        <f t="shared" si="12"/>
        <v>100</v>
      </c>
      <c r="T35" s="669" t="s">
        <v>14</v>
      </c>
      <c r="U35" s="670">
        <f t="shared" si="13"/>
        <v>100</v>
      </c>
      <c r="V35" s="669" t="s">
        <v>14</v>
      </c>
      <c r="W35" s="670">
        <f t="shared" si="14"/>
        <v>100</v>
      </c>
      <c r="X35" s="671"/>
      <c r="Y35" s="3470"/>
      <c r="Z35" s="672">
        <f t="shared" si="15"/>
        <v>111</v>
      </c>
      <c r="AA35" s="1260">
        <f t="shared" si="3"/>
        <v>1</v>
      </c>
      <c r="AB35" s="1260">
        <f t="shared" si="4"/>
        <v>1</v>
      </c>
      <c r="AC35" s="1260">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70"/>
      <c r="Q36" s="1259">
        <f t="shared" si="11"/>
        <v>111</v>
      </c>
      <c r="R36" s="667" t="s">
        <v>14</v>
      </c>
      <c r="S36" s="668">
        <f t="shared" si="12"/>
        <v>100</v>
      </c>
      <c r="T36" s="667" t="s">
        <v>14</v>
      </c>
      <c r="U36" s="668">
        <f t="shared" si="13"/>
        <v>100</v>
      </c>
      <c r="V36" s="667" t="s">
        <v>14</v>
      </c>
      <c r="W36" s="668">
        <f t="shared" si="14"/>
        <v>100</v>
      </c>
      <c r="X36" s="1261"/>
      <c r="Y36" s="3470"/>
      <c r="Z36" s="1260">
        <f t="shared" si="15"/>
        <v>111</v>
      </c>
      <c r="AA36" s="1260">
        <f t="shared" si="3"/>
        <v>1</v>
      </c>
      <c r="AB36" s="1260">
        <f t="shared" si="4"/>
        <v>1</v>
      </c>
      <c r="AC36" s="1260">
        <f t="shared" si="5"/>
        <v>1</v>
      </c>
    </row>
    <row r="37" spans="1:29">
      <c r="A37" s="416" t="s">
        <v>1842</v>
      </c>
      <c r="B37" s="1817" t="s">
        <v>3351</v>
      </c>
      <c r="C37" s="1077" t="s">
        <v>0</v>
      </c>
      <c r="D37" s="418"/>
      <c r="E37" s="419"/>
      <c r="F37" s="420"/>
      <c r="G37" s="421"/>
      <c r="H37" s="422"/>
      <c r="I37" s="419"/>
      <c r="J37" s="422"/>
      <c r="K37" s="545"/>
      <c r="L37" s="2490"/>
      <c r="M37" s="2483"/>
      <c r="N37" s="2483"/>
      <c r="O37" s="2483"/>
      <c r="P37" s="3464" t="str">
        <f>A37</f>
        <v>成交单价</v>
      </c>
      <c r="Q37" s="3464"/>
      <c r="R37" s="3459">
        <f>E37</f>
        <v>0</v>
      </c>
      <c r="S37" s="3459"/>
      <c r="T37" s="3459">
        <f>G37</f>
        <v>0</v>
      </c>
      <c r="U37" s="3459"/>
      <c r="V37" s="3459">
        <f>I37</f>
        <v>0</v>
      </c>
      <c r="W37" s="3459"/>
      <c r="X37" s="385"/>
      <c r="Y37" s="673"/>
      <c r="Z37" s="385"/>
      <c r="AA37" s="385"/>
      <c r="AB37" s="385"/>
      <c r="AC37" s="385"/>
    </row>
    <row r="38" spans="1:29" ht="14.5" thickBot="1">
      <c r="A38" s="423" t="s">
        <v>1843</v>
      </c>
      <c r="B38" s="424" t="str">
        <f>B37</f>
        <v>元/平方米</v>
      </c>
      <c r="C38" s="1078" t="e">
        <f>R39</f>
        <v>#DIV/0!</v>
      </c>
      <c r="D38" s="2137" t="s">
        <v>2136</v>
      </c>
      <c r="E38" s="1079" t="e">
        <f>R38</f>
        <v>#DIV/0!</v>
      </c>
      <c r="F38" s="2138"/>
      <c r="G38" s="1078" t="e">
        <f>T38</f>
        <v>#DIV/0!</v>
      </c>
      <c r="H38" s="2138"/>
      <c r="I38" s="1079" t="e">
        <f>V38</f>
        <v>#DIV/0!</v>
      </c>
      <c r="J38" s="2138"/>
      <c r="K38" s="2140">
        <f>F38+H38+J38</f>
        <v>0</v>
      </c>
      <c r="L38" s="2490"/>
      <c r="M38" s="2483"/>
      <c r="N38" s="2483"/>
      <c r="O38" s="2483"/>
      <c r="P38" s="3464" t="str">
        <f>A38</f>
        <v>比较价值（元/平方米）</v>
      </c>
      <c r="Q38" s="3464"/>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85"/>
      <c r="Y38" s="385"/>
      <c r="Z38" s="385"/>
      <c r="AA38" s="385"/>
      <c r="AB38" s="385"/>
      <c r="AC38" s="385"/>
    </row>
    <row r="39" spans="1:29" ht="14.5" thickBot="1">
      <c r="A39" s="427" t="s">
        <v>1844</v>
      </c>
      <c r="B39" s="428"/>
      <c r="C39" s="351" t="e">
        <f>R39</f>
        <v>#DIV/0!</v>
      </c>
      <c r="D39" s="351"/>
      <c r="E39" s="351"/>
      <c r="F39" s="351"/>
      <c r="G39" s="351"/>
      <c r="H39" s="351"/>
      <c r="I39" s="351"/>
      <c r="J39" s="351"/>
      <c r="K39" s="546"/>
      <c r="L39" s="2490"/>
      <c r="M39" s="2483"/>
      <c r="N39" s="2483"/>
      <c r="O39" s="2483"/>
      <c r="P39" s="3461" t="str">
        <f>A39</f>
        <v>估价对象XX用房的比较价值（楼面单价，元/平方米）</v>
      </c>
      <c r="Q39" s="3462"/>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5" thickBot="1">
      <c r="A47" s="1083" t="s">
        <v>1848</v>
      </c>
      <c r="B47" s="857"/>
      <c r="C47" s="882"/>
      <c r="D47" s="882"/>
      <c r="E47" s="882"/>
      <c r="F47" s="1084"/>
      <c r="G47" s="1084"/>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c r="A48" s="440" t="s">
        <v>1849</v>
      </c>
      <c r="B48" s="441"/>
      <c r="C48" s="1099" t="str">
        <f>YEAR(C7)&amp;"-"&amp;MONTH(C7)</f>
        <v>2024-7</v>
      </c>
      <c r="D48" s="1100">
        <f>EDATE(C48,-1)</f>
        <v>45444</v>
      </c>
      <c r="E48" s="1100">
        <f t="shared" ref="E48:O48" si="16">EDATE(D48,-1)</f>
        <v>45413</v>
      </c>
      <c r="F48" s="1100">
        <f t="shared" si="16"/>
        <v>45383</v>
      </c>
      <c r="G48" s="1100">
        <f t="shared" si="16"/>
        <v>45352</v>
      </c>
      <c r="H48" s="1100">
        <f t="shared" si="16"/>
        <v>45323</v>
      </c>
      <c r="I48" s="1100">
        <f t="shared" si="16"/>
        <v>45292</v>
      </c>
      <c r="J48" s="1100">
        <f t="shared" si="16"/>
        <v>45261</v>
      </c>
      <c r="K48" s="1100">
        <f t="shared" si="16"/>
        <v>45231</v>
      </c>
      <c r="L48" s="1100">
        <f t="shared" si="16"/>
        <v>45200</v>
      </c>
      <c r="M48" s="1100">
        <f t="shared" si="16"/>
        <v>45170</v>
      </c>
      <c r="N48" s="1100">
        <f t="shared" si="16"/>
        <v>45139</v>
      </c>
      <c r="O48" s="1100">
        <f t="shared" si="16"/>
        <v>45108</v>
      </c>
      <c r="P48" s="2523"/>
      <c r="Q48" s="2506"/>
      <c r="R48" s="2506"/>
      <c r="S48" s="2506"/>
      <c r="T48" s="2506"/>
      <c r="U48" s="2506"/>
      <c r="V48" s="2506"/>
      <c r="W48" s="2506"/>
      <c r="X48" s="2506"/>
      <c r="Y48" s="2506"/>
      <c r="Z48" s="2506"/>
      <c r="AA48" s="2506"/>
      <c r="AB48" s="2506"/>
      <c r="AC48" s="2506"/>
    </row>
    <row r="49" spans="1:29" s="102" customFormat="1">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4.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c r="A51" s="455" t="s">
        <v>1679</v>
      </c>
      <c r="B51" s="444"/>
      <c r="C51" s="456" t="s">
        <v>1774</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4.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1683</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8.5" thickTop="1">
      <c r="A55" s="367"/>
      <c r="B55" s="469" t="s">
        <v>1686</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4.5" thickTop="1">
      <c r="A63" s="379" t="s">
        <v>1688</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4.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4.5" thickTop="1">
      <c r="A67" s="367"/>
      <c r="B67" s="477" t="s">
        <v>1811</v>
      </c>
      <c r="C67" s="581" t="s">
        <v>1797</v>
      </c>
      <c r="D67" s="581" t="s">
        <v>1798</v>
      </c>
      <c r="E67" s="581" t="s">
        <v>1799</v>
      </c>
      <c r="F67" s="581" t="s">
        <v>1800</v>
      </c>
      <c r="G67" s="581" t="s">
        <v>1801</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4.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4.5" thickTop="1">
      <c r="A71" s="367"/>
      <c r="B71" s="469" t="s">
        <v>1850</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4.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4.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4.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4.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8.5" thickTop="1">
      <c r="A79" s="379" t="s">
        <v>1692</v>
      </c>
      <c r="B79" s="460" t="s">
        <v>1851</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4.5" thickTop="1">
      <c r="A81" s="367"/>
      <c r="B81" s="469" t="s">
        <v>1852</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4.5" thickTop="1">
      <c r="A83" s="409"/>
      <c r="B83" s="469" t="s">
        <v>1738</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4.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4.5" thickTop="1">
      <c r="A88" s="409"/>
      <c r="B88" s="477" t="s">
        <v>1854</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4.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4.5" thickTop="1">
      <c r="A93" s="409"/>
      <c r="B93" s="469" t="s">
        <v>1856</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4.5" thickTop="1">
      <c r="A95" s="409"/>
      <c r="B95" s="469" t="s">
        <v>1857</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6" customFormat="1" ht="28.5" customHeight="1" thickBot="1">
      <c r="A1" s="1135" t="s">
        <v>1829</v>
      </c>
      <c r="B1" s="1136" t="s">
        <v>3332</v>
      </c>
      <c r="C1" s="1137" t="s">
        <v>1660</v>
      </c>
      <c r="D1" s="1138"/>
      <c r="E1" s="3126"/>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6"/>
      <c r="AC3" s="663"/>
    </row>
    <row r="4" spans="1:29">
      <c r="A4" s="345" t="s">
        <v>1767</v>
      </c>
      <c r="B4" s="346"/>
      <c r="C4" s="3447" t="s">
        <v>1768</v>
      </c>
      <c r="D4" s="3448"/>
      <c r="E4" s="3449" t="s">
        <v>1769</v>
      </c>
      <c r="F4" s="3450"/>
      <c r="G4" s="3447" t="s">
        <v>1770</v>
      </c>
      <c r="H4" s="3448"/>
      <c r="I4" s="3447" t="s">
        <v>1771</v>
      </c>
      <c r="J4" s="3448"/>
      <c r="K4" s="537" t="s">
        <v>1772</v>
      </c>
      <c r="L4" s="2482"/>
      <c r="M4" s="2483"/>
      <c r="N4" s="2483"/>
      <c r="O4" s="2483"/>
      <c r="P4" s="3451" t="s">
        <v>1773</v>
      </c>
      <c r="Q4" s="3452"/>
      <c r="R4" s="3434" t="s">
        <v>1769</v>
      </c>
      <c r="S4" s="3435"/>
      <c r="T4" s="3434" t="s">
        <v>1770</v>
      </c>
      <c r="U4" s="3435"/>
      <c r="V4" s="3459" t="s">
        <v>1771</v>
      </c>
      <c r="W4" s="3459"/>
      <c r="X4" s="1261"/>
      <c r="Y4" s="3434" t="s">
        <v>1773</v>
      </c>
      <c r="Z4" s="3435"/>
      <c r="AA4" s="3429" t="s">
        <v>1769</v>
      </c>
      <c r="AB4" s="3430" t="s">
        <v>1770</v>
      </c>
      <c r="AC4" s="3429" t="s">
        <v>1771</v>
      </c>
    </row>
    <row r="5" spans="1:29">
      <c r="A5" s="348"/>
      <c r="B5" s="349"/>
      <c r="C5" s="3440" t="s">
        <v>1671</v>
      </c>
      <c r="D5" s="3441"/>
      <c r="E5" s="3438" t="s">
        <v>1672</v>
      </c>
      <c r="F5" s="3439"/>
      <c r="G5" s="3440" t="s">
        <v>1673</v>
      </c>
      <c r="H5" s="3441"/>
      <c r="I5" s="3440" t="s">
        <v>1674</v>
      </c>
      <c r="J5" s="3441"/>
      <c r="K5" s="537"/>
      <c r="L5" s="2482"/>
      <c r="M5" s="2483"/>
      <c r="N5" s="2483"/>
      <c r="O5" s="2483"/>
      <c r="P5" s="3453"/>
      <c r="Q5" s="3454"/>
      <c r="R5" s="3436"/>
      <c r="S5" s="3437"/>
      <c r="T5" s="3436"/>
      <c r="U5" s="3437"/>
      <c r="V5" s="3459"/>
      <c r="W5" s="3459"/>
      <c r="X5" s="1261"/>
      <c r="Y5" s="3436"/>
      <c r="Z5" s="3437"/>
      <c r="AA5" s="3430"/>
      <c r="AB5" s="3430"/>
      <c r="AC5" s="3430"/>
    </row>
    <row r="6" spans="1:29" ht="15" thickBot="1">
      <c r="A6" s="350"/>
      <c r="B6" s="351"/>
      <c r="C6" s="3442" t="s">
        <v>1675</v>
      </c>
      <c r="D6" s="3443"/>
      <c r="E6" s="3444" t="s">
        <v>1675</v>
      </c>
      <c r="F6" s="3445"/>
      <c r="G6" s="3442" t="s">
        <v>1675</v>
      </c>
      <c r="H6" s="3443"/>
      <c r="I6" s="3442" t="s">
        <v>1675</v>
      </c>
      <c r="J6" s="3443"/>
      <c r="K6" s="537" t="s">
        <v>1676</v>
      </c>
      <c r="L6" s="2482"/>
      <c r="M6" s="2483"/>
      <c r="N6" s="2483"/>
      <c r="O6" s="2483"/>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2" t="s">
        <v>1678</v>
      </c>
      <c r="Q7" s="3460"/>
      <c r="R7" s="664" t="s">
        <v>14</v>
      </c>
      <c r="S7" s="665">
        <f t="shared" ref="S7:S14" si="0">F7</f>
        <v>0</v>
      </c>
      <c r="T7" s="664" t="s">
        <v>14</v>
      </c>
      <c r="U7" s="665">
        <f t="shared" ref="U7:U14" si="1">H7</f>
        <v>0</v>
      </c>
      <c r="V7" s="664" t="s">
        <v>14</v>
      </c>
      <c r="W7" s="665">
        <f t="shared" ref="W7:W14" si="2">J7</f>
        <v>0</v>
      </c>
      <c r="X7" s="666"/>
      <c r="Y7" s="3432" t="s">
        <v>1678</v>
      </c>
      <c r="Z7" s="3433"/>
      <c r="AA7" s="50" t="e">
        <f>D7/F7</f>
        <v>#DIV/0!</v>
      </c>
      <c r="AB7" s="50" t="e">
        <f>D7/H7</f>
        <v>#DIV/0!</v>
      </c>
      <c r="AC7" s="50" t="e">
        <f>D7/J7</f>
        <v>#DIV/0!</v>
      </c>
    </row>
    <row r="8" spans="1:29" s="102" customFormat="1" ht="14.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2" t="s">
        <v>1681</v>
      </c>
      <c r="Q8" s="3433"/>
      <c r="R8" s="664" t="s">
        <v>14</v>
      </c>
      <c r="S8" s="665">
        <f t="shared" si="0"/>
        <v>100</v>
      </c>
      <c r="T8" s="664" t="s">
        <v>14</v>
      </c>
      <c r="U8" s="665">
        <f t="shared" si="1"/>
        <v>100</v>
      </c>
      <c r="V8" s="664" t="s">
        <v>14</v>
      </c>
      <c r="W8" s="665">
        <f t="shared" si="2"/>
        <v>100</v>
      </c>
      <c r="X8" s="666"/>
      <c r="Y8" s="3432" t="s">
        <v>1681</v>
      </c>
      <c r="Z8" s="3433"/>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64" t="s">
        <v>1684</v>
      </c>
      <c r="Q9" s="530" t="str">
        <f t="shared" ref="Q9:Q14" si="6">B9</f>
        <v>用途</v>
      </c>
      <c r="R9" s="664" t="s">
        <v>14</v>
      </c>
      <c r="S9" s="665">
        <f t="shared" si="0"/>
        <v>100</v>
      </c>
      <c r="T9" s="664" t="s">
        <v>14</v>
      </c>
      <c r="U9" s="665">
        <f t="shared" si="1"/>
        <v>100</v>
      </c>
      <c r="V9" s="664" t="s">
        <v>14</v>
      </c>
      <c r="W9" s="665">
        <f t="shared" si="2"/>
        <v>100</v>
      </c>
      <c r="X9" s="666"/>
      <c r="Y9" s="3357" t="s">
        <v>1685</v>
      </c>
      <c r="Z9" s="50" t="str">
        <f t="shared" ref="Z9:Z14" si="7">Q9</f>
        <v>用途</v>
      </c>
      <c r="AA9" s="50">
        <f t="shared" si="3"/>
        <v>1</v>
      </c>
      <c r="AB9" s="50">
        <f t="shared" si="4"/>
        <v>1</v>
      </c>
      <c r="AC9" s="50">
        <f t="shared" si="5"/>
        <v>1</v>
      </c>
    </row>
    <row r="10" spans="1:29" s="366" customFormat="1" ht="28">
      <c r="A10" s="363"/>
      <c r="B10" s="364" t="s">
        <v>1686</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64"/>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98">
      <c r="A14" s="379" t="s">
        <v>1688</v>
      </c>
      <c r="B14" s="58" t="s">
        <v>1831</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65" t="s">
        <v>1689</v>
      </c>
      <c r="Q14" s="1259" t="str">
        <f t="shared" si="6"/>
        <v>交通便捷度</v>
      </c>
      <c r="R14" s="667" t="s">
        <v>14</v>
      </c>
      <c r="S14" s="668">
        <f t="shared" si="0"/>
        <v>100</v>
      </c>
      <c r="T14" s="667" t="s">
        <v>14</v>
      </c>
      <c r="U14" s="668">
        <f t="shared" si="1"/>
        <v>100</v>
      </c>
      <c r="V14" s="667" t="s">
        <v>14</v>
      </c>
      <c r="W14" s="668">
        <f t="shared" si="2"/>
        <v>100</v>
      </c>
      <c r="X14" s="1261"/>
      <c r="Y14" s="3465" t="s">
        <v>1689</v>
      </c>
      <c r="Z14" s="1260" t="str">
        <f t="shared" si="7"/>
        <v>交通便捷度</v>
      </c>
      <c r="AA14" s="1260">
        <f t="shared" si="3"/>
        <v>1</v>
      </c>
      <c r="AB14" s="1260">
        <f t="shared" si="4"/>
        <v>1</v>
      </c>
      <c r="AC14" s="1260">
        <f t="shared" si="5"/>
        <v>1</v>
      </c>
    </row>
    <row r="15" spans="1:29" ht="15.5">
      <c r="A15" s="367"/>
      <c r="B15" s="385"/>
      <c r="C15" s="386"/>
      <c r="D15" s="387"/>
      <c r="E15" s="386"/>
      <c r="F15" s="388"/>
      <c r="G15" s="386"/>
      <c r="H15" s="389"/>
      <c r="I15" s="386"/>
      <c r="J15" s="387"/>
      <c r="K15" s="541"/>
      <c r="L15" s="2488"/>
      <c r="M15" s="2483"/>
      <c r="N15" s="2483"/>
      <c r="O15" s="2538"/>
      <c r="P15" s="3466"/>
      <c r="Q15" s="1259"/>
      <c r="R15" s="667"/>
      <c r="S15" s="668"/>
      <c r="T15" s="667"/>
      <c r="U15" s="668"/>
      <c r="V15" s="667"/>
      <c r="W15" s="668"/>
      <c r="X15" s="1261"/>
      <c r="Y15" s="3466"/>
      <c r="Z15" s="1260"/>
      <c r="AA15" s="1260">
        <v>1</v>
      </c>
      <c r="AB15" s="1260">
        <v>1</v>
      </c>
      <c r="AC15" s="1260">
        <v>1</v>
      </c>
    </row>
    <row r="16" spans="1:29" ht="56">
      <c r="A16" s="367"/>
      <c r="B16" s="390" t="s">
        <v>1810</v>
      </c>
      <c r="C16" s="1750"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66"/>
      <c r="Q16" s="1259" t="str">
        <f>B16</f>
        <v>公共配套设施</v>
      </c>
      <c r="R16" s="667" t="s">
        <v>14</v>
      </c>
      <c r="S16" s="668">
        <f>F16</f>
        <v>100</v>
      </c>
      <c r="T16" s="667" t="s">
        <v>14</v>
      </c>
      <c r="U16" s="668">
        <f>H16</f>
        <v>100</v>
      </c>
      <c r="V16" s="667" t="s">
        <v>14</v>
      </c>
      <c r="W16" s="668">
        <f>J16</f>
        <v>100</v>
      </c>
      <c r="X16" s="1261"/>
      <c r="Y16" s="3466"/>
      <c r="Z16" s="1260" t="str">
        <f>Q16</f>
        <v>公共配套设施</v>
      </c>
      <c r="AA16" s="1260">
        <f t="shared" si="3"/>
        <v>1</v>
      </c>
      <c r="AB16" s="1260">
        <f t="shared" si="4"/>
        <v>1</v>
      </c>
      <c r="AC16" s="1260">
        <f t="shared" si="5"/>
        <v>1</v>
      </c>
    </row>
    <row r="17" spans="1:29" ht="15.5">
      <c r="A17" s="367"/>
      <c r="B17" s="395"/>
      <c r="C17" s="1751"/>
      <c r="D17" s="387"/>
      <c r="E17" s="386"/>
      <c r="F17" s="388"/>
      <c r="G17" s="386"/>
      <c r="H17" s="387"/>
      <c r="I17" s="386"/>
      <c r="J17" s="387"/>
      <c r="K17" s="541"/>
      <c r="L17" s="2488"/>
      <c r="M17" s="2483"/>
      <c r="N17" s="2483"/>
      <c r="O17" s="2538"/>
      <c r="P17" s="3466"/>
      <c r="Q17" s="1259"/>
      <c r="R17" s="667"/>
      <c r="S17" s="668"/>
      <c r="T17" s="667"/>
      <c r="U17" s="668"/>
      <c r="V17" s="667"/>
      <c r="W17" s="668"/>
      <c r="X17" s="1261"/>
      <c r="Y17" s="3466"/>
      <c r="Z17" s="1260"/>
      <c r="AA17" s="1260">
        <v>1</v>
      </c>
      <c r="AB17" s="1260">
        <v>1</v>
      </c>
      <c r="AC17" s="1260">
        <v>1</v>
      </c>
    </row>
    <row r="18" spans="1:29" ht="42">
      <c r="A18" s="367"/>
      <c r="B18" s="586" t="s">
        <v>1811</v>
      </c>
      <c r="C18" s="1750"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66"/>
      <c r="Q18" s="1259" t="str">
        <f>B18</f>
        <v>基础设施水平</v>
      </c>
      <c r="R18" s="667" t="s">
        <v>14</v>
      </c>
      <c r="S18" s="668">
        <f>F18</f>
        <v>100</v>
      </c>
      <c r="T18" s="667" t="s">
        <v>14</v>
      </c>
      <c r="U18" s="668">
        <f>H18</f>
        <v>100</v>
      </c>
      <c r="V18" s="667" t="s">
        <v>14</v>
      </c>
      <c r="W18" s="668">
        <f>J18</f>
        <v>100</v>
      </c>
      <c r="X18" s="1261"/>
      <c r="Y18" s="3466"/>
      <c r="Z18" s="1260" t="str">
        <f>Q18</f>
        <v>基础设施水平</v>
      </c>
      <c r="AA18" s="1260">
        <f t="shared" ref="AA18" si="8">D18/F18</f>
        <v>1</v>
      </c>
      <c r="AB18" s="1260">
        <f t="shared" ref="AB18" si="9">D18/H18</f>
        <v>1</v>
      </c>
      <c r="AC18" s="1260">
        <f t="shared" ref="AC18" si="10">D18/J18</f>
        <v>1</v>
      </c>
    </row>
    <row r="19" spans="1:29" ht="15.5">
      <c r="A19" s="367"/>
      <c r="B19" s="586"/>
      <c r="C19" s="1751"/>
      <c r="D19" s="389"/>
      <c r="E19" s="1751"/>
      <c r="F19" s="392"/>
      <c r="G19" s="1751"/>
      <c r="H19" s="387"/>
      <c r="I19" s="386"/>
      <c r="J19" s="387"/>
      <c r="K19" s="1060"/>
      <c r="L19" s="2488"/>
      <c r="M19" s="2483"/>
      <c r="N19" s="2483"/>
      <c r="O19" s="2538"/>
      <c r="P19" s="3466"/>
      <c r="Q19" s="1259"/>
      <c r="R19" s="667"/>
      <c r="S19" s="668"/>
      <c r="T19" s="667"/>
      <c r="U19" s="668"/>
      <c r="V19" s="667"/>
      <c r="W19" s="668"/>
      <c r="X19" s="1261"/>
      <c r="Y19" s="3466"/>
      <c r="Z19" s="1260"/>
      <c r="AA19" s="1260">
        <v>1</v>
      </c>
      <c r="AB19" s="1260">
        <v>1</v>
      </c>
      <c r="AC19" s="1260">
        <v>1</v>
      </c>
    </row>
    <row r="20" spans="1:29" ht="56">
      <c r="A20" s="367"/>
      <c r="B20" s="390" t="s">
        <v>1832</v>
      </c>
      <c r="C20" s="1750" t="str">
        <f>IF(B1="工业",估价对象房地状况!G7,估价对象房地状况!C9)</f>
        <v>区域自然环境：；人文环境；综合评价环境状况较好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66"/>
      <c r="Q20" s="1259" t="str">
        <f>B20</f>
        <v>自然及人文环境</v>
      </c>
      <c r="R20" s="667" t="s">
        <v>14</v>
      </c>
      <c r="S20" s="668">
        <f>F20</f>
        <v>100</v>
      </c>
      <c r="T20" s="667" t="s">
        <v>14</v>
      </c>
      <c r="U20" s="668">
        <f>H20</f>
        <v>100</v>
      </c>
      <c r="V20" s="667" t="s">
        <v>14</v>
      </c>
      <c r="W20" s="668">
        <f>J20</f>
        <v>100</v>
      </c>
      <c r="X20" s="1261"/>
      <c r="Y20" s="3466"/>
      <c r="Z20" s="1260" t="str">
        <f>Q20</f>
        <v>自然及人文环境</v>
      </c>
      <c r="AA20" s="1260">
        <f t="shared" si="3"/>
        <v>1</v>
      </c>
      <c r="AB20" s="1260">
        <f t="shared" si="4"/>
        <v>1</v>
      </c>
      <c r="AC20" s="1260">
        <f t="shared" si="5"/>
        <v>1</v>
      </c>
    </row>
    <row r="21" spans="1:29" ht="15.5">
      <c r="A21" s="367"/>
      <c r="B21" s="395"/>
      <c r="C21" s="386"/>
      <c r="D21" s="387"/>
      <c r="E21" s="386"/>
      <c r="F21" s="388"/>
      <c r="G21" s="386"/>
      <c r="H21" s="387"/>
      <c r="I21" s="386"/>
      <c r="J21" s="387"/>
      <c r="K21" s="541"/>
      <c r="L21" s="2488"/>
      <c r="M21" s="2483"/>
      <c r="N21" s="2483"/>
      <c r="O21" s="2538"/>
      <c r="P21" s="3466"/>
      <c r="Q21" s="1259"/>
      <c r="R21" s="667"/>
      <c r="S21" s="668"/>
      <c r="T21" s="667"/>
      <c r="U21" s="668"/>
      <c r="V21" s="667"/>
      <c r="W21" s="668"/>
      <c r="X21" s="1261"/>
      <c r="Y21" s="3466"/>
      <c r="Z21" s="1260"/>
      <c r="AA21" s="1260">
        <v>1</v>
      </c>
      <c r="AB21" s="1260">
        <v>1</v>
      </c>
      <c r="AC21" s="1260">
        <v>1</v>
      </c>
    </row>
    <row r="22" spans="1:29" ht="15.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66"/>
      <c r="Q22" s="1259" t="str">
        <f>B22</f>
        <v>楼层</v>
      </c>
      <c r="R22" s="667" t="s">
        <v>14</v>
      </c>
      <c r="S22" s="668">
        <f>F22</f>
        <v>100</v>
      </c>
      <c r="T22" s="667" t="s">
        <v>14</v>
      </c>
      <c r="U22" s="668">
        <f>H22</f>
        <v>100</v>
      </c>
      <c r="V22" s="667" t="s">
        <v>14</v>
      </c>
      <c r="W22" s="668">
        <f>J22</f>
        <v>100</v>
      </c>
      <c r="X22" s="1261"/>
      <c r="Y22" s="3466"/>
      <c r="Z22" s="1260" t="str">
        <f>Q22</f>
        <v>楼层</v>
      </c>
      <c r="AA22" s="1260">
        <f t="shared" si="3"/>
        <v>1</v>
      </c>
      <c r="AB22" s="1260">
        <f t="shared" si="4"/>
        <v>1</v>
      </c>
      <c r="AC22" s="1260">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66"/>
      <c r="Q23" s="1259">
        <f>B23</f>
        <v>111</v>
      </c>
      <c r="R23" s="667" t="s">
        <v>14</v>
      </c>
      <c r="S23" s="668">
        <f>F23</f>
        <v>100</v>
      </c>
      <c r="T23" s="667" t="s">
        <v>14</v>
      </c>
      <c r="U23" s="668">
        <f>H23</f>
        <v>100</v>
      </c>
      <c r="V23" s="667" t="s">
        <v>14</v>
      </c>
      <c r="W23" s="668">
        <f>J23</f>
        <v>100</v>
      </c>
      <c r="X23" s="1261"/>
      <c r="Y23" s="3466"/>
      <c r="Z23" s="1260">
        <f>Q23</f>
        <v>111</v>
      </c>
      <c r="AA23" s="1260">
        <f t="shared" si="3"/>
        <v>1</v>
      </c>
      <c r="AB23" s="1260">
        <f t="shared" si="4"/>
        <v>1</v>
      </c>
      <c r="AC23" s="1260">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66"/>
      <c r="Q24" s="1259">
        <f t="shared" ref="Q24:Q34" si="11">B24</f>
        <v>111</v>
      </c>
      <c r="R24" s="667" t="s">
        <v>14</v>
      </c>
      <c r="S24" s="668">
        <f>F24</f>
        <v>100</v>
      </c>
      <c r="T24" s="667" t="s">
        <v>14</v>
      </c>
      <c r="U24" s="668">
        <f>H24</f>
        <v>100</v>
      </c>
      <c r="V24" s="667" t="s">
        <v>14</v>
      </c>
      <c r="W24" s="668">
        <f>J24</f>
        <v>100</v>
      </c>
      <c r="X24" s="1261"/>
      <c r="Y24" s="3466"/>
      <c r="Z24" s="1260">
        <f>Q24</f>
        <v>111</v>
      </c>
      <c r="AA24" s="1260">
        <f t="shared" si="3"/>
        <v>1</v>
      </c>
      <c r="AB24" s="1260">
        <f t="shared" si="4"/>
        <v>1</v>
      </c>
      <c r="AC24" s="1260">
        <f t="shared" si="5"/>
        <v>1</v>
      </c>
    </row>
    <row r="25" spans="1:29" s="102" customFormat="1" ht="1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66"/>
      <c r="Q25" s="530">
        <f t="shared" si="11"/>
        <v>111</v>
      </c>
      <c r="R25" s="664" t="s">
        <v>14</v>
      </c>
      <c r="S25" s="665">
        <f>F25</f>
        <v>100</v>
      </c>
      <c r="T25" s="664" t="s">
        <v>14</v>
      </c>
      <c r="U25" s="665">
        <f>H25</f>
        <v>100</v>
      </c>
      <c r="V25" s="664" t="s">
        <v>14</v>
      </c>
      <c r="W25" s="665">
        <f>J25</f>
        <v>100</v>
      </c>
      <c r="X25" s="666"/>
      <c r="Y25" s="3466"/>
      <c r="Z25" s="50">
        <f>Q25</f>
        <v>111</v>
      </c>
      <c r="AA25" s="1260">
        <f>D25/F25</f>
        <v>1</v>
      </c>
      <c r="AB25" s="1260">
        <f>D25/H25</f>
        <v>1</v>
      </c>
      <c r="AC25" s="1260">
        <f>D25/J25</f>
        <v>1</v>
      </c>
    </row>
    <row r="26" spans="1:29" ht="29">
      <c r="A26" s="404" t="s">
        <v>1692</v>
      </c>
      <c r="B26" s="60" t="s">
        <v>1836</v>
      </c>
      <c r="C26" s="1760"/>
      <c r="D26" s="405">
        <v>100</v>
      </c>
      <c r="E26" s="1760"/>
      <c r="F26" s="587">
        <f>SUMIF(77:77,E26,78:78)-SUMIF(77:77,C26,78:78)+100</f>
        <v>100</v>
      </c>
      <c r="G26" s="1760"/>
      <c r="H26" s="405">
        <f>SUMIF(77:77,G26,78:78)-SUMIF(77:77,C26,78:78)+100</f>
        <v>100</v>
      </c>
      <c r="I26" s="1760"/>
      <c r="J26" s="405">
        <f>SUMIF(77:77,I26,78:78)-SUMIF(77:77,C26,78:78)+100</f>
        <v>100</v>
      </c>
      <c r="K26" s="538"/>
      <c r="L26" s="2488"/>
      <c r="M26" s="2483"/>
      <c r="N26" s="2483"/>
      <c r="O26" s="2538"/>
      <c r="P26" s="3489" t="s">
        <v>1694</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70" t="s">
        <v>1694</v>
      </c>
      <c r="Z26" s="1260" t="str">
        <f t="shared" ref="Z26:Z34" si="15">Q26</f>
        <v>公共部分装修</v>
      </c>
      <c r="AA26" s="1260">
        <f t="shared" si="3"/>
        <v>1</v>
      </c>
      <c r="AB26" s="1260">
        <f t="shared" si="4"/>
        <v>1</v>
      </c>
      <c r="AC26" s="1260">
        <f t="shared" si="5"/>
        <v>1</v>
      </c>
    </row>
    <row r="27" spans="1:29" s="408" customFormat="1" ht="15.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70"/>
      <c r="Q27" s="531" t="str">
        <f t="shared" si="11"/>
        <v>成新率</v>
      </c>
      <c r="R27" s="669" t="s">
        <v>14</v>
      </c>
      <c r="S27" s="670" t="e">
        <f t="shared" si="12"/>
        <v>#N/A</v>
      </c>
      <c r="T27" s="669" t="s">
        <v>14</v>
      </c>
      <c r="U27" s="670" t="e">
        <f t="shared" si="13"/>
        <v>#N/A</v>
      </c>
      <c r="V27" s="669" t="s">
        <v>14</v>
      </c>
      <c r="W27" s="670" t="e">
        <f t="shared" si="14"/>
        <v>#N/A</v>
      </c>
      <c r="X27" s="671"/>
      <c r="Y27" s="3470"/>
      <c r="Z27" s="672" t="str">
        <f t="shared" si="15"/>
        <v>成新率</v>
      </c>
      <c r="AA27" s="1260" t="e">
        <f t="shared" si="3"/>
        <v>#N/A</v>
      </c>
      <c r="AB27" s="1260" t="e">
        <f t="shared" si="4"/>
        <v>#N/A</v>
      </c>
      <c r="AC27" s="1260" t="e">
        <f t="shared" si="5"/>
        <v>#N/A</v>
      </c>
    </row>
    <row r="28" spans="1:29" ht="15.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70"/>
      <c r="Q28" s="1259" t="str">
        <f t="shared" si="11"/>
        <v>物业等级</v>
      </c>
      <c r="R28" s="667" t="s">
        <v>14</v>
      </c>
      <c r="S28" s="668">
        <f t="shared" si="12"/>
        <v>100</v>
      </c>
      <c r="T28" s="667" t="s">
        <v>14</v>
      </c>
      <c r="U28" s="668">
        <f t="shared" si="13"/>
        <v>100</v>
      </c>
      <c r="V28" s="667" t="s">
        <v>14</v>
      </c>
      <c r="W28" s="668">
        <f t="shared" si="14"/>
        <v>100</v>
      </c>
      <c r="X28" s="1261"/>
      <c r="Y28" s="3470"/>
      <c r="Z28" s="1260" t="str">
        <f t="shared" si="15"/>
        <v>物业等级</v>
      </c>
      <c r="AA28" s="1260">
        <f t="shared" si="3"/>
        <v>1</v>
      </c>
      <c r="AB28" s="1260">
        <f t="shared" si="4"/>
        <v>1</v>
      </c>
      <c r="AC28" s="1260">
        <f t="shared" si="5"/>
        <v>1</v>
      </c>
    </row>
    <row r="29" spans="1:29" ht="15.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70"/>
      <c r="Q29" s="1259" t="str">
        <f t="shared" si="11"/>
        <v>有无电梯</v>
      </c>
      <c r="R29" s="667" t="s">
        <v>14</v>
      </c>
      <c r="S29" s="668">
        <f t="shared" si="12"/>
        <v>100</v>
      </c>
      <c r="T29" s="667" t="s">
        <v>14</v>
      </c>
      <c r="U29" s="668">
        <f t="shared" si="13"/>
        <v>100</v>
      </c>
      <c r="V29" s="667" t="s">
        <v>14</v>
      </c>
      <c r="W29" s="668">
        <f t="shared" si="14"/>
        <v>100</v>
      </c>
      <c r="X29" s="1261"/>
      <c r="Y29" s="3470"/>
      <c r="Z29" s="1260" t="str">
        <f t="shared" si="15"/>
        <v>有无电梯</v>
      </c>
      <c r="AA29" s="1260">
        <f t="shared" si="3"/>
        <v>1</v>
      </c>
      <c r="AB29" s="1260">
        <f t="shared" si="4"/>
        <v>1</v>
      </c>
      <c r="AC29" s="1260">
        <f t="shared" si="5"/>
        <v>1</v>
      </c>
    </row>
    <row r="30" spans="1:29" ht="15.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70"/>
      <c r="Q30" s="1259" t="str">
        <f t="shared" si="11"/>
        <v>建筑面积</v>
      </c>
      <c r="R30" s="667" t="s">
        <v>14</v>
      </c>
      <c r="S30" s="668" t="e">
        <f t="shared" si="12"/>
        <v>#N/A</v>
      </c>
      <c r="T30" s="667" t="s">
        <v>14</v>
      </c>
      <c r="U30" s="668" t="e">
        <f t="shared" si="13"/>
        <v>#N/A</v>
      </c>
      <c r="V30" s="667" t="s">
        <v>14</v>
      </c>
      <c r="W30" s="668" t="e">
        <f t="shared" si="14"/>
        <v>#N/A</v>
      </c>
      <c r="X30" s="1261"/>
      <c r="Y30" s="3470"/>
      <c r="Z30" s="1260" t="str">
        <f t="shared" si="15"/>
        <v>建筑面积</v>
      </c>
      <c r="AA30" s="1260" t="e">
        <f t="shared" si="3"/>
        <v>#N/A</v>
      </c>
      <c r="AB30" s="1260" t="e">
        <f t="shared" si="4"/>
        <v>#N/A</v>
      </c>
      <c r="AC30" s="1260" t="e">
        <f t="shared" si="5"/>
        <v>#N/A</v>
      </c>
    </row>
    <row r="31" spans="1:29" s="102" customFormat="1" ht="15.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70"/>
      <c r="Q31" s="530" t="str">
        <f t="shared" si="11"/>
        <v>是否封闭</v>
      </c>
      <c r="R31" s="664" t="s">
        <v>14</v>
      </c>
      <c r="S31" s="665">
        <f t="shared" si="12"/>
        <v>100</v>
      </c>
      <c r="T31" s="664" t="s">
        <v>14</v>
      </c>
      <c r="U31" s="665">
        <f t="shared" si="13"/>
        <v>100</v>
      </c>
      <c r="V31" s="664" t="s">
        <v>14</v>
      </c>
      <c r="W31" s="665">
        <f t="shared" si="14"/>
        <v>100</v>
      </c>
      <c r="X31" s="666"/>
      <c r="Y31" s="347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70" t="s">
        <v>1694</v>
      </c>
      <c r="Q32" s="1259">
        <f t="shared" si="11"/>
        <v>111</v>
      </c>
      <c r="R32" s="667" t="s">
        <v>14</v>
      </c>
      <c r="S32" s="668">
        <f t="shared" si="12"/>
        <v>100</v>
      </c>
      <c r="T32" s="667" t="s">
        <v>14</v>
      </c>
      <c r="U32" s="668">
        <f t="shared" si="13"/>
        <v>100</v>
      </c>
      <c r="V32" s="667" t="s">
        <v>14</v>
      </c>
      <c r="W32" s="668">
        <f t="shared" si="14"/>
        <v>100</v>
      </c>
      <c r="X32" s="1261"/>
      <c r="Y32" s="3470" t="s">
        <v>1694</v>
      </c>
      <c r="Z32" s="1260">
        <f t="shared" si="15"/>
        <v>111</v>
      </c>
      <c r="AA32" s="1260">
        <f t="shared" si="3"/>
        <v>1</v>
      </c>
      <c r="AB32" s="1260">
        <f t="shared" si="4"/>
        <v>1</v>
      </c>
      <c r="AC32" s="1260">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70"/>
      <c r="Q33" s="1259">
        <f t="shared" si="11"/>
        <v>111</v>
      </c>
      <c r="R33" s="667" t="s">
        <v>14</v>
      </c>
      <c r="S33" s="668">
        <f t="shared" si="12"/>
        <v>100</v>
      </c>
      <c r="T33" s="667" t="s">
        <v>14</v>
      </c>
      <c r="U33" s="668">
        <f t="shared" si="13"/>
        <v>100</v>
      </c>
      <c r="V33" s="667" t="s">
        <v>14</v>
      </c>
      <c r="W33" s="668">
        <f t="shared" si="14"/>
        <v>100</v>
      </c>
      <c r="X33" s="1261"/>
      <c r="Y33" s="3470"/>
      <c r="Z33" s="1260">
        <f t="shared" si="15"/>
        <v>111</v>
      </c>
      <c r="AA33" s="1260">
        <f t="shared" si="3"/>
        <v>1</v>
      </c>
      <c r="AB33" s="1260">
        <f t="shared" si="4"/>
        <v>1</v>
      </c>
      <c r="AC33" s="1260">
        <f t="shared" si="5"/>
        <v>1</v>
      </c>
    </row>
    <row r="34" spans="1:30" ht="1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70"/>
      <c r="Q34" s="1259">
        <f t="shared" si="11"/>
        <v>111</v>
      </c>
      <c r="R34" s="667" t="s">
        <v>14</v>
      </c>
      <c r="S34" s="668">
        <f t="shared" si="12"/>
        <v>100</v>
      </c>
      <c r="T34" s="667" t="s">
        <v>14</v>
      </c>
      <c r="U34" s="668">
        <f t="shared" si="13"/>
        <v>100</v>
      </c>
      <c r="V34" s="667" t="s">
        <v>14</v>
      </c>
      <c r="W34" s="668">
        <f t="shared" si="14"/>
        <v>100</v>
      </c>
      <c r="X34" s="1261"/>
      <c r="Y34" s="3470"/>
      <c r="Z34" s="1260">
        <f t="shared" si="15"/>
        <v>111</v>
      </c>
      <c r="AA34" s="1260">
        <f t="shared" si="3"/>
        <v>1</v>
      </c>
      <c r="AB34" s="1260">
        <f t="shared" si="4"/>
        <v>1</v>
      </c>
      <c r="AC34" s="1260">
        <f t="shared" si="5"/>
        <v>1</v>
      </c>
    </row>
    <row r="35" spans="1:30">
      <c r="A35" s="416" t="s">
        <v>1706</v>
      </c>
      <c r="B35" s="417"/>
      <c r="C35" s="1077" t="s">
        <v>0</v>
      </c>
      <c r="D35" s="418"/>
      <c r="E35" s="419"/>
      <c r="F35" s="420"/>
      <c r="G35" s="421"/>
      <c r="H35" s="422"/>
      <c r="I35" s="419"/>
      <c r="J35" s="422"/>
      <c r="K35" s="674"/>
      <c r="L35" s="2490"/>
      <c r="M35" s="2483"/>
      <c r="N35" s="2483"/>
      <c r="O35" s="2483"/>
      <c r="P35" s="3464" t="str">
        <f>A35</f>
        <v>成交单价（元/平方米）</v>
      </c>
      <c r="Q35" s="3464"/>
      <c r="R35" s="3459">
        <f>E35</f>
        <v>0</v>
      </c>
      <c r="S35" s="3459"/>
      <c r="T35" s="3459">
        <f>G35</f>
        <v>0</v>
      </c>
      <c r="U35" s="3459"/>
      <c r="V35" s="3459">
        <f>I35</f>
        <v>0</v>
      </c>
      <c r="W35" s="3459"/>
      <c r="X35" s="385"/>
      <c r="Y35" s="673"/>
      <c r="Z35" s="385"/>
      <c r="AA35" s="385"/>
      <c r="AB35" s="385"/>
      <c r="AC35" s="385"/>
    </row>
    <row r="36" spans="1:30" ht="14.5" thickBot="1">
      <c r="A36" s="423" t="s">
        <v>1791</v>
      </c>
      <c r="B36" s="424"/>
      <c r="C36" s="1078" t="e">
        <f>R37</f>
        <v>#DIV/0!</v>
      </c>
      <c r="D36" s="2137" t="s">
        <v>2136</v>
      </c>
      <c r="E36" s="1079" t="e">
        <f>R36</f>
        <v>#DIV/0!</v>
      </c>
      <c r="F36" s="2138"/>
      <c r="G36" s="1078" t="e">
        <f>T36</f>
        <v>#DIV/0!</v>
      </c>
      <c r="H36" s="2138"/>
      <c r="I36" s="1079" t="e">
        <f>V36</f>
        <v>#DIV/0!</v>
      </c>
      <c r="J36" s="2138"/>
      <c r="K36" s="2140">
        <f>F36+H36+J36</f>
        <v>0</v>
      </c>
      <c r="L36" s="2490"/>
      <c r="M36" s="2483"/>
      <c r="N36" s="2483"/>
      <c r="O36" s="2483"/>
      <c r="P36" s="3464" t="str">
        <f>A36</f>
        <v>比较价值（元/平方米）</v>
      </c>
      <c r="Q36" s="3464"/>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85"/>
      <c r="Y36" s="385"/>
      <c r="Z36" s="385"/>
      <c r="AA36" s="385"/>
      <c r="AB36" s="385"/>
      <c r="AC36" s="385"/>
    </row>
    <row r="37" spans="1:30" ht="14.5" thickBot="1">
      <c r="A37" s="427" t="s">
        <v>1792</v>
      </c>
      <c r="B37" s="428"/>
      <c r="C37" s="351" t="e">
        <f>R37</f>
        <v>#DIV/0!</v>
      </c>
      <c r="D37" s="351"/>
      <c r="E37" s="351"/>
      <c r="F37" s="351"/>
      <c r="G37" s="351"/>
      <c r="H37" s="351"/>
      <c r="I37" s="351"/>
      <c r="J37" s="351"/>
      <c r="K37" s="675"/>
      <c r="L37" s="2490"/>
      <c r="M37" s="2483"/>
      <c r="N37" s="2483"/>
      <c r="O37" s="2483"/>
      <c r="P37" s="3461" t="str">
        <f>A37</f>
        <v>估价对象XX用房的比较价值（楼面单价，元/平方米）</v>
      </c>
      <c r="Q37" s="3462"/>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5" thickBot="1">
      <c r="A45" s="658" t="s">
        <v>1796</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c r="A46" s="440" t="s">
        <v>1677</v>
      </c>
      <c r="B46" s="441"/>
      <c r="C46" s="1099" t="str">
        <f>YEAR(C7)&amp;"-"&amp;MONTH(C7)</f>
        <v>2024-7</v>
      </c>
      <c r="D46" s="1100">
        <f>EDATE(C46,-1)</f>
        <v>45444</v>
      </c>
      <c r="E46" s="1100">
        <f t="shared" ref="E46:O46" si="16">EDATE(D46,-1)</f>
        <v>45413</v>
      </c>
      <c r="F46" s="1100">
        <f t="shared" si="16"/>
        <v>45383</v>
      </c>
      <c r="G46" s="1100">
        <f t="shared" si="16"/>
        <v>45352</v>
      </c>
      <c r="H46" s="1100">
        <f t="shared" si="16"/>
        <v>45323</v>
      </c>
      <c r="I46" s="1100">
        <f t="shared" si="16"/>
        <v>45292</v>
      </c>
      <c r="J46" s="1100">
        <f t="shared" si="16"/>
        <v>45261</v>
      </c>
      <c r="K46" s="1100">
        <f t="shared" si="16"/>
        <v>45231</v>
      </c>
      <c r="L46" s="1100">
        <f t="shared" si="16"/>
        <v>45200</v>
      </c>
      <c r="M46" s="1100">
        <f t="shared" si="16"/>
        <v>45170</v>
      </c>
      <c r="N46" s="1100">
        <f t="shared" si="16"/>
        <v>45139</v>
      </c>
      <c r="O46" s="1100">
        <f t="shared" si="16"/>
        <v>45108</v>
      </c>
      <c r="P46" s="2506"/>
      <c r="Q46" s="2506"/>
      <c r="R46" s="2506"/>
      <c r="S46" s="2506"/>
      <c r="T46" s="2506"/>
      <c r="U46" s="2506"/>
      <c r="V46" s="2506"/>
      <c r="W46" s="2506"/>
      <c r="X46" s="2506"/>
      <c r="Y46" s="2506"/>
      <c r="Z46" s="2506"/>
      <c r="AA46" s="2506"/>
      <c r="AB46" s="2506"/>
      <c r="AC46" s="2506"/>
      <c r="AD46" s="2506"/>
    </row>
    <row r="47" spans="1:30" s="102" customFormat="1">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4.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c r="A49" s="455" t="s">
        <v>1679</v>
      </c>
      <c r="B49" s="444"/>
      <c r="C49" s="456" t="s">
        <v>1774</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4.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1683</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8.5" thickTop="1">
      <c r="A53" s="367"/>
      <c r="B53" s="469" t="s">
        <v>1686</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4.5" thickTop="1">
      <c r="A61" s="379" t="s">
        <v>1688</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8.5" thickTop="1">
      <c r="A63" s="367"/>
      <c r="B63" s="469" t="s">
        <v>1861</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4.5" thickTop="1">
      <c r="A65" s="367"/>
      <c r="B65" s="477" t="s">
        <v>1811</v>
      </c>
      <c r="C65" s="581" t="s">
        <v>1797</v>
      </c>
      <c r="D65" s="581" t="s">
        <v>1798</v>
      </c>
      <c r="E65" s="581" t="s">
        <v>1799</v>
      </c>
      <c r="F65" s="581" t="s">
        <v>1800</v>
      </c>
      <c r="G65" s="581" t="s">
        <v>1801</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4.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4.5" thickTop="1">
      <c r="A69" s="367"/>
      <c r="B69" s="469" t="s">
        <v>1850</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4.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4.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4.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4.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4.5" thickTop="1">
      <c r="A77" s="379" t="s">
        <v>1692</v>
      </c>
      <c r="B77" s="460" t="s">
        <v>1738</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4.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4.5" thickTop="1">
      <c r="A82" s="409"/>
      <c r="B82" s="477" t="s">
        <v>1854</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4.5" thickTop="1">
      <c r="A84" s="409"/>
      <c r="B84" s="469" t="s">
        <v>1862</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4.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4.5" thickTop="1">
      <c r="A89" s="406"/>
      <c r="B89" s="469" t="s">
        <v>1864</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5"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6"/>
      <c r="AC3" s="663"/>
    </row>
    <row r="4" spans="1:29">
      <c r="A4" s="345" t="s">
        <v>1767</v>
      </c>
      <c r="B4" s="346"/>
      <c r="C4" s="3447" t="s">
        <v>1768</v>
      </c>
      <c r="D4" s="3448"/>
      <c r="E4" s="3449" t="s">
        <v>1769</v>
      </c>
      <c r="F4" s="3450"/>
      <c r="G4" s="3447" t="s">
        <v>1770</v>
      </c>
      <c r="H4" s="3448"/>
      <c r="I4" s="3447" t="s">
        <v>1771</v>
      </c>
      <c r="J4" s="3448"/>
      <c r="K4" s="537" t="s">
        <v>1772</v>
      </c>
      <c r="L4" s="2482"/>
      <c r="M4" s="2483"/>
      <c r="N4" s="2483"/>
      <c r="O4" s="2483"/>
      <c r="P4" s="3451" t="s">
        <v>1773</v>
      </c>
      <c r="Q4" s="3452"/>
      <c r="R4" s="3434" t="s">
        <v>1769</v>
      </c>
      <c r="S4" s="3435"/>
      <c r="T4" s="3434" t="s">
        <v>1770</v>
      </c>
      <c r="U4" s="3435"/>
      <c r="V4" s="3459" t="s">
        <v>1771</v>
      </c>
      <c r="W4" s="3459"/>
      <c r="X4" s="1261"/>
      <c r="Y4" s="3434" t="s">
        <v>1773</v>
      </c>
      <c r="Z4" s="3435"/>
      <c r="AA4" s="3429" t="s">
        <v>1769</v>
      </c>
      <c r="AB4" s="3430" t="s">
        <v>1770</v>
      </c>
      <c r="AC4" s="3429" t="s">
        <v>1771</v>
      </c>
    </row>
    <row r="5" spans="1:29">
      <c r="A5" s="348"/>
      <c r="B5" s="349"/>
      <c r="C5" s="3440" t="s">
        <v>1671</v>
      </c>
      <c r="D5" s="3441"/>
      <c r="E5" s="3438" t="s">
        <v>1672</v>
      </c>
      <c r="F5" s="3439"/>
      <c r="G5" s="3440" t="s">
        <v>1673</v>
      </c>
      <c r="H5" s="3441"/>
      <c r="I5" s="3440" t="s">
        <v>1674</v>
      </c>
      <c r="J5" s="3441"/>
      <c r="K5" s="537"/>
      <c r="L5" s="2482"/>
      <c r="M5" s="2483"/>
      <c r="N5" s="2483"/>
      <c r="O5" s="2483"/>
      <c r="P5" s="3453"/>
      <c r="Q5" s="3454"/>
      <c r="R5" s="3436"/>
      <c r="S5" s="3437"/>
      <c r="T5" s="3436"/>
      <c r="U5" s="3437"/>
      <c r="V5" s="3459"/>
      <c r="W5" s="3459"/>
      <c r="X5" s="1261"/>
      <c r="Y5" s="3436"/>
      <c r="Z5" s="3437"/>
      <c r="AA5" s="3430"/>
      <c r="AB5" s="3430"/>
      <c r="AC5" s="3430"/>
    </row>
    <row r="6" spans="1:29" ht="15" thickBot="1">
      <c r="A6" s="350"/>
      <c r="B6" s="351"/>
      <c r="C6" s="3442" t="s">
        <v>1675</v>
      </c>
      <c r="D6" s="3443"/>
      <c r="E6" s="3444" t="s">
        <v>1675</v>
      </c>
      <c r="F6" s="3445"/>
      <c r="G6" s="3442" t="s">
        <v>1675</v>
      </c>
      <c r="H6" s="3443"/>
      <c r="I6" s="3442" t="s">
        <v>1675</v>
      </c>
      <c r="J6" s="3443"/>
      <c r="K6" s="537" t="s">
        <v>1676</v>
      </c>
      <c r="L6" s="2482"/>
      <c r="M6" s="2483"/>
      <c r="N6" s="2483"/>
      <c r="O6" s="2483"/>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2" t="s">
        <v>1678</v>
      </c>
      <c r="Q7" s="3460"/>
      <c r="R7" s="664" t="s">
        <v>14</v>
      </c>
      <c r="S7" s="665">
        <f t="shared" ref="S7:S15" si="0">F7</f>
        <v>0</v>
      </c>
      <c r="T7" s="664" t="s">
        <v>14</v>
      </c>
      <c r="U7" s="665">
        <f t="shared" ref="U7:U15" si="1">H7</f>
        <v>0</v>
      </c>
      <c r="V7" s="664" t="s">
        <v>14</v>
      </c>
      <c r="W7" s="665">
        <f t="shared" ref="W7:W15" si="2">J7</f>
        <v>0</v>
      </c>
      <c r="X7" s="666"/>
      <c r="Y7" s="3432" t="s">
        <v>1678</v>
      </c>
      <c r="Z7" s="3433"/>
      <c r="AA7" s="50" t="e">
        <f>D7/F7</f>
        <v>#DIV/0!</v>
      </c>
      <c r="AB7" s="50" t="e">
        <f>D7/H7</f>
        <v>#DIV/0!</v>
      </c>
      <c r="AC7" s="50" t="e">
        <f>D7/J7</f>
        <v>#DIV/0!</v>
      </c>
    </row>
    <row r="8" spans="1:29" s="102" customFormat="1" ht="14.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2" t="s">
        <v>1681</v>
      </c>
      <c r="Q8" s="3433"/>
      <c r="R8" s="664" t="s">
        <v>14</v>
      </c>
      <c r="S8" s="665">
        <f t="shared" si="0"/>
        <v>0</v>
      </c>
      <c r="T8" s="664" t="s">
        <v>14</v>
      </c>
      <c r="U8" s="665">
        <f t="shared" si="1"/>
        <v>0</v>
      </c>
      <c r="V8" s="664" t="s">
        <v>14</v>
      </c>
      <c r="W8" s="665">
        <f t="shared" si="2"/>
        <v>0</v>
      </c>
      <c r="X8" s="666"/>
      <c r="Y8" s="3432" t="s">
        <v>1681</v>
      </c>
      <c r="Z8" s="3433"/>
      <c r="AA8" s="50" t="e">
        <f t="shared" ref="AA8:AA45" si="3">D8/F8</f>
        <v>#DIV/0!</v>
      </c>
      <c r="AB8" s="50" t="e">
        <f t="shared" ref="AB8:AB45" si="4">D8/H8</f>
        <v>#DIV/0!</v>
      </c>
      <c r="AC8" s="50" t="e">
        <f t="shared" ref="AC8:AC45" si="5">D8/J8</f>
        <v>#DIV/0!</v>
      </c>
    </row>
    <row r="9" spans="1:29" s="102" customFormat="1">
      <c r="A9" s="359" t="s">
        <v>1682</v>
      </c>
      <c r="B9" s="60" t="s">
        <v>1683</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464"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403"/>
      <c r="F10" s="119">
        <f>ROUND(100/'数据-取费表'!G16,0)</f>
        <v>135</v>
      </c>
      <c r="G10" s="402"/>
      <c r="H10" s="119">
        <f>ROUND(100/'数据-取费表'!G16,0)</f>
        <v>135</v>
      </c>
      <c r="I10" s="402"/>
      <c r="J10" s="119">
        <f>ROUND(100/'数据-取费表'!G16,0)</f>
        <v>135</v>
      </c>
      <c r="K10" s="592"/>
      <c r="L10" s="2485"/>
      <c r="M10" s="2486"/>
      <c r="N10" s="2486"/>
      <c r="O10" s="2537"/>
      <c r="P10" s="3464"/>
      <c r="Q10" s="530" t="str">
        <f t="shared" si="6"/>
        <v>土地使用年限（年）</v>
      </c>
      <c r="R10" s="664" t="s">
        <v>14</v>
      </c>
      <c r="S10" s="665">
        <f t="shared" si="0"/>
        <v>135</v>
      </c>
      <c r="T10" s="664" t="s">
        <v>14</v>
      </c>
      <c r="U10" s="665">
        <f t="shared" si="1"/>
        <v>135</v>
      </c>
      <c r="V10" s="664" t="s">
        <v>14</v>
      </c>
      <c r="W10" s="665">
        <f t="shared" si="2"/>
        <v>135</v>
      </c>
      <c r="X10" s="666"/>
      <c r="Y10" s="3357"/>
      <c r="Z10" s="50" t="str">
        <f t="shared" si="7"/>
        <v>土地使用年限（年）</v>
      </c>
      <c r="AA10" s="50">
        <f t="shared" si="3"/>
        <v>0.7407407407407407</v>
      </c>
      <c r="AB10" s="50">
        <f t="shared" si="4"/>
        <v>0.7407407407407407</v>
      </c>
      <c r="AC10" s="50">
        <f t="shared" si="5"/>
        <v>0.7407407407407407</v>
      </c>
    </row>
    <row r="11" spans="1:29" ht="15.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64"/>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464"/>
      <c r="Q12" s="530" t="str">
        <f t="shared" si="6"/>
        <v>配建</v>
      </c>
      <c r="R12" s="664" t="s">
        <v>14</v>
      </c>
      <c r="S12" s="665">
        <f t="shared" si="0"/>
        <v>100</v>
      </c>
      <c r="T12" s="664" t="s">
        <v>14</v>
      </c>
      <c r="U12" s="665">
        <f t="shared" si="1"/>
        <v>100</v>
      </c>
      <c r="V12" s="664" t="s">
        <v>14</v>
      </c>
      <c r="W12" s="665">
        <f t="shared" si="2"/>
        <v>100</v>
      </c>
      <c r="X12" s="666"/>
      <c r="Y12" s="33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D13/F13</f>
        <v>1</v>
      </c>
      <c r="AB13" s="50">
        <f>D13/H13</f>
        <v>1</v>
      </c>
      <c r="AC13" s="50">
        <f>D13/J13</f>
        <v>1</v>
      </c>
    </row>
    <row r="14" spans="1:29" ht="1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D14/F14</f>
        <v>1</v>
      </c>
      <c r="AB14" s="50">
        <f>D14/H14</f>
        <v>1</v>
      </c>
      <c r="AC14" s="50">
        <f>D14/J14</f>
        <v>1</v>
      </c>
    </row>
    <row r="15" spans="1:29" ht="15.5">
      <c r="A15" s="379" t="s">
        <v>1688</v>
      </c>
      <c r="B15" s="58" t="s">
        <v>1255</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65" t="s">
        <v>1689</v>
      </c>
      <c r="Q15" s="1259" t="str">
        <f t="shared" si="6"/>
        <v>居住社区成熟度</v>
      </c>
      <c r="R15" s="667" t="s">
        <v>14</v>
      </c>
      <c r="S15" s="668">
        <f t="shared" si="0"/>
        <v>100</v>
      </c>
      <c r="T15" s="667" t="s">
        <v>14</v>
      </c>
      <c r="U15" s="668">
        <f t="shared" si="1"/>
        <v>100</v>
      </c>
      <c r="V15" s="667" t="s">
        <v>14</v>
      </c>
      <c r="W15" s="668">
        <f t="shared" si="2"/>
        <v>100</v>
      </c>
      <c r="X15" s="1261"/>
      <c r="Y15" s="3465" t="s">
        <v>1689</v>
      </c>
      <c r="Z15" s="1260" t="str">
        <f t="shared" si="7"/>
        <v>居住社区成熟度</v>
      </c>
      <c r="AA15" s="1260">
        <f t="shared" si="3"/>
        <v>1</v>
      </c>
      <c r="AB15" s="1260">
        <f t="shared" si="4"/>
        <v>1</v>
      </c>
      <c r="AC15" s="1260">
        <f t="shared" si="5"/>
        <v>1</v>
      </c>
    </row>
    <row r="16" spans="1:29" ht="15.5">
      <c r="A16" s="367"/>
      <c r="B16" s="385"/>
      <c r="C16" s="386"/>
      <c r="D16" s="387"/>
      <c r="E16" s="1748"/>
      <c r="F16" s="387"/>
      <c r="G16" s="1748"/>
      <c r="H16" s="389"/>
      <c r="I16" s="1747"/>
      <c r="J16" s="387"/>
      <c r="K16" s="592"/>
      <c r="L16" s="2488"/>
      <c r="M16" s="2483"/>
      <c r="N16" s="2483"/>
      <c r="O16" s="2538"/>
      <c r="P16" s="3466"/>
      <c r="Q16" s="1259"/>
      <c r="R16" s="667"/>
      <c r="S16" s="668"/>
      <c r="T16" s="667"/>
      <c r="U16" s="668"/>
      <c r="V16" s="667"/>
      <c r="W16" s="668"/>
      <c r="X16" s="1261"/>
      <c r="Y16" s="3466"/>
      <c r="Z16" s="1260"/>
      <c r="AA16" s="1260">
        <v>1</v>
      </c>
      <c r="AB16" s="1260">
        <v>1</v>
      </c>
      <c r="AC16" s="1260">
        <v>1</v>
      </c>
    </row>
    <row r="17" spans="1:29" ht="84">
      <c r="A17" s="367"/>
      <c r="B17" s="390" t="s">
        <v>1775</v>
      </c>
      <c r="C17" s="1802" t="str">
        <f>估价对象房地状况!C16</f>
        <v>估价对象位于XX商圈，周边商业氛围成熟，人流量大，商业繁华度较好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66"/>
      <c r="Q17" s="1259" t="str">
        <f>B17</f>
        <v>商业繁华度</v>
      </c>
      <c r="R17" s="667" t="s">
        <v>14</v>
      </c>
      <c r="S17" s="668">
        <f>F17</f>
        <v>100</v>
      </c>
      <c r="T17" s="667" t="s">
        <v>14</v>
      </c>
      <c r="U17" s="668">
        <f>H17</f>
        <v>100</v>
      </c>
      <c r="V17" s="667" t="s">
        <v>14</v>
      </c>
      <c r="W17" s="668">
        <f>J17</f>
        <v>100</v>
      </c>
      <c r="X17" s="1261"/>
      <c r="Y17" s="3466"/>
      <c r="Z17" s="1260" t="str">
        <f>Q17</f>
        <v>商业繁华度</v>
      </c>
      <c r="AA17" s="1260">
        <f t="shared" si="3"/>
        <v>1</v>
      </c>
      <c r="AB17" s="1260">
        <f t="shared" si="4"/>
        <v>1</v>
      </c>
      <c r="AC17" s="1260">
        <f t="shared" si="5"/>
        <v>1</v>
      </c>
    </row>
    <row r="18" spans="1:29" ht="15.5">
      <c r="A18" s="367"/>
      <c r="B18" s="395"/>
      <c r="C18" s="1751"/>
      <c r="D18" s="389"/>
      <c r="E18" s="1753"/>
      <c r="F18" s="389"/>
      <c r="G18" s="1753"/>
      <c r="H18" s="387"/>
      <c r="I18" s="1752"/>
      <c r="J18" s="387"/>
      <c r="K18" s="592"/>
      <c r="L18" s="2488"/>
      <c r="M18" s="2483"/>
      <c r="N18" s="2483"/>
      <c r="O18" s="2538"/>
      <c r="P18" s="3466"/>
      <c r="Q18" s="1259"/>
      <c r="R18" s="667"/>
      <c r="S18" s="668"/>
      <c r="T18" s="667"/>
      <c r="U18" s="668"/>
      <c r="V18" s="667"/>
      <c r="W18" s="668"/>
      <c r="X18" s="1261"/>
      <c r="Y18" s="3466"/>
      <c r="Z18" s="1260"/>
      <c r="AA18" s="1260">
        <v>1</v>
      </c>
      <c r="AB18" s="1260">
        <v>1</v>
      </c>
      <c r="AC18" s="1260">
        <v>1</v>
      </c>
    </row>
    <row r="19" spans="1:29" ht="15.5">
      <c r="A19" s="367"/>
      <c r="B19" s="390" t="s">
        <v>1809</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66"/>
      <c r="Q19" s="1259" t="str">
        <f>B19</f>
        <v>办公集聚程度</v>
      </c>
      <c r="R19" s="667" t="s">
        <v>14</v>
      </c>
      <c r="S19" s="668">
        <f>F19</f>
        <v>100</v>
      </c>
      <c r="T19" s="667" t="s">
        <v>14</v>
      </c>
      <c r="U19" s="668">
        <f>H19</f>
        <v>100</v>
      </c>
      <c r="V19" s="667" t="s">
        <v>14</v>
      </c>
      <c r="W19" s="668">
        <f>J19</f>
        <v>100</v>
      </c>
      <c r="X19" s="1261"/>
      <c r="Y19" s="3466"/>
      <c r="Z19" s="1260" t="str">
        <f>Q19</f>
        <v>办公集聚程度</v>
      </c>
      <c r="AA19" s="1260">
        <f t="shared" si="3"/>
        <v>1</v>
      </c>
      <c r="AB19" s="1260">
        <f t="shared" si="4"/>
        <v>1</v>
      </c>
      <c r="AC19" s="1260">
        <f t="shared" si="5"/>
        <v>1</v>
      </c>
    </row>
    <row r="20" spans="1:29" ht="15.5">
      <c r="A20" s="367"/>
      <c r="B20" s="395"/>
      <c r="C20" s="386"/>
      <c r="D20" s="387"/>
      <c r="E20" s="1748"/>
      <c r="F20" s="387"/>
      <c r="G20" s="1748"/>
      <c r="H20" s="387"/>
      <c r="I20" s="1747"/>
      <c r="J20" s="387"/>
      <c r="K20" s="592"/>
      <c r="L20" s="2488"/>
      <c r="M20" s="2483"/>
      <c r="N20" s="2483"/>
      <c r="O20" s="2538"/>
      <c r="P20" s="3466"/>
      <c r="Q20" s="1259"/>
      <c r="R20" s="667"/>
      <c r="S20" s="668"/>
      <c r="T20" s="667"/>
      <c r="U20" s="668"/>
      <c r="V20" s="667"/>
      <c r="W20" s="668"/>
      <c r="X20" s="1261"/>
      <c r="Y20" s="3466"/>
      <c r="Z20" s="1260"/>
      <c r="AA20" s="1260">
        <v>1</v>
      </c>
      <c r="AB20" s="1260">
        <v>1</v>
      </c>
      <c r="AC20" s="1260">
        <v>1</v>
      </c>
    </row>
    <row r="21" spans="1:29" ht="98">
      <c r="A21" s="367"/>
      <c r="B21" s="390" t="s">
        <v>1831</v>
      </c>
      <c r="C21" s="1750"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66"/>
      <c r="Q21" s="1259" t="str">
        <f>B21</f>
        <v>交通便捷度</v>
      </c>
      <c r="R21" s="667" t="s">
        <v>14</v>
      </c>
      <c r="S21" s="668">
        <f>F21</f>
        <v>100</v>
      </c>
      <c r="T21" s="667" t="s">
        <v>14</v>
      </c>
      <c r="U21" s="668">
        <f>H21</f>
        <v>100</v>
      </c>
      <c r="V21" s="667" t="s">
        <v>14</v>
      </c>
      <c r="W21" s="668">
        <f>J21</f>
        <v>100</v>
      </c>
      <c r="X21" s="1261"/>
      <c r="Y21" s="3466"/>
      <c r="Z21" s="1260" t="str">
        <f>Q21</f>
        <v>交通便捷度</v>
      </c>
      <c r="AA21" s="1260">
        <f t="shared" si="3"/>
        <v>1</v>
      </c>
      <c r="AB21" s="1260">
        <f t="shared" si="4"/>
        <v>1</v>
      </c>
      <c r="AC21" s="1260">
        <f t="shared" si="5"/>
        <v>1</v>
      </c>
    </row>
    <row r="22" spans="1:29" ht="15.5">
      <c r="A22" s="367"/>
      <c r="B22" s="586"/>
      <c r="C22" s="386"/>
      <c r="D22" s="389"/>
      <c r="E22" s="1748"/>
      <c r="F22" s="387"/>
      <c r="G22" s="1748"/>
      <c r="H22" s="387"/>
      <c r="I22" s="1747"/>
      <c r="J22" s="387"/>
      <c r="K22" s="592"/>
      <c r="L22" s="2488"/>
      <c r="M22" s="2483"/>
      <c r="N22" s="2483"/>
      <c r="O22" s="2538"/>
      <c r="P22" s="3466"/>
      <c r="Q22" s="1259"/>
      <c r="R22" s="667"/>
      <c r="S22" s="668"/>
      <c r="T22" s="667"/>
      <c r="U22" s="668"/>
      <c r="V22" s="667"/>
      <c r="W22" s="668"/>
      <c r="X22" s="1261"/>
      <c r="Y22" s="3466"/>
      <c r="Z22" s="1260"/>
      <c r="AA22" s="1260">
        <v>1</v>
      </c>
      <c r="AB22" s="1260">
        <v>1</v>
      </c>
      <c r="AC22" s="1260">
        <v>1</v>
      </c>
    </row>
    <row r="23" spans="1:29" ht="28">
      <c r="A23" s="348"/>
      <c r="B23" s="390" t="s">
        <v>1869</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66"/>
      <c r="Q23" s="1259" t="str">
        <f t="shared" ref="Q23:Q37" si="8">B23</f>
        <v>区域土地利用方向</v>
      </c>
      <c r="R23" s="667" t="s">
        <v>14</v>
      </c>
      <c r="S23" s="668">
        <f>F23</f>
        <v>100</v>
      </c>
      <c r="T23" s="667" t="s">
        <v>14</v>
      </c>
      <c r="U23" s="668">
        <f>H23</f>
        <v>100</v>
      </c>
      <c r="V23" s="667" t="s">
        <v>14</v>
      </c>
      <c r="W23" s="668">
        <f>J23</f>
        <v>100</v>
      </c>
      <c r="X23" s="1261"/>
      <c r="Y23" s="3466"/>
      <c r="Z23" s="1260" t="str">
        <f>Q23</f>
        <v>区域土地利用方向</v>
      </c>
      <c r="AA23" s="1260">
        <f t="shared" si="3"/>
        <v>1</v>
      </c>
      <c r="AB23" s="1260">
        <f t="shared" si="4"/>
        <v>1</v>
      </c>
      <c r="AC23" s="1260">
        <f t="shared" si="5"/>
        <v>1</v>
      </c>
    </row>
    <row r="24" spans="1:29" ht="15.5">
      <c r="A24" s="348"/>
      <c r="B24" s="395"/>
      <c r="C24" s="542"/>
      <c r="D24" s="387"/>
      <c r="E24" s="1748"/>
      <c r="F24" s="387"/>
      <c r="G24" s="1747"/>
      <c r="H24" s="387"/>
      <c r="I24" s="1747"/>
      <c r="J24" s="387"/>
      <c r="K24" s="694"/>
      <c r="L24" s="2488"/>
      <c r="M24" s="2483"/>
      <c r="N24" s="2483"/>
      <c r="O24" s="2538"/>
      <c r="P24" s="3466"/>
      <c r="Q24" s="1259"/>
      <c r="R24" s="667"/>
      <c r="S24" s="668"/>
      <c r="T24" s="667"/>
      <c r="U24" s="668"/>
      <c r="V24" s="667"/>
      <c r="W24" s="668"/>
      <c r="X24" s="1261"/>
      <c r="Y24" s="3466"/>
      <c r="Z24" s="1260"/>
      <c r="AA24" s="1260"/>
      <c r="AB24" s="1260"/>
      <c r="AC24" s="1260"/>
    </row>
    <row r="25" spans="1:29" ht="56">
      <c r="A25" s="348"/>
      <c r="B25" s="586" t="s">
        <v>1870</v>
      </c>
      <c r="C25" s="1802" t="str">
        <f>估价对象房地状况!C20</f>
        <v>区域自然环境：；人文环境；综合评价环境状况较好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66"/>
      <c r="Q25" s="1259" t="str">
        <f t="shared" si="8"/>
        <v>自然及人文环境状况</v>
      </c>
      <c r="R25" s="667" t="s">
        <v>14</v>
      </c>
      <c r="S25" s="668">
        <f>F25</f>
        <v>100</v>
      </c>
      <c r="T25" s="667" t="s">
        <v>14</v>
      </c>
      <c r="U25" s="668">
        <f>H25</f>
        <v>100</v>
      </c>
      <c r="V25" s="667" t="s">
        <v>14</v>
      </c>
      <c r="W25" s="668">
        <f>J25</f>
        <v>100</v>
      </c>
      <c r="X25" s="1261"/>
      <c r="Y25" s="3466"/>
      <c r="Z25" s="1260" t="str">
        <f>Q25</f>
        <v>自然及人文环境状况</v>
      </c>
      <c r="AA25" s="1260">
        <f t="shared" si="3"/>
        <v>1</v>
      </c>
      <c r="AB25" s="1260">
        <f t="shared" si="4"/>
        <v>1</v>
      </c>
      <c r="AC25" s="1260">
        <f t="shared" si="5"/>
        <v>1</v>
      </c>
    </row>
    <row r="26" spans="1:29" ht="15.5">
      <c r="A26" s="348"/>
      <c r="B26" s="395"/>
      <c r="C26" s="386"/>
      <c r="D26" s="387"/>
      <c r="E26" s="1754"/>
      <c r="F26" s="387"/>
      <c r="G26" s="1754"/>
      <c r="H26" s="387"/>
      <c r="I26" s="386"/>
      <c r="J26" s="387"/>
      <c r="K26" s="592"/>
      <c r="L26" s="2488"/>
      <c r="M26" s="2483"/>
      <c r="N26" s="2483"/>
      <c r="O26" s="2538"/>
      <c r="P26" s="3466"/>
      <c r="Q26" s="1259"/>
      <c r="R26" s="667"/>
      <c r="S26" s="668"/>
      <c r="T26" s="667"/>
      <c r="U26" s="668"/>
      <c r="V26" s="667"/>
      <c r="W26" s="668"/>
      <c r="X26" s="1261"/>
      <c r="Y26" s="3466"/>
      <c r="Z26" s="1260"/>
      <c r="AA26" s="1260">
        <v>1</v>
      </c>
      <c r="AB26" s="1260">
        <v>1</v>
      </c>
      <c r="AC26" s="1260">
        <v>1</v>
      </c>
    </row>
    <row r="27" spans="1:29" s="102" customFormat="1" ht="56">
      <c r="A27" s="443"/>
      <c r="B27" s="586" t="s">
        <v>1776</v>
      </c>
      <c r="C27" s="1750" t="str">
        <f>估价对象房地状况!C21</f>
        <v>估价对象所在区域公共配套设施齐备情况较好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66"/>
      <c r="Q27" s="530" t="str">
        <f t="shared" si="8"/>
        <v>公共配套设施</v>
      </c>
      <c r="R27" s="664" t="s">
        <v>14</v>
      </c>
      <c r="S27" s="665">
        <f>F27</f>
        <v>100</v>
      </c>
      <c r="T27" s="664" t="s">
        <v>14</v>
      </c>
      <c r="U27" s="665">
        <f>H27</f>
        <v>100</v>
      </c>
      <c r="V27" s="664" t="s">
        <v>14</v>
      </c>
      <c r="W27" s="665">
        <f>J27</f>
        <v>100</v>
      </c>
      <c r="X27" s="666"/>
      <c r="Y27" s="3466"/>
      <c r="Z27" s="50" t="str">
        <f>Q27</f>
        <v>公共配套设施</v>
      </c>
      <c r="AA27" s="1260">
        <f>D27/F27</f>
        <v>1</v>
      </c>
      <c r="AB27" s="1260">
        <f>D27/H27</f>
        <v>1</v>
      </c>
      <c r="AC27" s="1260">
        <f>D27/J27</f>
        <v>1</v>
      </c>
    </row>
    <row r="28" spans="1:29" s="102" customFormat="1" ht="15.5">
      <c r="A28" s="443"/>
      <c r="B28" s="395"/>
      <c r="C28" s="1822"/>
      <c r="D28" s="387"/>
      <c r="E28" s="1754"/>
      <c r="F28" s="387"/>
      <c r="G28" s="1754"/>
      <c r="H28" s="387"/>
      <c r="I28" s="386"/>
      <c r="J28" s="387"/>
      <c r="K28" s="592"/>
      <c r="L28" s="2484"/>
      <c r="M28" s="2435"/>
      <c r="N28" s="2435"/>
      <c r="O28" s="2536"/>
      <c r="P28" s="3466"/>
      <c r="Q28" s="530"/>
      <c r="R28" s="664"/>
      <c r="S28" s="665"/>
      <c r="T28" s="664"/>
      <c r="U28" s="665"/>
      <c r="V28" s="664"/>
      <c r="W28" s="665"/>
      <c r="X28" s="666"/>
      <c r="Y28" s="3466"/>
      <c r="Z28" s="50"/>
      <c r="AA28" s="1260">
        <v>1</v>
      </c>
      <c r="AB28" s="1260">
        <v>1</v>
      </c>
      <c r="AC28" s="1260">
        <v>1</v>
      </c>
    </row>
    <row r="29" spans="1:29" s="102" customFormat="1" ht="42">
      <c r="A29" s="443"/>
      <c r="B29" s="586" t="s">
        <v>1777</v>
      </c>
      <c r="C29" s="1750"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66"/>
      <c r="Q29" s="530" t="str">
        <f t="shared" ref="Q29" si="9">B29</f>
        <v>基础设施水平</v>
      </c>
      <c r="R29" s="664" t="s">
        <v>14</v>
      </c>
      <c r="S29" s="665">
        <f>F29</f>
        <v>100</v>
      </c>
      <c r="T29" s="664" t="s">
        <v>14</v>
      </c>
      <c r="U29" s="665">
        <f>H29</f>
        <v>100</v>
      </c>
      <c r="V29" s="664" t="s">
        <v>14</v>
      </c>
      <c r="W29" s="665">
        <f>J29</f>
        <v>100</v>
      </c>
      <c r="X29" s="666"/>
      <c r="Y29" s="3466"/>
      <c r="Z29" s="50" t="str">
        <f>Q29</f>
        <v>基础设施水平</v>
      </c>
      <c r="AA29" s="1260">
        <f>D29/F29</f>
        <v>1</v>
      </c>
      <c r="AB29" s="1260">
        <f>D29/H29</f>
        <v>1</v>
      </c>
      <c r="AC29" s="1260">
        <f>D29/J29</f>
        <v>1</v>
      </c>
    </row>
    <row r="30" spans="1:29" s="102" customFormat="1" ht="15.5">
      <c r="A30" s="443"/>
      <c r="B30" s="395"/>
      <c r="C30" s="1822"/>
      <c r="D30" s="387"/>
      <c r="E30" s="1823"/>
      <c r="F30" s="387"/>
      <c r="G30" s="1823"/>
      <c r="H30" s="387"/>
      <c r="I30" s="1823"/>
      <c r="J30" s="387"/>
      <c r="K30" s="592"/>
      <c r="L30" s="2484"/>
      <c r="M30" s="2435"/>
      <c r="N30" s="2435"/>
      <c r="O30" s="2536"/>
      <c r="P30" s="3466"/>
      <c r="Q30" s="530"/>
      <c r="R30" s="664"/>
      <c r="S30" s="665"/>
      <c r="T30" s="664"/>
      <c r="U30" s="665"/>
      <c r="V30" s="664"/>
      <c r="W30" s="665"/>
      <c r="X30" s="666"/>
      <c r="Y30" s="3466"/>
      <c r="Z30" s="50"/>
      <c r="AA30" s="1260">
        <v>1</v>
      </c>
      <c r="AB30" s="1260">
        <v>1</v>
      </c>
      <c r="AC30" s="1260">
        <v>1</v>
      </c>
    </row>
    <row r="31" spans="1:29" ht="15.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66"/>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66"/>
      <c r="Z31" s="1260" t="str">
        <f t="shared" ref="Z31:Z45" si="13">Q31</f>
        <v>临街状况</v>
      </c>
      <c r="AA31" s="1260">
        <f t="shared" si="3"/>
        <v>1</v>
      </c>
      <c r="AB31" s="1260">
        <f t="shared" si="4"/>
        <v>1</v>
      </c>
      <c r="AC31" s="1260">
        <f t="shared" si="5"/>
        <v>1</v>
      </c>
    </row>
    <row r="32" spans="1:29" ht="2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66"/>
      <c r="Q32" s="1259" t="str">
        <f t="shared" si="8"/>
        <v>毗邻道路的类型与等级</v>
      </c>
      <c r="R32" s="667" t="s">
        <v>14</v>
      </c>
      <c r="S32" s="668">
        <f t="shared" si="10"/>
        <v>100</v>
      </c>
      <c r="T32" s="667" t="s">
        <v>14</v>
      </c>
      <c r="U32" s="668">
        <f t="shared" si="11"/>
        <v>100</v>
      </c>
      <c r="V32" s="667" t="s">
        <v>14</v>
      </c>
      <c r="W32" s="668">
        <f t="shared" si="12"/>
        <v>100</v>
      </c>
      <c r="X32" s="1261"/>
      <c r="Y32" s="3466"/>
      <c r="Z32" s="1260" t="str">
        <f t="shared" si="13"/>
        <v>毗邻道路的类型与等级</v>
      </c>
      <c r="AA32" s="1260">
        <f t="shared" si="3"/>
        <v>1</v>
      </c>
      <c r="AB32" s="1260">
        <f t="shared" si="4"/>
        <v>1</v>
      </c>
      <c r="AC32" s="1260">
        <f t="shared" si="5"/>
        <v>1</v>
      </c>
    </row>
    <row r="33" spans="1:29" ht="15.5">
      <c r="A33" s="367"/>
      <c r="B33" s="395"/>
      <c r="C33" s="386"/>
      <c r="D33" s="387"/>
      <c r="E33" s="1754"/>
      <c r="F33" s="387"/>
      <c r="G33" s="1754"/>
      <c r="H33" s="387"/>
      <c r="I33" s="386"/>
      <c r="J33" s="387"/>
      <c r="K33" s="539"/>
      <c r="L33" s="2488"/>
      <c r="M33" s="2483"/>
      <c r="N33" s="2483"/>
      <c r="O33" s="2538"/>
      <c r="P33" s="3466"/>
      <c r="Q33" s="1259"/>
      <c r="R33" s="667"/>
      <c r="S33" s="668"/>
      <c r="T33" s="667"/>
      <c r="U33" s="668"/>
      <c r="V33" s="667"/>
      <c r="W33" s="668"/>
      <c r="X33" s="1261"/>
      <c r="Y33" s="3466"/>
      <c r="Z33" s="1260"/>
      <c r="AA33" s="1260">
        <v>1</v>
      </c>
      <c r="AB33" s="1260">
        <v>1</v>
      </c>
      <c r="AC33" s="1260">
        <v>1</v>
      </c>
    </row>
    <row r="34" spans="1:29" ht="15.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66"/>
      <c r="Q34" s="1259" t="str">
        <f t="shared" si="8"/>
        <v>土地级别</v>
      </c>
      <c r="R34" s="667" t="s">
        <v>14</v>
      </c>
      <c r="S34" s="668">
        <f t="shared" si="10"/>
        <v>100</v>
      </c>
      <c r="T34" s="667" t="s">
        <v>14</v>
      </c>
      <c r="U34" s="668">
        <f t="shared" si="11"/>
        <v>100</v>
      </c>
      <c r="V34" s="667" t="s">
        <v>14</v>
      </c>
      <c r="W34" s="668">
        <f t="shared" si="12"/>
        <v>100</v>
      </c>
      <c r="X34" s="1261"/>
      <c r="Y34" s="3466"/>
      <c r="Z34" s="1260" t="str">
        <f t="shared" si="13"/>
        <v>土地级别</v>
      </c>
      <c r="AA34" s="1260">
        <f t="shared" si="3"/>
        <v>1</v>
      </c>
      <c r="AB34" s="1260">
        <f t="shared" si="4"/>
        <v>1</v>
      </c>
      <c r="AC34" s="1260">
        <f t="shared" si="5"/>
        <v>1</v>
      </c>
    </row>
    <row r="35" spans="1:29" ht="15.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66"/>
      <c r="Q35" s="1259">
        <f t="shared" si="8"/>
        <v>111</v>
      </c>
      <c r="R35" s="667" t="s">
        <v>14</v>
      </c>
      <c r="S35" s="668">
        <f t="shared" si="10"/>
        <v>100</v>
      </c>
      <c r="T35" s="667" t="s">
        <v>14</v>
      </c>
      <c r="U35" s="668">
        <f t="shared" si="11"/>
        <v>100</v>
      </c>
      <c r="V35" s="667" t="s">
        <v>14</v>
      </c>
      <c r="W35" s="668">
        <f t="shared" si="12"/>
        <v>100</v>
      </c>
      <c r="X35" s="1261"/>
      <c r="Y35" s="3466"/>
      <c r="Z35" s="1260">
        <f t="shared" si="13"/>
        <v>111</v>
      </c>
      <c r="AA35" s="1260">
        <f t="shared" si="3"/>
        <v>1</v>
      </c>
      <c r="AB35" s="1260">
        <f t="shared" si="4"/>
        <v>1</v>
      </c>
      <c r="AC35" s="1260">
        <f t="shared" si="5"/>
        <v>1</v>
      </c>
    </row>
    <row r="36" spans="1:29" ht="15.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9" t="s">
        <v>1694</v>
      </c>
      <c r="Q36" s="1259">
        <f t="shared" si="8"/>
        <v>111</v>
      </c>
      <c r="R36" s="667" t="s">
        <v>14</v>
      </c>
      <c r="S36" s="668">
        <f t="shared" si="10"/>
        <v>100</v>
      </c>
      <c r="T36" s="667" t="s">
        <v>14</v>
      </c>
      <c r="U36" s="668">
        <f t="shared" si="11"/>
        <v>100</v>
      </c>
      <c r="V36" s="667" t="s">
        <v>14</v>
      </c>
      <c r="W36" s="668">
        <f t="shared" si="12"/>
        <v>100</v>
      </c>
      <c r="X36" s="1261"/>
      <c r="Y36" s="3470" t="s">
        <v>1694</v>
      </c>
      <c r="Z36" s="1260">
        <f t="shared" si="13"/>
        <v>111</v>
      </c>
      <c r="AA36" s="1260">
        <f t="shared" si="3"/>
        <v>1</v>
      </c>
      <c r="AB36" s="1260">
        <f t="shared" si="4"/>
        <v>1</v>
      </c>
      <c r="AC36" s="1260">
        <f t="shared" si="5"/>
        <v>1</v>
      </c>
    </row>
    <row r="37" spans="1:29" s="408" customFormat="1" ht="1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70"/>
      <c r="Q37" s="1259">
        <f t="shared" si="8"/>
        <v>111</v>
      </c>
      <c r="R37" s="669" t="s">
        <v>14</v>
      </c>
      <c r="S37" s="670">
        <f t="shared" si="10"/>
        <v>100</v>
      </c>
      <c r="T37" s="669" t="s">
        <v>14</v>
      </c>
      <c r="U37" s="670">
        <f t="shared" si="11"/>
        <v>100</v>
      </c>
      <c r="V37" s="669" t="s">
        <v>14</v>
      </c>
      <c r="W37" s="670">
        <f t="shared" si="12"/>
        <v>100</v>
      </c>
      <c r="X37" s="671"/>
      <c r="Y37" s="3470"/>
      <c r="Z37" s="672">
        <f t="shared" si="13"/>
        <v>111</v>
      </c>
      <c r="AA37" s="1260">
        <f t="shared" si="3"/>
        <v>1</v>
      </c>
      <c r="AB37" s="1260">
        <f t="shared" si="4"/>
        <v>1</v>
      </c>
      <c r="AC37" s="1260">
        <f t="shared" si="5"/>
        <v>1</v>
      </c>
    </row>
    <row r="38" spans="1:29" ht="15.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70"/>
      <c r="Q38" s="1259" t="str">
        <f>B38</f>
        <v>宗地面积</v>
      </c>
      <c r="R38" s="667" t="s">
        <v>14</v>
      </c>
      <c r="S38" s="668" t="e">
        <f t="shared" si="10"/>
        <v>#N/A</v>
      </c>
      <c r="T38" s="667" t="s">
        <v>14</v>
      </c>
      <c r="U38" s="668" t="e">
        <f t="shared" si="11"/>
        <v>#N/A</v>
      </c>
      <c r="V38" s="667" t="s">
        <v>14</v>
      </c>
      <c r="W38" s="668" t="e">
        <f t="shared" si="12"/>
        <v>#N/A</v>
      </c>
      <c r="X38" s="1261"/>
      <c r="Y38" s="3470"/>
      <c r="Z38" s="1260" t="str">
        <f t="shared" si="13"/>
        <v>宗地面积</v>
      </c>
      <c r="AA38" s="1260" t="e">
        <f t="shared" si="3"/>
        <v>#N/A</v>
      </c>
      <c r="AB38" s="1260" t="e">
        <f t="shared" si="4"/>
        <v>#N/A</v>
      </c>
      <c r="AC38" s="1260" t="e">
        <f t="shared" si="5"/>
        <v>#N/A</v>
      </c>
    </row>
    <row r="39" spans="1:29" ht="15.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8"/>
      <c r="M39" s="2483"/>
      <c r="N39" s="2483"/>
      <c r="O39" s="2538"/>
      <c r="P39" s="3470"/>
      <c r="Q39" s="1259" t="str">
        <f t="shared" ref="Q39:Q45" si="14">B39</f>
        <v>宗地形状</v>
      </c>
      <c r="R39" s="667" t="s">
        <v>14</v>
      </c>
      <c r="S39" s="668">
        <f t="shared" si="10"/>
        <v>100</v>
      </c>
      <c r="T39" s="667" t="s">
        <v>14</v>
      </c>
      <c r="U39" s="668">
        <f t="shared" si="11"/>
        <v>100</v>
      </c>
      <c r="V39" s="667" t="s">
        <v>14</v>
      </c>
      <c r="W39" s="668">
        <f t="shared" si="12"/>
        <v>100</v>
      </c>
      <c r="X39" s="1261"/>
      <c r="Y39" s="3470"/>
      <c r="Z39" s="1260" t="str">
        <f t="shared" si="13"/>
        <v>宗地形状</v>
      </c>
      <c r="AA39" s="1260">
        <f t="shared" si="3"/>
        <v>1</v>
      </c>
      <c r="AB39" s="1260">
        <f t="shared" si="4"/>
        <v>1</v>
      </c>
      <c r="AC39" s="1260">
        <f t="shared" si="5"/>
        <v>1</v>
      </c>
    </row>
    <row r="40" spans="1:29" ht="15.5">
      <c r="A40" s="409"/>
      <c r="B40" s="364" t="s">
        <v>1874</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8"/>
      <c r="M40" s="2483"/>
      <c r="N40" s="2483"/>
      <c r="O40" s="2538"/>
      <c r="P40" s="3470"/>
      <c r="Q40" s="1259" t="str">
        <f t="shared" si="14"/>
        <v>临街宽度及深度</v>
      </c>
      <c r="R40" s="667" t="s">
        <v>14</v>
      </c>
      <c r="S40" s="668">
        <f t="shared" si="10"/>
        <v>100</v>
      </c>
      <c r="T40" s="667" t="s">
        <v>14</v>
      </c>
      <c r="U40" s="668">
        <f t="shared" si="11"/>
        <v>100</v>
      </c>
      <c r="V40" s="667" t="s">
        <v>14</v>
      </c>
      <c r="W40" s="668">
        <f t="shared" si="12"/>
        <v>100</v>
      </c>
      <c r="X40" s="1261"/>
      <c r="Y40" s="3470"/>
      <c r="Z40" s="1260" t="str">
        <f t="shared" si="13"/>
        <v>临街宽度及深度</v>
      </c>
      <c r="AA40" s="1260">
        <f t="shared" si="3"/>
        <v>1</v>
      </c>
      <c r="AB40" s="1260">
        <f t="shared" si="4"/>
        <v>1</v>
      </c>
      <c r="AC40" s="1260">
        <f t="shared" si="5"/>
        <v>1</v>
      </c>
    </row>
    <row r="41" spans="1:29" s="102" customFormat="1" ht="15.5">
      <c r="A41" s="410"/>
      <c r="B41" s="364" t="s">
        <v>1875</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70"/>
      <c r="Q41" s="1259" t="str">
        <f t="shared" si="14"/>
        <v>宗地开发程度</v>
      </c>
      <c r="R41" s="664" t="s">
        <v>14</v>
      </c>
      <c r="S41" s="665">
        <f t="shared" si="10"/>
        <v>100</v>
      </c>
      <c r="T41" s="664" t="s">
        <v>14</v>
      </c>
      <c r="U41" s="665">
        <f t="shared" si="11"/>
        <v>100</v>
      </c>
      <c r="V41" s="664" t="s">
        <v>14</v>
      </c>
      <c r="W41" s="665">
        <f t="shared" si="12"/>
        <v>100</v>
      </c>
      <c r="X41" s="666"/>
      <c r="Y41" s="3470"/>
      <c r="Z41" s="50" t="str">
        <f t="shared" si="13"/>
        <v>宗地开发程度</v>
      </c>
      <c r="AA41" s="50">
        <f t="shared" si="3"/>
        <v>1</v>
      </c>
      <c r="AB41" s="50">
        <f t="shared" si="4"/>
        <v>1</v>
      </c>
      <c r="AC41" s="50">
        <f t="shared" si="5"/>
        <v>1</v>
      </c>
    </row>
    <row r="42" spans="1:29" ht="15.5">
      <c r="A42" s="409"/>
      <c r="B42" s="364" t="s">
        <v>1876</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8"/>
      <c r="M42" s="2483"/>
      <c r="N42" s="2483"/>
      <c r="O42" s="2538"/>
      <c r="P42" s="3470" t="s">
        <v>1694</v>
      </c>
      <c r="Q42" s="1259" t="str">
        <f t="shared" si="14"/>
        <v>工程地质条件</v>
      </c>
      <c r="R42" s="667" t="s">
        <v>14</v>
      </c>
      <c r="S42" s="668">
        <f t="shared" si="10"/>
        <v>100</v>
      </c>
      <c r="T42" s="667" t="s">
        <v>14</v>
      </c>
      <c r="U42" s="668">
        <f t="shared" si="11"/>
        <v>100</v>
      </c>
      <c r="V42" s="667" t="s">
        <v>14</v>
      </c>
      <c r="W42" s="668">
        <f t="shared" si="12"/>
        <v>100</v>
      </c>
      <c r="X42" s="1261"/>
      <c r="Y42" s="3470" t="s">
        <v>1694</v>
      </c>
      <c r="Z42" s="1260" t="str">
        <f t="shared" si="13"/>
        <v>工程地质条件</v>
      </c>
      <c r="AA42" s="1260">
        <f t="shared" si="3"/>
        <v>1</v>
      </c>
      <c r="AB42" s="1260">
        <f t="shared" si="4"/>
        <v>1</v>
      </c>
      <c r="AC42" s="1260">
        <f t="shared" si="5"/>
        <v>1</v>
      </c>
    </row>
    <row r="43" spans="1:29" ht="15.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70"/>
      <c r="Q43" s="1259">
        <f t="shared" si="14"/>
        <v>111</v>
      </c>
      <c r="R43" s="667" t="s">
        <v>14</v>
      </c>
      <c r="S43" s="668">
        <f t="shared" si="10"/>
        <v>100</v>
      </c>
      <c r="T43" s="667" t="s">
        <v>14</v>
      </c>
      <c r="U43" s="668">
        <f t="shared" si="11"/>
        <v>100</v>
      </c>
      <c r="V43" s="667" t="s">
        <v>14</v>
      </c>
      <c r="W43" s="668">
        <f t="shared" si="12"/>
        <v>100</v>
      </c>
      <c r="X43" s="1261"/>
      <c r="Y43" s="3470"/>
      <c r="Z43" s="1260">
        <f t="shared" si="13"/>
        <v>111</v>
      </c>
      <c r="AA43" s="1260">
        <f t="shared" si="3"/>
        <v>1</v>
      </c>
      <c r="AB43" s="1260">
        <f t="shared" si="4"/>
        <v>1</v>
      </c>
      <c r="AC43" s="1260">
        <f t="shared" si="5"/>
        <v>1</v>
      </c>
    </row>
    <row r="44" spans="1:29" ht="15.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70"/>
      <c r="Q44" s="1259">
        <f t="shared" si="14"/>
        <v>111</v>
      </c>
      <c r="R44" s="667" t="s">
        <v>14</v>
      </c>
      <c r="S44" s="668">
        <f t="shared" si="10"/>
        <v>100</v>
      </c>
      <c r="T44" s="667" t="s">
        <v>14</v>
      </c>
      <c r="U44" s="668">
        <f t="shared" si="11"/>
        <v>100</v>
      </c>
      <c r="V44" s="667" t="s">
        <v>14</v>
      </c>
      <c r="W44" s="668">
        <f t="shared" si="12"/>
        <v>100</v>
      </c>
      <c r="X44" s="1261"/>
      <c r="Y44" s="3470"/>
      <c r="Z44" s="1260">
        <f t="shared" si="13"/>
        <v>111</v>
      </c>
      <c r="AA44" s="1260">
        <f t="shared" si="3"/>
        <v>1</v>
      </c>
      <c r="AB44" s="1260">
        <f t="shared" si="4"/>
        <v>1</v>
      </c>
      <c r="AC44" s="1260">
        <f t="shared" si="5"/>
        <v>1</v>
      </c>
    </row>
    <row r="45" spans="1:29" s="408" customFormat="1" ht="1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70"/>
      <c r="Q45" s="1259">
        <f t="shared" si="14"/>
        <v>111</v>
      </c>
      <c r="R45" s="669" t="s">
        <v>14</v>
      </c>
      <c r="S45" s="670">
        <f t="shared" si="10"/>
        <v>100</v>
      </c>
      <c r="T45" s="669" t="s">
        <v>14</v>
      </c>
      <c r="U45" s="670">
        <f t="shared" si="11"/>
        <v>100</v>
      </c>
      <c r="V45" s="669" t="s">
        <v>14</v>
      </c>
      <c r="W45" s="670">
        <f t="shared" si="12"/>
        <v>100</v>
      </c>
      <c r="X45" s="671"/>
      <c r="Y45" s="3470"/>
      <c r="Z45" s="672">
        <f t="shared" si="13"/>
        <v>111</v>
      </c>
      <c r="AA45" s="1260">
        <f t="shared" si="3"/>
        <v>1</v>
      </c>
      <c r="AB45" s="1260">
        <f t="shared" si="4"/>
        <v>1</v>
      </c>
      <c r="AC45" s="1260">
        <f t="shared" si="5"/>
        <v>1</v>
      </c>
    </row>
    <row r="46" spans="1:29">
      <c r="A46" s="416" t="s">
        <v>1842</v>
      </c>
      <c r="B46" s="1826" t="s">
        <v>1877</v>
      </c>
      <c r="C46" s="602" t="s">
        <v>0</v>
      </c>
      <c r="D46" s="418"/>
      <c r="E46" s="419"/>
      <c r="F46" s="420"/>
      <c r="G46" s="421"/>
      <c r="H46" s="422"/>
      <c r="I46" s="419"/>
      <c r="J46" s="422"/>
      <c r="K46" s="674"/>
      <c r="L46" s="2490"/>
      <c r="M46" s="2483"/>
      <c r="N46" s="2483"/>
      <c r="O46" s="2483"/>
      <c r="P46" s="3464" t="str">
        <f>A46</f>
        <v>成交单价</v>
      </c>
      <c r="Q46" s="3464"/>
      <c r="R46" s="3459">
        <f>E46</f>
        <v>0</v>
      </c>
      <c r="S46" s="3459"/>
      <c r="T46" s="3459">
        <f>G46</f>
        <v>0</v>
      </c>
      <c r="U46" s="3459"/>
      <c r="V46" s="3459">
        <f>I46</f>
        <v>0</v>
      </c>
      <c r="W46" s="3459"/>
      <c r="X46" s="385"/>
      <c r="Y46" s="673"/>
      <c r="Z46" s="385"/>
      <c r="AA46" s="385"/>
      <c r="AB46" s="385"/>
      <c r="AC46" s="385"/>
    </row>
    <row r="47" spans="1:29" ht="14.5" thickBot="1">
      <c r="A47" s="423" t="s">
        <v>1791</v>
      </c>
      <c r="B47" s="603"/>
      <c r="C47" s="426" t="e">
        <f>R48</f>
        <v>#DIV/0!</v>
      </c>
      <c r="D47" s="2137" t="s">
        <v>2136</v>
      </c>
      <c r="E47" s="426" t="e">
        <f>R47</f>
        <v>#DIV/0!</v>
      </c>
      <c r="F47" s="2138"/>
      <c r="G47" s="425" t="e">
        <f>T47</f>
        <v>#DIV/0!</v>
      </c>
      <c r="H47" s="2138"/>
      <c r="I47" s="426" t="e">
        <f>V47</f>
        <v>#DIV/0!</v>
      </c>
      <c r="J47" s="2138"/>
      <c r="K47" s="2140">
        <f>F47+H47+J47</f>
        <v>0</v>
      </c>
      <c r="L47" s="2490"/>
      <c r="M47" s="2483"/>
      <c r="N47" s="2483"/>
      <c r="O47" s="2483"/>
      <c r="P47" s="3464" t="str">
        <f>A47</f>
        <v>比较价值（元/平方米）</v>
      </c>
      <c r="Q47" s="3464"/>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4.5" thickBot="1">
      <c r="A48" s="427" t="s">
        <v>1878</v>
      </c>
      <c r="B48" s="428"/>
      <c r="C48" s="429" t="e">
        <f>R48</f>
        <v>#DIV/0!</v>
      </c>
      <c r="D48" s="429"/>
      <c r="E48" s="429"/>
      <c r="F48" s="429"/>
      <c r="G48" s="429"/>
      <c r="H48" s="429"/>
      <c r="I48" s="429"/>
      <c r="J48" s="429"/>
      <c r="K48" s="675"/>
      <c r="L48" s="2490"/>
      <c r="M48" s="2483"/>
      <c r="N48" s="2483"/>
      <c r="O48" s="2483"/>
      <c r="P48" s="3461" t="str">
        <f>A48</f>
        <v>估价对象XX用房的比较价值（楼面单价，元/平方米）</v>
      </c>
      <c r="Q48" s="3462"/>
      <c r="R48" s="3492" t="e">
        <f>ROUND(IF(D47="简单平均",AVERAGE(R47:W47),R47*F47+T47*H47+V47*J47),0)</f>
        <v>#DIV/0!</v>
      </c>
      <c r="S48" s="3492"/>
      <c r="T48" s="3492"/>
      <c r="U48" s="3492"/>
      <c r="V48" s="3492"/>
      <c r="W48" s="3492"/>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1879</v>
      </c>
      <c r="B55" s="605" t="s">
        <v>1880</v>
      </c>
      <c r="C55" s="1827" t="s">
        <v>1881</v>
      </c>
      <c r="D55" s="1828" t="s">
        <v>1882</v>
      </c>
      <c r="E55" s="606" t="s">
        <v>1883</v>
      </c>
      <c r="F55" s="833" t="s">
        <v>1884</v>
      </c>
      <c r="G55" s="3447" t="s">
        <v>1885</v>
      </c>
      <c r="H55" s="3493"/>
      <c r="I55" s="127" t="s">
        <v>1886</v>
      </c>
      <c r="J55" s="1829">
        <f>项目基本情况!F35</f>
        <v>0</v>
      </c>
      <c r="K55" s="1830" t="s">
        <v>1887</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1888</v>
      </c>
      <c r="B56" s="609" t="e">
        <f>C48</f>
        <v>#DIV/0!</v>
      </c>
      <c r="C56" s="610">
        <v>1</v>
      </c>
      <c r="D56" s="886">
        <v>1</v>
      </c>
      <c r="E56" s="610">
        <f>'数据-汇总表'!E8+'数据-汇总表'!E9</f>
        <v>6284.0700000000006</v>
      </c>
      <c r="F56" s="829" t="e">
        <f t="shared" ref="F56:F64" si="15">ROUND(B56*E56/10000,0)</f>
        <v>#DIV/0!</v>
      </c>
      <c r="G56" s="3446"/>
      <c r="H56" s="3464"/>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1889</v>
      </c>
      <c r="B57" s="210" t="e">
        <f>ROUND($C$48*C57*D57,0)</f>
        <v>#DIV/0!</v>
      </c>
      <c r="C57" s="163">
        <f t="shared" ref="C57:C64" si="16">IF($C$55="北京市系数",I57,J57)</f>
        <v>0.7</v>
      </c>
      <c r="D57" s="887">
        <v>0.25</v>
      </c>
      <c r="E57" s="614"/>
      <c r="F57" s="829" t="e">
        <f t="shared" si="15"/>
        <v>#DIV/0!</v>
      </c>
      <c r="G57" s="2746" t="s">
        <v>1890</v>
      </c>
      <c r="H57" s="830" t="str">
        <f>项目基本情况!B37</f>
        <v>一级</v>
      </c>
      <c r="I57" s="834">
        <f>SUMIF(修正!A57:A68,H57,修正!B57:B68)</f>
        <v>0.7</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1891</v>
      </c>
      <c r="B58" s="210" t="e">
        <f t="shared" ref="B58:B64" si="17">ROUND($C$48*C58*D58,0)</f>
        <v>#DIV/0!</v>
      </c>
      <c r="C58" s="163">
        <f t="shared" si="16"/>
        <v>0.4</v>
      </c>
      <c r="D58" s="887">
        <v>0.25</v>
      </c>
      <c r="E58" s="614"/>
      <c r="F58" s="829" t="e">
        <f t="shared" si="15"/>
        <v>#DIV/0!</v>
      </c>
      <c r="G58" s="2747"/>
      <c r="H58" s="830" t="str">
        <f>项目基本情况!B37</f>
        <v>一级</v>
      </c>
      <c r="I58" s="834">
        <f>SUMIF(修正!A57:A68,H58,修正!C57:C68)</f>
        <v>0.4</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1892</v>
      </c>
      <c r="B59" s="210" t="e">
        <f t="shared" si="17"/>
        <v>#DIV/0!</v>
      </c>
      <c r="C59" s="163">
        <f t="shared" si="16"/>
        <v>0.3</v>
      </c>
      <c r="D59" s="887">
        <v>0.25</v>
      </c>
      <c r="E59" s="614"/>
      <c r="F59" s="829" t="e">
        <f t="shared" si="15"/>
        <v>#DIV/0!</v>
      </c>
      <c r="G59" s="2747"/>
      <c r="H59" s="830" t="str">
        <f>项目基本情况!B37</f>
        <v>一级</v>
      </c>
      <c r="I59" s="834">
        <f>SUMIF(修正!A57:A68,H59,修正!D57:D68)</f>
        <v>0.3</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1893</v>
      </c>
      <c r="B60" s="210" t="e">
        <f t="shared" si="17"/>
        <v>#DIV/0!</v>
      </c>
      <c r="C60" s="163">
        <f t="shared" si="16"/>
        <v>0.3</v>
      </c>
      <c r="D60" s="887">
        <v>0.25</v>
      </c>
      <c r="E60" s="209">
        <f>'数据-汇总表'!E11</f>
        <v>0</v>
      </c>
      <c r="F60" s="829" t="e">
        <f t="shared" si="15"/>
        <v>#DIV/0!</v>
      </c>
      <c r="G60" s="1831" t="s">
        <v>1894</v>
      </c>
      <c r="H60" s="830" t="str">
        <f>项目基本情况!C37</f>
        <v>一级</v>
      </c>
      <c r="I60" s="834">
        <f>SUMIF(修正!A57:A68,H60,修正!E57:E68)</f>
        <v>0.3</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1895</v>
      </c>
      <c r="B61" s="210" t="e">
        <f t="shared" si="17"/>
        <v>#DIV/0!</v>
      </c>
      <c r="C61" s="163">
        <f t="shared" si="16"/>
        <v>0.3</v>
      </c>
      <c r="D61" s="887">
        <v>0.25</v>
      </c>
      <c r="E61" s="209">
        <f>'数据-汇总表'!E12</f>
        <v>0</v>
      </c>
      <c r="F61" s="829" t="e">
        <f t="shared" si="15"/>
        <v>#DIV/0!</v>
      </c>
      <c r="G61" s="835" t="s">
        <v>1896</v>
      </c>
      <c r="H61" s="830" t="str">
        <f>IF(G61="商业",项目基本情况!B37,IF(G61="办公",项目基本情况!C37,IF(G61="住宅",项目基本情况!D37,项目基本情况!E37)))</f>
        <v>一级</v>
      </c>
      <c r="I61" s="834">
        <f>SUMIF(修正!A57:A68,H61,修正!F57:F68)</f>
        <v>0.3</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1897</v>
      </c>
      <c r="B62" s="210" t="e">
        <f t="shared" si="17"/>
        <v>#DIV/0!</v>
      </c>
      <c r="C62" s="163">
        <f t="shared" si="16"/>
        <v>0</v>
      </c>
      <c r="D62" s="887">
        <v>0.25</v>
      </c>
      <c r="E62" s="209">
        <f>'数据-汇总表'!E13</f>
        <v>16503.550000000127</v>
      </c>
      <c r="F62" s="829" t="e">
        <f t="shared" si="15"/>
        <v>#DIV/0!</v>
      </c>
      <c r="G62" s="835" t="s">
        <v>1898</v>
      </c>
      <c r="H62" s="830">
        <f>IF(G62="商业",项目基本情况!B37,IF(G62="办公",项目基本情况!C37,IF(G62="住宅",项目基本情况!D37,项目基本情况!E37)))</f>
        <v>0</v>
      </c>
      <c r="I62" s="834">
        <f>SUMIF(修正!A57:A68,H62,修正!G57:G68)</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1899</v>
      </c>
      <c r="B63" s="210" t="e">
        <f t="shared" si="17"/>
        <v>#DIV/0!</v>
      </c>
      <c r="C63" s="163">
        <f t="shared" si="16"/>
        <v>0.2</v>
      </c>
      <c r="D63" s="887">
        <v>0.25</v>
      </c>
      <c r="E63" s="209">
        <f>'数据-汇总表'!E14</f>
        <v>0</v>
      </c>
      <c r="F63" s="829" t="e">
        <f t="shared" si="15"/>
        <v>#DIV/0!</v>
      </c>
      <c r="G63" s="1831" t="s">
        <v>1890</v>
      </c>
      <c r="H63" s="830" t="str">
        <f>项目基本情况!B37</f>
        <v>一级</v>
      </c>
      <c r="I63" s="834">
        <f>SUMIF(修正!A57:A68,H63,修正!G57:G68)</f>
        <v>0.2</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5" thickBot="1">
      <c r="A64" s="613" t="s">
        <v>1900</v>
      </c>
      <c r="B64" s="210" t="e">
        <f t="shared" si="17"/>
        <v>#DIV/0!</v>
      </c>
      <c r="C64" s="163">
        <f t="shared" si="16"/>
        <v>0.2</v>
      </c>
      <c r="D64" s="887">
        <v>0.25</v>
      </c>
      <c r="E64" s="209">
        <f>'数据-汇总表'!E15</f>
        <v>0</v>
      </c>
      <c r="F64" s="829" t="e">
        <f t="shared" si="15"/>
        <v>#DIV/0!</v>
      </c>
      <c r="G64" s="1832" t="s">
        <v>1894</v>
      </c>
      <c r="H64" s="840" t="str">
        <f>项目基本情况!C37</f>
        <v>一级</v>
      </c>
      <c r="I64" s="836">
        <f>SUMIF(修正!A57:A68,H64,修正!G57:G68)</f>
        <v>0.2</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1901</v>
      </c>
      <c r="B65" s="616" t="s">
        <v>22</v>
      </c>
      <c r="C65" s="616" t="s">
        <v>23</v>
      </c>
      <c r="D65" s="616" t="s">
        <v>392</v>
      </c>
      <c r="E65" s="616">
        <f>IF(B46="楼面地价",SUM(E56:E64),'数据-汇总表'!D3)</f>
        <v>22787.620000000126</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6"/>
      <c r="C67" s="656" t="str">
        <f>YEAR(C7)&amp;"-"&amp;MONTH(C7)&amp;"-1"</f>
        <v>2024-7-1</v>
      </c>
      <c r="D67" s="656">
        <f>EDATE(C67,-3)</f>
        <v>45383</v>
      </c>
      <c r="E67" s="656">
        <f>EDATE(D67,-3)</f>
        <v>45292</v>
      </c>
      <c r="F67" s="656">
        <f t="shared" ref="F67:O67" si="18">EDATE(E67,-3)</f>
        <v>45200</v>
      </c>
      <c r="G67" s="656">
        <f t="shared" si="18"/>
        <v>45108</v>
      </c>
      <c r="H67" s="656">
        <f t="shared" si="18"/>
        <v>45017</v>
      </c>
      <c r="I67" s="656">
        <f t="shared" si="18"/>
        <v>44927</v>
      </c>
      <c r="J67" s="656">
        <f t="shared" si="18"/>
        <v>44835</v>
      </c>
      <c r="K67" s="656">
        <f t="shared" si="18"/>
        <v>44743</v>
      </c>
      <c r="L67" s="656">
        <f t="shared" si="18"/>
        <v>44652</v>
      </c>
      <c r="M67" s="656">
        <f t="shared" si="18"/>
        <v>44562</v>
      </c>
      <c r="N67" s="656">
        <f t="shared" si="18"/>
        <v>44470</v>
      </c>
      <c r="O67" s="656">
        <f t="shared" si="18"/>
        <v>44378</v>
      </c>
      <c r="P67" s="2483"/>
      <c r="Q67" s="2483"/>
      <c r="R67" s="2483"/>
      <c r="S67" s="2483"/>
      <c r="T67" s="2483"/>
      <c r="U67" s="2483"/>
      <c r="V67" s="2483"/>
      <c r="W67" s="2483"/>
      <c r="X67" s="2483"/>
      <c r="Y67" s="2483"/>
      <c r="Z67" s="2483"/>
      <c r="AA67" s="2483"/>
      <c r="AB67" s="2483"/>
      <c r="AC67" s="2483"/>
    </row>
    <row r="68" spans="1:29" ht="21.5" thickBot="1">
      <c r="A68" s="658" t="s">
        <v>1796</v>
      </c>
      <c r="B68" s="385"/>
      <c r="C68" s="659"/>
      <c r="D68" s="659"/>
      <c r="E68" s="659"/>
      <c r="F68" s="660"/>
      <c r="G68" s="660"/>
      <c r="H68" s="659"/>
      <c r="I68" s="659"/>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c r="A69" s="1626" t="s">
        <v>1902</v>
      </c>
      <c r="B69" s="1042"/>
      <c r="C69" s="1097" t="str">
        <f>YEAR(C67)&amp;"-"&amp;ROUNDUP(MONTH(C67)/3,0)</f>
        <v>2024-3</v>
      </c>
      <c r="D69" s="1097" t="str">
        <f>YEAR(D67)&amp;"-"&amp;ROUNDUP(MONTH(D67)/3,0)</f>
        <v>2024-2</v>
      </c>
      <c r="E69" s="1097" t="str">
        <f t="shared" ref="E69:O69" si="19">YEAR(E67)&amp;"-"&amp;ROUNDUP(MONTH(E67)/3,0)</f>
        <v>2024-1</v>
      </c>
      <c r="F69" s="1097" t="str">
        <f t="shared" si="19"/>
        <v>2023-4</v>
      </c>
      <c r="G69" s="1097" t="str">
        <f t="shared" si="19"/>
        <v>2023-3</v>
      </c>
      <c r="H69" s="1097" t="str">
        <f t="shared" si="19"/>
        <v>2023-2</v>
      </c>
      <c r="I69" s="1097" t="str">
        <f t="shared" si="19"/>
        <v>2023-1</v>
      </c>
      <c r="J69" s="1097" t="str">
        <f t="shared" si="19"/>
        <v>2022-4</v>
      </c>
      <c r="K69" s="1097" t="str">
        <f t="shared" si="19"/>
        <v>2022-3</v>
      </c>
      <c r="L69" s="1097" t="str">
        <f t="shared" si="19"/>
        <v>2022-2</v>
      </c>
      <c r="M69" s="1097" t="str">
        <f t="shared" si="19"/>
        <v>2022-1</v>
      </c>
      <c r="N69" s="1097" t="str">
        <f t="shared" si="19"/>
        <v>2021-4</v>
      </c>
      <c r="O69" s="1097"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3" t="s">
        <v>1903</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4.5" thickBot="1">
      <c r="A71" s="449" t="s">
        <v>1714</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c r="A72" s="455" t="s">
        <v>1679</v>
      </c>
      <c r="B72" s="444"/>
      <c r="C72" s="456" t="s">
        <v>1774</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4.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1683</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8.5" thickTop="1">
      <c r="A76" s="367"/>
      <c r="B76" s="469" t="s">
        <v>1686</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4.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1688</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4.5" thickTop="1">
      <c r="A89" s="367"/>
      <c r="B89" s="469" t="s">
        <v>1904</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4.5" thickTop="1">
      <c r="A91" s="367"/>
      <c r="B91" s="469" t="s">
        <v>1819</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4.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8.5" thickTop="1">
      <c r="A95" s="370"/>
      <c r="B95" s="469" t="s">
        <v>1905</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8.5" thickTop="1">
      <c r="A97" s="370"/>
      <c r="B97" s="469" t="s">
        <v>1906</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4.5" thickTop="1">
      <c r="A99" s="484"/>
      <c r="B99" s="469" t="s">
        <v>1776</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4.5" thickTop="1">
      <c r="A101" s="484"/>
      <c r="B101" s="477" t="s">
        <v>1777</v>
      </c>
      <c r="C101" s="581" t="s">
        <v>1797</v>
      </c>
      <c r="D101" s="581" t="s">
        <v>1798</v>
      </c>
      <c r="E101" s="581" t="s">
        <v>1799</v>
      </c>
      <c r="F101" s="581" t="s">
        <v>1800</v>
      </c>
      <c r="G101" s="581" t="s">
        <v>1801</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4.5" thickTop="1">
      <c r="A103" s="367"/>
      <c r="B103" s="469" t="str">
        <f>B31</f>
        <v>临街状况</v>
      </c>
      <c r="C103" s="470" t="s">
        <v>1907</v>
      </c>
      <c r="D103" s="470" t="s">
        <v>1908</v>
      </c>
      <c r="E103" s="470" t="s">
        <v>1909</v>
      </c>
      <c r="F103" s="470" t="s">
        <v>1910</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8.5" thickTop="1">
      <c r="A105" s="367"/>
      <c r="B105" s="469" t="s">
        <v>1813</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4.5" thickTop="1">
      <c r="A107" s="367"/>
      <c r="B107" s="469" t="s">
        <v>1871</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4.5" thickTop="1">
      <c r="A118" s="409"/>
      <c r="B118" s="469" t="s">
        <v>1912</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4.5" thickTop="1">
      <c r="A120" s="409"/>
      <c r="B120" s="469" t="s">
        <v>1913</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4.5" thickTop="1">
      <c r="A122" s="406"/>
      <c r="B122" s="469" t="s">
        <v>1914</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4.5" thickTop="1">
      <c r="A124" s="409"/>
      <c r="B124" s="469" t="s">
        <v>1915</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6"/>
      <c r="AC3" s="663"/>
    </row>
    <row r="4" spans="1:29">
      <c r="A4" s="345" t="s">
        <v>1767</v>
      </c>
      <c r="B4" s="346"/>
      <c r="C4" s="3447" t="s">
        <v>1768</v>
      </c>
      <c r="D4" s="3448"/>
      <c r="E4" s="3449" t="s">
        <v>1769</v>
      </c>
      <c r="F4" s="3450"/>
      <c r="G4" s="3447" t="s">
        <v>1770</v>
      </c>
      <c r="H4" s="3448"/>
      <c r="I4" s="3447" t="s">
        <v>1771</v>
      </c>
      <c r="J4" s="3448"/>
      <c r="K4" s="537" t="s">
        <v>1772</v>
      </c>
      <c r="L4" s="2482"/>
      <c r="M4" s="2483"/>
      <c r="N4" s="2483"/>
      <c r="O4" s="2483"/>
      <c r="P4" s="3451" t="s">
        <v>1773</v>
      </c>
      <c r="Q4" s="3452"/>
      <c r="R4" s="3434" t="s">
        <v>1769</v>
      </c>
      <c r="S4" s="3435"/>
      <c r="T4" s="3434" t="s">
        <v>1770</v>
      </c>
      <c r="U4" s="3435"/>
      <c r="V4" s="3459" t="s">
        <v>1771</v>
      </c>
      <c r="W4" s="3459"/>
      <c r="X4" s="1261"/>
      <c r="Y4" s="3434" t="s">
        <v>1773</v>
      </c>
      <c r="Z4" s="3435"/>
      <c r="AA4" s="3429" t="s">
        <v>1769</v>
      </c>
      <c r="AB4" s="3430" t="s">
        <v>1770</v>
      </c>
      <c r="AC4" s="3429" t="s">
        <v>1771</v>
      </c>
    </row>
    <row r="5" spans="1:29">
      <c r="A5" s="348"/>
      <c r="B5" s="349"/>
      <c r="C5" s="3440" t="s">
        <v>1671</v>
      </c>
      <c r="D5" s="3441"/>
      <c r="E5" s="3438" t="s">
        <v>1672</v>
      </c>
      <c r="F5" s="3439"/>
      <c r="G5" s="3440" t="s">
        <v>1673</v>
      </c>
      <c r="H5" s="3441"/>
      <c r="I5" s="3440" t="s">
        <v>1674</v>
      </c>
      <c r="J5" s="3441"/>
      <c r="K5" s="537"/>
      <c r="L5" s="2482"/>
      <c r="M5" s="2483"/>
      <c r="N5" s="2483"/>
      <c r="O5" s="2483"/>
      <c r="P5" s="3453"/>
      <c r="Q5" s="3454"/>
      <c r="R5" s="3436"/>
      <c r="S5" s="3437"/>
      <c r="T5" s="3436"/>
      <c r="U5" s="3437"/>
      <c r="V5" s="3459"/>
      <c r="W5" s="3459"/>
      <c r="X5" s="1261"/>
      <c r="Y5" s="3436"/>
      <c r="Z5" s="3437"/>
      <c r="AA5" s="3430"/>
      <c r="AB5" s="3430"/>
      <c r="AC5" s="3430"/>
    </row>
    <row r="6" spans="1:29" ht="15" thickBot="1">
      <c r="A6" s="350"/>
      <c r="B6" s="351"/>
      <c r="C6" s="3494" t="s">
        <v>1917</v>
      </c>
      <c r="D6" s="3495"/>
      <c r="E6" s="3496" t="s">
        <v>1917</v>
      </c>
      <c r="F6" s="3497"/>
      <c r="G6" s="3494" t="s">
        <v>1917</v>
      </c>
      <c r="H6" s="3495"/>
      <c r="I6" s="3494" t="s">
        <v>1917</v>
      </c>
      <c r="J6" s="3495"/>
      <c r="K6" s="537" t="s">
        <v>1676</v>
      </c>
      <c r="L6" s="2482"/>
      <c r="M6" s="2483"/>
      <c r="N6" s="2483"/>
      <c r="O6" s="2483"/>
      <c r="P6" s="3455"/>
      <c r="Q6" s="3456"/>
      <c r="R6" s="3436"/>
      <c r="S6" s="3437"/>
      <c r="T6" s="3457"/>
      <c r="U6" s="3458"/>
      <c r="V6" s="3459"/>
      <c r="W6" s="3459"/>
      <c r="X6" s="1261"/>
      <c r="Y6" s="3457"/>
      <c r="Z6" s="3458"/>
      <c r="AA6" s="3431"/>
      <c r="AB6" s="3431"/>
      <c r="AC6" s="3431"/>
    </row>
    <row r="7" spans="1:29" s="102" customFormat="1" ht="14.5" thickBot="1">
      <c r="A7" s="352" t="s">
        <v>1677</v>
      </c>
      <c r="B7" s="353"/>
      <c r="C7" s="354">
        <f>'数据-取费表'!B2</f>
        <v>45478</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2" t="s">
        <v>1678</v>
      </c>
      <c r="Q7" s="3460"/>
      <c r="R7" s="664" t="s">
        <v>14</v>
      </c>
      <c r="S7" s="665">
        <f t="shared" ref="S7:S15" si="0">F7</f>
        <v>0</v>
      </c>
      <c r="T7" s="664" t="s">
        <v>14</v>
      </c>
      <c r="U7" s="665">
        <f t="shared" ref="U7:U15" si="1">H7</f>
        <v>0</v>
      </c>
      <c r="V7" s="664" t="s">
        <v>14</v>
      </c>
      <c r="W7" s="665">
        <f t="shared" ref="W7:W15" si="2">J7</f>
        <v>0</v>
      </c>
      <c r="X7" s="666"/>
      <c r="Y7" s="3432" t="s">
        <v>1678</v>
      </c>
      <c r="Z7" s="3433"/>
      <c r="AA7" s="50" t="e">
        <f>D7/F7</f>
        <v>#DIV/0!</v>
      </c>
      <c r="AB7" s="50" t="e">
        <f>D7/H7</f>
        <v>#DIV/0!</v>
      </c>
      <c r="AC7" s="50" t="e">
        <f>D7/J7</f>
        <v>#DIV/0!</v>
      </c>
    </row>
    <row r="8" spans="1:29" s="102" customFormat="1" ht="14.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2" t="s">
        <v>1681</v>
      </c>
      <c r="Q8" s="3433"/>
      <c r="R8" s="664" t="s">
        <v>14</v>
      </c>
      <c r="S8" s="665">
        <f t="shared" si="0"/>
        <v>0</v>
      </c>
      <c r="T8" s="664" t="s">
        <v>14</v>
      </c>
      <c r="U8" s="665">
        <f t="shared" si="1"/>
        <v>0</v>
      </c>
      <c r="V8" s="664" t="s">
        <v>14</v>
      </c>
      <c r="W8" s="665">
        <f t="shared" si="2"/>
        <v>0</v>
      </c>
      <c r="X8" s="666"/>
      <c r="Y8" s="3432" t="s">
        <v>1681</v>
      </c>
      <c r="Z8" s="3433"/>
      <c r="AA8" s="50" t="e">
        <f t="shared" ref="AA8:AA40" si="3">D8/F8</f>
        <v>#DIV/0!</v>
      </c>
      <c r="AB8" s="50" t="e">
        <f t="shared" ref="AB8:AB40" si="4">D8/H8</f>
        <v>#DIV/0!</v>
      </c>
      <c r="AC8" s="50" t="e">
        <f t="shared" ref="AC8:AC40" si="5">D8/J8</f>
        <v>#DIV/0!</v>
      </c>
    </row>
    <row r="9" spans="1:29" s="102" customFormat="1">
      <c r="A9" s="359"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464" t="s">
        <v>1684</v>
      </c>
      <c r="Q9" s="530" t="str">
        <f t="shared" ref="Q9:Q15" si="6">B9</f>
        <v>用途</v>
      </c>
      <c r="R9" s="664" t="s">
        <v>14</v>
      </c>
      <c r="S9" s="665">
        <f t="shared" si="0"/>
        <v>100</v>
      </c>
      <c r="T9" s="664" t="s">
        <v>14</v>
      </c>
      <c r="U9" s="665">
        <f t="shared" si="1"/>
        <v>100</v>
      </c>
      <c r="V9" s="664" t="s">
        <v>14</v>
      </c>
      <c r="W9" s="665">
        <f t="shared" si="2"/>
        <v>100</v>
      </c>
      <c r="X9" s="666"/>
      <c r="Y9" s="335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371"/>
      <c r="F10" s="119">
        <f>ROUND(100/'数据-取费表'!G16,0)</f>
        <v>135</v>
      </c>
      <c r="G10" s="371"/>
      <c r="H10" s="119">
        <f>ROUND(100/'数据-取费表'!G16,0)</f>
        <v>135</v>
      </c>
      <c r="I10" s="371"/>
      <c r="J10" s="119">
        <f>ROUND(100/'数据-取费表'!G16,0)</f>
        <v>135</v>
      </c>
      <c r="K10" s="592"/>
      <c r="L10" s="2485"/>
      <c r="M10" s="2486"/>
      <c r="N10" s="2486"/>
      <c r="O10" s="2537"/>
      <c r="P10" s="3464"/>
      <c r="Q10" s="530" t="str">
        <f t="shared" si="6"/>
        <v>土地使用年限（年）</v>
      </c>
      <c r="R10" s="664" t="s">
        <v>14</v>
      </c>
      <c r="S10" s="665">
        <f t="shared" si="0"/>
        <v>135</v>
      </c>
      <c r="T10" s="664" t="s">
        <v>14</v>
      </c>
      <c r="U10" s="665">
        <f t="shared" si="1"/>
        <v>135</v>
      </c>
      <c r="V10" s="664" t="s">
        <v>14</v>
      </c>
      <c r="W10" s="665">
        <f t="shared" si="2"/>
        <v>135</v>
      </c>
      <c r="X10" s="666"/>
      <c r="Y10" s="3357"/>
      <c r="Z10" s="50" t="str">
        <f t="shared" si="7"/>
        <v>土地使用年限（年）</v>
      </c>
      <c r="AA10" s="50">
        <f t="shared" si="3"/>
        <v>0.7407407407407407</v>
      </c>
      <c r="AB10" s="50">
        <f t="shared" si="4"/>
        <v>0.7407407407407407</v>
      </c>
      <c r="AC10" s="50">
        <f t="shared" si="5"/>
        <v>0.7407407407407407</v>
      </c>
    </row>
    <row r="11" spans="1:29" ht="15.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64"/>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70">
      <c r="A15" s="379" t="s">
        <v>1688</v>
      </c>
      <c r="B15" s="554" t="s">
        <v>1918</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65" t="s">
        <v>1689</v>
      </c>
      <c r="Q15" s="1259" t="str">
        <f t="shared" si="6"/>
        <v>产业集聚程度</v>
      </c>
      <c r="R15" s="667" t="s">
        <v>14</v>
      </c>
      <c r="S15" s="668">
        <f t="shared" si="0"/>
        <v>100</v>
      </c>
      <c r="T15" s="667" t="s">
        <v>14</v>
      </c>
      <c r="U15" s="668">
        <f t="shared" si="1"/>
        <v>100</v>
      </c>
      <c r="V15" s="667" t="s">
        <v>14</v>
      </c>
      <c r="W15" s="668">
        <f t="shared" si="2"/>
        <v>100</v>
      </c>
      <c r="X15" s="1261"/>
      <c r="Y15" s="3465" t="s">
        <v>1689</v>
      </c>
      <c r="Z15" s="1260" t="str">
        <f t="shared" si="7"/>
        <v>产业集聚程度</v>
      </c>
      <c r="AA15" s="1260">
        <f t="shared" si="3"/>
        <v>1</v>
      </c>
      <c r="AB15" s="1260">
        <f t="shared" si="4"/>
        <v>1</v>
      </c>
      <c r="AC15" s="1260">
        <f t="shared" si="5"/>
        <v>1</v>
      </c>
    </row>
    <row r="16" spans="1:29" ht="15.5">
      <c r="A16" s="367"/>
      <c r="B16" s="555"/>
      <c r="C16" s="386"/>
      <c r="D16" s="387"/>
      <c r="E16" s="1754"/>
      <c r="F16" s="387"/>
      <c r="G16" s="1754"/>
      <c r="H16" s="389"/>
      <c r="I16" s="1754"/>
      <c r="J16" s="387"/>
      <c r="K16" s="592"/>
      <c r="L16" s="2488"/>
      <c r="M16" s="2483"/>
      <c r="N16" s="2483"/>
      <c r="O16" s="2538"/>
      <c r="P16" s="3466"/>
      <c r="Q16" s="1259"/>
      <c r="R16" s="667"/>
      <c r="S16" s="668"/>
      <c r="T16" s="667"/>
      <c r="U16" s="668"/>
      <c r="V16" s="667"/>
      <c r="W16" s="668"/>
      <c r="X16" s="1261"/>
      <c r="Y16" s="3466"/>
      <c r="Z16" s="1260"/>
      <c r="AA16" s="1260">
        <v>1</v>
      </c>
      <c r="AB16" s="1260">
        <v>1</v>
      </c>
      <c r="AC16" s="1260">
        <v>1</v>
      </c>
    </row>
    <row r="17" spans="1:29" ht="98">
      <c r="A17" s="367"/>
      <c r="B17" s="556" t="s">
        <v>1831</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66"/>
      <c r="Q17" s="1259" t="str">
        <f>B17</f>
        <v>交通便捷度</v>
      </c>
      <c r="R17" s="667" t="s">
        <v>14</v>
      </c>
      <c r="S17" s="668">
        <f>F17</f>
        <v>100</v>
      </c>
      <c r="T17" s="667" t="s">
        <v>14</v>
      </c>
      <c r="U17" s="668">
        <f>H17</f>
        <v>100</v>
      </c>
      <c r="V17" s="667" t="s">
        <v>14</v>
      </c>
      <c r="W17" s="668">
        <f>J17</f>
        <v>100</v>
      </c>
      <c r="X17" s="1261"/>
      <c r="Y17" s="3466"/>
      <c r="Z17" s="1260" t="str">
        <f>Q17</f>
        <v>交通便捷度</v>
      </c>
      <c r="AA17" s="1260">
        <f t="shared" si="3"/>
        <v>1</v>
      </c>
      <c r="AB17" s="1260">
        <f t="shared" si="4"/>
        <v>1</v>
      </c>
      <c r="AC17" s="1260">
        <f t="shared" si="5"/>
        <v>1</v>
      </c>
    </row>
    <row r="18" spans="1:29" ht="15.5">
      <c r="A18" s="367"/>
      <c r="B18" s="401"/>
      <c r="C18" s="386"/>
      <c r="D18" s="387"/>
      <c r="E18" s="1748"/>
      <c r="F18" s="387"/>
      <c r="G18" s="1748"/>
      <c r="H18" s="387"/>
      <c r="I18" s="1747"/>
      <c r="J18" s="387"/>
      <c r="K18" s="592"/>
      <c r="L18" s="2488"/>
      <c r="M18" s="2483"/>
      <c r="N18" s="2483"/>
      <c r="O18" s="2538"/>
      <c r="P18" s="3466"/>
      <c r="Q18" s="1259"/>
      <c r="R18" s="667"/>
      <c r="S18" s="668"/>
      <c r="T18" s="667"/>
      <c r="U18" s="668"/>
      <c r="V18" s="667"/>
      <c r="W18" s="668"/>
      <c r="X18" s="1261"/>
      <c r="Y18" s="3466"/>
      <c r="Z18" s="1260"/>
      <c r="AA18" s="1260">
        <v>1</v>
      </c>
      <c r="AB18" s="1260">
        <v>1</v>
      </c>
      <c r="AC18" s="1260">
        <v>1</v>
      </c>
    </row>
    <row r="19" spans="1:29" ht="28">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66"/>
      <c r="Q19" s="1259" t="str">
        <f t="shared" ref="Q19:Q33" si="8">B19</f>
        <v>区域土地利用方向</v>
      </c>
      <c r="R19" s="667" t="s">
        <v>14</v>
      </c>
      <c r="S19" s="668">
        <f>F19</f>
        <v>100</v>
      </c>
      <c r="T19" s="667" t="s">
        <v>14</v>
      </c>
      <c r="U19" s="668">
        <f>H19</f>
        <v>100</v>
      </c>
      <c r="V19" s="667" t="s">
        <v>14</v>
      </c>
      <c r="W19" s="668">
        <f>J19</f>
        <v>100</v>
      </c>
      <c r="X19" s="1261"/>
      <c r="Y19" s="3466"/>
      <c r="Z19" s="1260" t="str">
        <f>Q19</f>
        <v>区域土地利用方向</v>
      </c>
      <c r="AA19" s="1260">
        <f t="shared" si="3"/>
        <v>1</v>
      </c>
      <c r="AB19" s="1260">
        <f t="shared" si="4"/>
        <v>1</v>
      </c>
      <c r="AC19" s="1260">
        <f t="shared" si="5"/>
        <v>1</v>
      </c>
    </row>
    <row r="20" spans="1:29" ht="15.5">
      <c r="A20" s="348"/>
      <c r="B20" s="401"/>
      <c r="C20" s="386"/>
      <c r="D20" s="387"/>
      <c r="E20" s="1748"/>
      <c r="F20" s="387"/>
      <c r="G20" s="1748"/>
      <c r="H20" s="387"/>
      <c r="I20" s="1748"/>
      <c r="J20" s="387"/>
      <c r="K20" s="694"/>
      <c r="L20" s="2488"/>
      <c r="M20" s="2483"/>
      <c r="N20" s="2483"/>
      <c r="O20" s="2538"/>
      <c r="P20" s="3466"/>
      <c r="Q20" s="1259"/>
      <c r="R20" s="667"/>
      <c r="S20" s="668"/>
      <c r="T20" s="667"/>
      <c r="U20" s="668"/>
      <c r="V20" s="667"/>
      <c r="W20" s="668"/>
      <c r="X20" s="1261"/>
      <c r="Y20" s="3466"/>
      <c r="Z20" s="1260"/>
      <c r="AA20" s="1260"/>
      <c r="AB20" s="1260"/>
      <c r="AC20" s="1260"/>
    </row>
    <row r="21" spans="1:29" ht="84">
      <c r="A21" s="348"/>
      <c r="B21" s="556" t="s">
        <v>1919</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66"/>
      <c r="Q21" s="1259" t="str">
        <f t="shared" si="8"/>
        <v>环境状况</v>
      </c>
      <c r="R21" s="667" t="s">
        <v>14</v>
      </c>
      <c r="S21" s="668">
        <f>F21</f>
        <v>100</v>
      </c>
      <c r="T21" s="667" t="s">
        <v>14</v>
      </c>
      <c r="U21" s="668">
        <f>H21</f>
        <v>100</v>
      </c>
      <c r="V21" s="667" t="s">
        <v>14</v>
      </c>
      <c r="W21" s="668">
        <f>J21</f>
        <v>100</v>
      </c>
      <c r="X21" s="1261"/>
      <c r="Y21" s="3466"/>
      <c r="Z21" s="1260" t="str">
        <f>Q21</f>
        <v>环境状况</v>
      </c>
      <c r="AA21" s="1260">
        <f t="shared" si="3"/>
        <v>1</v>
      </c>
      <c r="AB21" s="1260">
        <f t="shared" si="4"/>
        <v>1</v>
      </c>
      <c r="AC21" s="1260">
        <f t="shared" si="5"/>
        <v>1</v>
      </c>
    </row>
    <row r="22" spans="1:29" ht="15.5">
      <c r="A22" s="348"/>
      <c r="B22" s="401"/>
      <c r="C22" s="386"/>
      <c r="D22" s="387"/>
      <c r="E22" s="1754"/>
      <c r="F22" s="387"/>
      <c r="G22" s="1754"/>
      <c r="H22" s="387"/>
      <c r="I22" s="386"/>
      <c r="J22" s="387"/>
      <c r="K22" s="592"/>
      <c r="L22" s="2488"/>
      <c r="M22" s="2483"/>
      <c r="N22" s="2483"/>
      <c r="O22" s="2538"/>
      <c r="P22" s="3466"/>
      <c r="Q22" s="1259"/>
      <c r="R22" s="667"/>
      <c r="S22" s="668"/>
      <c r="T22" s="667"/>
      <c r="U22" s="668"/>
      <c r="V22" s="667"/>
      <c r="W22" s="668"/>
      <c r="X22" s="1261"/>
      <c r="Y22" s="3466"/>
      <c r="Z22" s="1260"/>
      <c r="AA22" s="1260">
        <v>1</v>
      </c>
      <c r="AB22" s="1260">
        <v>1</v>
      </c>
      <c r="AC22" s="1260">
        <v>1</v>
      </c>
    </row>
    <row r="23" spans="1:29" s="102" customFormat="1" ht="42">
      <c r="A23" s="443"/>
      <c r="B23" s="557" t="s">
        <v>1776</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66"/>
      <c r="Q23" s="530" t="str">
        <f t="shared" si="8"/>
        <v>公共配套设施</v>
      </c>
      <c r="R23" s="664" t="s">
        <v>14</v>
      </c>
      <c r="S23" s="665">
        <f>F23</f>
        <v>100</v>
      </c>
      <c r="T23" s="664" t="s">
        <v>14</v>
      </c>
      <c r="U23" s="665">
        <f>H23</f>
        <v>100</v>
      </c>
      <c r="V23" s="664" t="s">
        <v>14</v>
      </c>
      <c r="W23" s="665">
        <f>J23</f>
        <v>100</v>
      </c>
      <c r="X23" s="666"/>
      <c r="Y23" s="3466"/>
      <c r="Z23" s="50" t="str">
        <f>Q23</f>
        <v>公共配套设施</v>
      </c>
      <c r="AA23" s="1260">
        <f>D23/F23</f>
        <v>1</v>
      </c>
      <c r="AB23" s="1260">
        <f>D23/H23</f>
        <v>1</v>
      </c>
      <c r="AC23" s="1260">
        <f>D23/J23</f>
        <v>1</v>
      </c>
    </row>
    <row r="24" spans="1:29" s="102" customFormat="1" ht="15.5">
      <c r="A24" s="443"/>
      <c r="B24" s="401"/>
      <c r="C24" s="1822"/>
      <c r="D24" s="387"/>
      <c r="E24" s="1754"/>
      <c r="F24" s="387"/>
      <c r="G24" s="1754"/>
      <c r="H24" s="387"/>
      <c r="I24" s="386"/>
      <c r="J24" s="387"/>
      <c r="K24" s="592"/>
      <c r="L24" s="2484"/>
      <c r="M24" s="2435"/>
      <c r="N24" s="2435"/>
      <c r="O24" s="2536"/>
      <c r="P24" s="3466"/>
      <c r="Q24" s="530"/>
      <c r="R24" s="664"/>
      <c r="S24" s="665"/>
      <c r="T24" s="664"/>
      <c r="U24" s="665"/>
      <c r="V24" s="664"/>
      <c r="W24" s="665"/>
      <c r="X24" s="666"/>
      <c r="Y24" s="3466"/>
      <c r="Z24" s="50"/>
      <c r="AA24" s="50">
        <v>1</v>
      </c>
      <c r="AB24" s="50">
        <v>1</v>
      </c>
      <c r="AC24" s="50">
        <v>1</v>
      </c>
    </row>
    <row r="25" spans="1:29" s="102" customFormat="1" ht="42">
      <c r="A25" s="443"/>
      <c r="B25" s="557" t="s">
        <v>1777</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66"/>
      <c r="Q25" s="530" t="str">
        <f t="shared" ref="Q25" si="9">B25</f>
        <v>基础设施水平</v>
      </c>
      <c r="R25" s="664" t="s">
        <v>14</v>
      </c>
      <c r="S25" s="665">
        <f>F25</f>
        <v>100</v>
      </c>
      <c r="T25" s="664" t="s">
        <v>14</v>
      </c>
      <c r="U25" s="665">
        <f>H25</f>
        <v>100</v>
      </c>
      <c r="V25" s="664" t="s">
        <v>14</v>
      </c>
      <c r="W25" s="665">
        <f>J25</f>
        <v>100</v>
      </c>
      <c r="X25" s="666"/>
      <c r="Y25" s="3466"/>
      <c r="Z25" s="50" t="str">
        <f>Q25</f>
        <v>基础设施水平</v>
      </c>
      <c r="AA25" s="1260">
        <f>D25/F25</f>
        <v>1</v>
      </c>
      <c r="AB25" s="1260">
        <f>D25/H25</f>
        <v>1</v>
      </c>
      <c r="AC25" s="1260">
        <f>D25/J25</f>
        <v>1</v>
      </c>
    </row>
    <row r="26" spans="1:29" s="102" customFormat="1" ht="15.5">
      <c r="A26" s="443"/>
      <c r="B26" s="401"/>
      <c r="C26" s="1822"/>
      <c r="D26" s="387"/>
      <c r="E26" s="1823"/>
      <c r="F26" s="387"/>
      <c r="G26" s="1823"/>
      <c r="H26" s="387"/>
      <c r="I26" s="1823"/>
      <c r="J26" s="387"/>
      <c r="K26" s="592"/>
      <c r="L26" s="2484"/>
      <c r="M26" s="2435"/>
      <c r="N26" s="2435"/>
      <c r="O26" s="2536"/>
      <c r="P26" s="3466"/>
      <c r="Q26" s="530"/>
      <c r="R26" s="664"/>
      <c r="S26" s="665"/>
      <c r="T26" s="664"/>
      <c r="U26" s="665"/>
      <c r="V26" s="664"/>
      <c r="W26" s="665"/>
      <c r="X26" s="666"/>
      <c r="Y26" s="3466"/>
      <c r="Z26" s="50"/>
      <c r="AA26" s="50">
        <v>1</v>
      </c>
      <c r="AB26" s="50">
        <v>1</v>
      </c>
      <c r="AC26" s="50">
        <v>1</v>
      </c>
    </row>
    <row r="27" spans="1:29" ht="15.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66"/>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66"/>
      <c r="Z27" s="1260" t="str">
        <f t="shared" ref="Z27:Z40" si="13">Q27</f>
        <v>临街状况</v>
      </c>
      <c r="AA27" s="1260">
        <f t="shared" si="3"/>
        <v>1</v>
      </c>
      <c r="AB27" s="1260">
        <f t="shared" si="4"/>
        <v>1</v>
      </c>
      <c r="AC27" s="1260">
        <f t="shared" si="5"/>
        <v>1</v>
      </c>
    </row>
    <row r="28" spans="1:29" ht="28">
      <c r="A28" s="367"/>
      <c r="B28" s="557" t="s">
        <v>1813</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66"/>
      <c r="Q28" s="1259" t="str">
        <f t="shared" si="8"/>
        <v>毗邻道路的类型与等级</v>
      </c>
      <c r="R28" s="667" t="s">
        <v>14</v>
      </c>
      <c r="S28" s="668">
        <f t="shared" si="10"/>
        <v>100</v>
      </c>
      <c r="T28" s="667" t="s">
        <v>14</v>
      </c>
      <c r="U28" s="668">
        <f t="shared" si="11"/>
        <v>100</v>
      </c>
      <c r="V28" s="667" t="s">
        <v>14</v>
      </c>
      <c r="W28" s="668">
        <f t="shared" si="12"/>
        <v>100</v>
      </c>
      <c r="X28" s="1261"/>
      <c r="Y28" s="3466"/>
      <c r="Z28" s="1260" t="str">
        <f t="shared" si="13"/>
        <v>毗邻道路的类型与等级</v>
      </c>
      <c r="AA28" s="1260">
        <f t="shared" si="3"/>
        <v>1</v>
      </c>
      <c r="AB28" s="1260">
        <f t="shared" si="4"/>
        <v>1</v>
      </c>
      <c r="AC28" s="1260">
        <f t="shared" si="5"/>
        <v>1</v>
      </c>
    </row>
    <row r="29" spans="1:29" ht="15.5">
      <c r="A29" s="367"/>
      <c r="B29" s="401"/>
      <c r="C29" s="386"/>
      <c r="D29" s="387"/>
      <c r="E29" s="1754"/>
      <c r="F29" s="387"/>
      <c r="G29" s="1754"/>
      <c r="H29" s="387"/>
      <c r="I29" s="1754"/>
      <c r="J29" s="387"/>
      <c r="K29" s="539"/>
      <c r="L29" s="2488"/>
      <c r="M29" s="2483"/>
      <c r="N29" s="2483"/>
      <c r="O29" s="2538"/>
      <c r="P29" s="3466"/>
      <c r="Q29" s="1259"/>
      <c r="R29" s="667"/>
      <c r="S29" s="668"/>
      <c r="T29" s="667"/>
      <c r="U29" s="668"/>
      <c r="V29" s="667"/>
      <c r="W29" s="668"/>
      <c r="X29" s="1261"/>
      <c r="Y29" s="3466"/>
      <c r="Z29" s="1260"/>
      <c r="AA29" s="1260">
        <v>1</v>
      </c>
      <c r="AB29" s="1260">
        <v>1</v>
      </c>
      <c r="AC29" s="1260">
        <v>1</v>
      </c>
    </row>
    <row r="30" spans="1:29" ht="15.5">
      <c r="A30" s="367"/>
      <c r="B30" s="119" t="s">
        <v>1871</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66"/>
      <c r="Q30" s="1259" t="str">
        <f t="shared" si="8"/>
        <v>土地级别</v>
      </c>
      <c r="R30" s="667" t="s">
        <v>14</v>
      </c>
      <c r="S30" s="668">
        <f t="shared" si="10"/>
        <v>100</v>
      </c>
      <c r="T30" s="667" t="s">
        <v>14</v>
      </c>
      <c r="U30" s="668">
        <f t="shared" si="11"/>
        <v>100</v>
      </c>
      <c r="V30" s="667" t="s">
        <v>14</v>
      </c>
      <c r="W30" s="668">
        <f t="shared" si="12"/>
        <v>100</v>
      </c>
      <c r="X30" s="1261"/>
      <c r="Y30" s="3466"/>
      <c r="Z30" s="1260" t="str">
        <f t="shared" si="13"/>
        <v>土地级别</v>
      </c>
      <c r="AA30" s="1260">
        <f t="shared" si="3"/>
        <v>1</v>
      </c>
      <c r="AB30" s="1260">
        <f t="shared" si="4"/>
        <v>1</v>
      </c>
      <c r="AC30" s="1260">
        <f t="shared" si="5"/>
        <v>1</v>
      </c>
    </row>
    <row r="31" spans="1:29" ht="15.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66"/>
      <c r="Q31" s="1259">
        <f t="shared" si="8"/>
        <v>111</v>
      </c>
      <c r="R31" s="667" t="s">
        <v>14</v>
      </c>
      <c r="S31" s="668">
        <f t="shared" si="10"/>
        <v>100</v>
      </c>
      <c r="T31" s="667" t="s">
        <v>14</v>
      </c>
      <c r="U31" s="668">
        <f t="shared" si="11"/>
        <v>100</v>
      </c>
      <c r="V31" s="667" t="s">
        <v>14</v>
      </c>
      <c r="W31" s="668">
        <f t="shared" si="12"/>
        <v>100</v>
      </c>
      <c r="X31" s="1261"/>
      <c r="Y31" s="3466"/>
      <c r="Z31" s="1260">
        <f t="shared" si="13"/>
        <v>111</v>
      </c>
      <c r="AA31" s="1260">
        <f t="shared" si="3"/>
        <v>1</v>
      </c>
      <c r="AB31" s="1260">
        <f t="shared" si="4"/>
        <v>1</v>
      </c>
      <c r="AC31" s="1260">
        <f t="shared" si="5"/>
        <v>1</v>
      </c>
    </row>
    <row r="32" spans="1:29" ht="15.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9" t="s">
        <v>1694</v>
      </c>
      <c r="Q32" s="1259">
        <f t="shared" si="8"/>
        <v>111</v>
      </c>
      <c r="R32" s="667" t="s">
        <v>14</v>
      </c>
      <c r="S32" s="668">
        <f t="shared" si="10"/>
        <v>100</v>
      </c>
      <c r="T32" s="667" t="s">
        <v>14</v>
      </c>
      <c r="U32" s="668">
        <f t="shared" si="11"/>
        <v>100</v>
      </c>
      <c r="V32" s="667" t="s">
        <v>14</v>
      </c>
      <c r="W32" s="668">
        <f t="shared" si="12"/>
        <v>100</v>
      </c>
      <c r="X32" s="1261"/>
      <c r="Y32" s="3470" t="s">
        <v>1694</v>
      </c>
      <c r="Z32" s="1260">
        <f t="shared" si="13"/>
        <v>111</v>
      </c>
      <c r="AA32" s="1260">
        <f t="shared" si="3"/>
        <v>1</v>
      </c>
      <c r="AB32" s="1260">
        <f t="shared" si="4"/>
        <v>1</v>
      </c>
      <c r="AC32" s="1260">
        <f t="shared" si="5"/>
        <v>1</v>
      </c>
    </row>
    <row r="33" spans="1:31" s="408" customFormat="1" ht="1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70"/>
      <c r="Q33" s="1259">
        <f t="shared" si="8"/>
        <v>111</v>
      </c>
      <c r="R33" s="669" t="s">
        <v>14</v>
      </c>
      <c r="S33" s="670">
        <f t="shared" si="10"/>
        <v>100</v>
      </c>
      <c r="T33" s="669" t="s">
        <v>14</v>
      </c>
      <c r="U33" s="670">
        <f t="shared" si="11"/>
        <v>100</v>
      </c>
      <c r="V33" s="669" t="s">
        <v>14</v>
      </c>
      <c r="W33" s="670">
        <f t="shared" si="12"/>
        <v>100</v>
      </c>
      <c r="X33" s="671"/>
      <c r="Y33" s="3470"/>
      <c r="Z33" s="672">
        <f t="shared" si="13"/>
        <v>111</v>
      </c>
      <c r="AA33" s="1260">
        <f t="shared" si="3"/>
        <v>1</v>
      </c>
      <c r="AB33" s="1260">
        <f t="shared" si="4"/>
        <v>1</v>
      </c>
      <c r="AC33" s="1260">
        <f t="shared" si="5"/>
        <v>1</v>
      </c>
    </row>
    <row r="34" spans="1:31" ht="15.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70"/>
      <c r="Q34" s="1259" t="str">
        <f>B34</f>
        <v>宗地面积</v>
      </c>
      <c r="R34" s="667" t="s">
        <v>14</v>
      </c>
      <c r="S34" s="668" t="e">
        <f t="shared" si="10"/>
        <v>#N/A</v>
      </c>
      <c r="T34" s="667" t="s">
        <v>14</v>
      </c>
      <c r="U34" s="668" t="e">
        <f t="shared" si="11"/>
        <v>#N/A</v>
      </c>
      <c r="V34" s="667" t="s">
        <v>14</v>
      </c>
      <c r="W34" s="668" t="e">
        <f t="shared" si="12"/>
        <v>#N/A</v>
      </c>
      <c r="X34" s="1261"/>
      <c r="Y34" s="3470"/>
      <c r="Z34" s="1260" t="str">
        <f t="shared" si="13"/>
        <v>宗地面积</v>
      </c>
      <c r="AA34" s="1260" t="e">
        <f t="shared" si="3"/>
        <v>#N/A</v>
      </c>
      <c r="AB34" s="1260" t="e">
        <f t="shared" si="4"/>
        <v>#N/A</v>
      </c>
      <c r="AC34" s="1260" t="e">
        <f t="shared" si="5"/>
        <v>#N/A</v>
      </c>
    </row>
    <row r="35" spans="1:31" ht="15.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8"/>
      <c r="M35" s="2483"/>
      <c r="N35" s="2483"/>
      <c r="O35" s="2538"/>
      <c r="P35" s="3470"/>
      <c r="Q35" s="1259" t="str">
        <f t="shared" ref="Q35:Q40" si="14">B35</f>
        <v>宗地形状</v>
      </c>
      <c r="R35" s="667" t="s">
        <v>14</v>
      </c>
      <c r="S35" s="668">
        <f t="shared" si="10"/>
        <v>100</v>
      </c>
      <c r="T35" s="667" t="s">
        <v>14</v>
      </c>
      <c r="U35" s="668">
        <f t="shared" si="11"/>
        <v>100</v>
      </c>
      <c r="V35" s="667" t="s">
        <v>14</v>
      </c>
      <c r="W35" s="668">
        <f t="shared" si="12"/>
        <v>100</v>
      </c>
      <c r="X35" s="1261"/>
      <c r="Y35" s="3470"/>
      <c r="Z35" s="1260" t="str">
        <f t="shared" si="13"/>
        <v>宗地形状</v>
      </c>
      <c r="AA35" s="1260">
        <f t="shared" si="3"/>
        <v>1</v>
      </c>
      <c r="AB35" s="1260">
        <f t="shared" si="4"/>
        <v>1</v>
      </c>
      <c r="AC35" s="1260">
        <f t="shared" si="5"/>
        <v>1</v>
      </c>
    </row>
    <row r="36" spans="1:31" s="102" customFormat="1" ht="15.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70"/>
      <c r="Q36" s="1259" t="str">
        <f t="shared" si="14"/>
        <v>宗地开发程度</v>
      </c>
      <c r="R36" s="664" t="s">
        <v>14</v>
      </c>
      <c r="S36" s="665">
        <f t="shared" si="10"/>
        <v>100</v>
      </c>
      <c r="T36" s="664" t="s">
        <v>14</v>
      </c>
      <c r="U36" s="665">
        <f t="shared" si="11"/>
        <v>100</v>
      </c>
      <c r="V36" s="664" t="s">
        <v>14</v>
      </c>
      <c r="W36" s="665">
        <f t="shared" si="12"/>
        <v>100</v>
      </c>
      <c r="X36" s="666"/>
      <c r="Y36" s="3470"/>
      <c r="Z36" s="50" t="str">
        <f t="shared" si="13"/>
        <v>宗地开发程度</v>
      </c>
      <c r="AA36" s="50">
        <f t="shared" si="3"/>
        <v>1</v>
      </c>
      <c r="AB36" s="50">
        <f t="shared" si="4"/>
        <v>1</v>
      </c>
      <c r="AC36" s="50">
        <f t="shared" si="5"/>
        <v>1</v>
      </c>
    </row>
    <row r="37" spans="1:31" ht="15.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8"/>
      <c r="M37" s="2483"/>
      <c r="N37" s="2483"/>
      <c r="O37" s="2538"/>
      <c r="P37" s="3470" t="s">
        <v>1694</v>
      </c>
      <c r="Q37" s="1259" t="str">
        <f t="shared" si="14"/>
        <v>工程地质条件</v>
      </c>
      <c r="R37" s="667" t="s">
        <v>14</v>
      </c>
      <c r="S37" s="668">
        <f t="shared" si="10"/>
        <v>100</v>
      </c>
      <c r="T37" s="667" t="s">
        <v>14</v>
      </c>
      <c r="U37" s="668">
        <f t="shared" si="11"/>
        <v>100</v>
      </c>
      <c r="V37" s="667" t="s">
        <v>14</v>
      </c>
      <c r="W37" s="668">
        <f t="shared" si="12"/>
        <v>100</v>
      </c>
      <c r="X37" s="1261"/>
      <c r="Y37" s="3470" t="s">
        <v>1694</v>
      </c>
      <c r="Z37" s="1260" t="str">
        <f t="shared" si="13"/>
        <v>工程地质条件</v>
      </c>
      <c r="AA37" s="1260">
        <f t="shared" si="3"/>
        <v>1</v>
      </c>
      <c r="AB37" s="1260">
        <f t="shared" si="4"/>
        <v>1</v>
      </c>
      <c r="AC37" s="1260">
        <f t="shared" si="5"/>
        <v>1</v>
      </c>
    </row>
    <row r="38" spans="1:31" ht="15.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70"/>
      <c r="Q38" s="1259">
        <f t="shared" si="14"/>
        <v>111</v>
      </c>
      <c r="R38" s="667" t="s">
        <v>14</v>
      </c>
      <c r="S38" s="668">
        <f t="shared" si="10"/>
        <v>100</v>
      </c>
      <c r="T38" s="667" t="s">
        <v>14</v>
      </c>
      <c r="U38" s="668">
        <f t="shared" si="11"/>
        <v>100</v>
      </c>
      <c r="V38" s="667" t="s">
        <v>14</v>
      </c>
      <c r="W38" s="668">
        <f t="shared" si="12"/>
        <v>100</v>
      </c>
      <c r="X38" s="1261"/>
      <c r="Y38" s="3470"/>
      <c r="Z38" s="1260">
        <f t="shared" si="13"/>
        <v>111</v>
      </c>
      <c r="AA38" s="1260">
        <f t="shared" si="3"/>
        <v>1</v>
      </c>
      <c r="AB38" s="1260">
        <f t="shared" si="4"/>
        <v>1</v>
      </c>
      <c r="AC38" s="1260">
        <f t="shared" si="5"/>
        <v>1</v>
      </c>
    </row>
    <row r="39" spans="1:31" ht="15.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70"/>
      <c r="Q39" s="1259">
        <f t="shared" si="14"/>
        <v>111</v>
      </c>
      <c r="R39" s="667" t="s">
        <v>14</v>
      </c>
      <c r="S39" s="668">
        <f t="shared" si="10"/>
        <v>100</v>
      </c>
      <c r="T39" s="667" t="s">
        <v>14</v>
      </c>
      <c r="U39" s="668">
        <f t="shared" si="11"/>
        <v>100</v>
      </c>
      <c r="V39" s="667" t="s">
        <v>14</v>
      </c>
      <c r="W39" s="668">
        <f t="shared" si="12"/>
        <v>100</v>
      </c>
      <c r="X39" s="1261"/>
      <c r="Y39" s="3470"/>
      <c r="Z39" s="1260">
        <f t="shared" si="13"/>
        <v>111</v>
      </c>
      <c r="AA39" s="1260">
        <f t="shared" si="3"/>
        <v>1</v>
      </c>
      <c r="AB39" s="1260">
        <f t="shared" si="4"/>
        <v>1</v>
      </c>
      <c r="AC39" s="1260">
        <f t="shared" si="5"/>
        <v>1</v>
      </c>
    </row>
    <row r="40" spans="1:31" s="408" customFormat="1" ht="1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70"/>
      <c r="Q40" s="1259">
        <f t="shared" si="14"/>
        <v>111</v>
      </c>
      <c r="R40" s="669" t="s">
        <v>14</v>
      </c>
      <c r="S40" s="670">
        <f t="shared" si="10"/>
        <v>100</v>
      </c>
      <c r="T40" s="669" t="s">
        <v>14</v>
      </c>
      <c r="U40" s="670">
        <f t="shared" si="11"/>
        <v>100</v>
      </c>
      <c r="V40" s="669" t="s">
        <v>14</v>
      </c>
      <c r="W40" s="670">
        <f t="shared" si="12"/>
        <v>100</v>
      </c>
      <c r="X40" s="671"/>
      <c r="Y40" s="3470"/>
      <c r="Z40" s="672">
        <f t="shared" si="13"/>
        <v>111</v>
      </c>
      <c r="AA40" s="1260">
        <f t="shared" si="3"/>
        <v>1</v>
      </c>
      <c r="AB40" s="1260">
        <f t="shared" si="4"/>
        <v>1</v>
      </c>
      <c r="AC40" s="1260">
        <f t="shared" si="5"/>
        <v>1</v>
      </c>
    </row>
    <row r="41" spans="1:31">
      <c r="A41" s="416" t="s">
        <v>1842</v>
      </c>
      <c r="B41" s="1826" t="s">
        <v>1920</v>
      </c>
      <c r="C41" s="602" t="s">
        <v>0</v>
      </c>
      <c r="D41" s="418"/>
      <c r="E41" s="419"/>
      <c r="F41" s="420"/>
      <c r="G41" s="421"/>
      <c r="H41" s="422"/>
      <c r="I41" s="419"/>
      <c r="J41" s="422"/>
      <c r="K41" s="674"/>
      <c r="L41" s="2490"/>
      <c r="M41" s="2483"/>
      <c r="N41" s="2483"/>
      <c r="O41" s="2483"/>
      <c r="P41" s="3464" t="str">
        <f>A41</f>
        <v>成交单价</v>
      </c>
      <c r="Q41" s="3464"/>
      <c r="R41" s="3459">
        <f>E41</f>
        <v>0</v>
      </c>
      <c r="S41" s="3459"/>
      <c r="T41" s="3459">
        <f>G41</f>
        <v>0</v>
      </c>
      <c r="U41" s="3459"/>
      <c r="V41" s="3459">
        <f>I41</f>
        <v>0</v>
      </c>
      <c r="W41" s="3459"/>
      <c r="X41" s="385"/>
      <c r="Y41" s="673"/>
      <c r="Z41" s="385"/>
      <c r="AA41" s="385"/>
      <c r="AB41" s="385"/>
      <c r="AC41" s="385"/>
    </row>
    <row r="42" spans="1:31" ht="14.5" thickBot="1">
      <c r="A42" s="423" t="s">
        <v>1791</v>
      </c>
      <c r="B42" s="603"/>
      <c r="C42" s="426" t="e">
        <f>R43</f>
        <v>#DIV/0!</v>
      </c>
      <c r="D42" s="2137" t="s">
        <v>2136</v>
      </c>
      <c r="E42" s="426" t="e">
        <f>R42</f>
        <v>#DIV/0!</v>
      </c>
      <c r="F42" s="2138"/>
      <c r="G42" s="425" t="e">
        <f>T42</f>
        <v>#DIV/0!</v>
      </c>
      <c r="H42" s="2138"/>
      <c r="I42" s="426" t="e">
        <f>V42</f>
        <v>#DIV/0!</v>
      </c>
      <c r="J42" s="2138"/>
      <c r="K42" s="2140">
        <f>F42+H42+J42</f>
        <v>0</v>
      </c>
      <c r="L42" s="2490"/>
      <c r="M42" s="2483"/>
      <c r="N42" s="2483"/>
      <c r="O42" s="2483"/>
      <c r="P42" s="3464" t="str">
        <f>A42</f>
        <v>比较价值（元/平方米）</v>
      </c>
      <c r="Q42" s="3464"/>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4.5" thickBot="1">
      <c r="A43" s="427" t="s">
        <v>1792</v>
      </c>
      <c r="B43" s="428"/>
      <c r="C43" s="429" t="e">
        <f>R43</f>
        <v>#DIV/0!</v>
      </c>
      <c r="D43" s="429"/>
      <c r="E43" s="429"/>
      <c r="F43" s="429"/>
      <c r="G43" s="429"/>
      <c r="H43" s="429"/>
      <c r="I43" s="429"/>
      <c r="J43" s="429"/>
      <c r="K43" s="675"/>
      <c r="L43" s="2490"/>
      <c r="M43" s="2483"/>
      <c r="N43" s="2483"/>
      <c r="O43" s="2483"/>
      <c r="P43" s="3461" t="str">
        <f>A43</f>
        <v>估价对象XX用房的比较价值（楼面单价，元/平方米）</v>
      </c>
      <c r="Q43" s="3462"/>
      <c r="R43" s="3492" t="e">
        <f>ROUND(IF(D42="简单平均",AVERAGE(R42:W42),R42*F42+T42*H42+V42*J42),0)</f>
        <v>#DIV/0!</v>
      </c>
      <c r="S43" s="3492"/>
      <c r="T43" s="3492"/>
      <c r="U43" s="3492"/>
      <c r="V43" s="3492"/>
      <c r="W43" s="3492"/>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
      <c r="A50" s="604" t="s">
        <v>1879</v>
      </c>
      <c r="B50" s="605" t="s">
        <v>1880</v>
      </c>
      <c r="C50" s="1827" t="s">
        <v>1881</v>
      </c>
      <c r="D50" s="1828" t="s">
        <v>1882</v>
      </c>
      <c r="E50" s="606" t="s">
        <v>1883</v>
      </c>
      <c r="F50" s="607" t="s">
        <v>1884</v>
      </c>
      <c r="G50" s="3447" t="s">
        <v>1885</v>
      </c>
      <c r="H50" s="3493"/>
      <c r="I50" s="1260" t="s">
        <v>1921</v>
      </c>
      <c r="J50" s="1260">
        <f>项目基本情况!F35</f>
        <v>0</v>
      </c>
      <c r="K50" s="1830" t="s">
        <v>1887</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1888</v>
      </c>
      <c r="B51" s="609" t="e">
        <f>C43</f>
        <v>#DIV/0!</v>
      </c>
      <c r="C51" s="610">
        <v>1</v>
      </c>
      <c r="D51" s="886">
        <v>1</v>
      </c>
      <c r="E51" s="610">
        <f>'数据-汇总表'!E8+'数据-汇总表'!E9</f>
        <v>6284.0700000000006</v>
      </c>
      <c r="F51" s="611" t="e">
        <f t="shared" ref="F51:F60" si="15">ROUND(B51*E51/10000,0)</f>
        <v>#DIV/0!</v>
      </c>
      <c r="G51" s="3446"/>
      <c r="H51" s="3464"/>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1889</v>
      </c>
      <c r="B52" s="210" t="e">
        <f>ROUND($C$43*C52*D52,0)</f>
        <v>#DIV/0!</v>
      </c>
      <c r="C52" s="163">
        <f t="shared" ref="C52:C60" si="16">IF($C$50="北京市系数",I52,J52)</f>
        <v>0.7</v>
      </c>
      <c r="D52" s="887">
        <v>0.25</v>
      </c>
      <c r="E52" s="614"/>
      <c r="F52" s="611" t="e">
        <f t="shared" si="15"/>
        <v>#DIV/0!</v>
      </c>
      <c r="G52" s="2746" t="s">
        <v>1890</v>
      </c>
      <c r="H52" s="830" t="str">
        <f>项目基本情况!B37</f>
        <v>一级</v>
      </c>
      <c r="I52" s="723">
        <f>SUMIF(修正!A57:A68,H52,修正!B57:B68)</f>
        <v>0.7</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1891</v>
      </c>
      <c r="B53" s="210" t="e">
        <f t="shared" ref="B53:B60" si="17">ROUND($C$43*C53*D53,0)</f>
        <v>#DIV/0!</v>
      </c>
      <c r="C53" s="163">
        <f t="shared" si="16"/>
        <v>0.4</v>
      </c>
      <c r="D53" s="887">
        <v>0.25</v>
      </c>
      <c r="E53" s="614"/>
      <c r="F53" s="611" t="e">
        <f t="shared" si="15"/>
        <v>#DIV/0!</v>
      </c>
      <c r="G53" s="2747"/>
      <c r="H53" s="830" t="str">
        <f>项目基本情况!B37</f>
        <v>一级</v>
      </c>
      <c r="I53" s="723">
        <f>SUMIF(修正!A57:A68,H53,修正!C57:C68)</f>
        <v>0.4</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1892</v>
      </c>
      <c r="B54" s="210" t="e">
        <f t="shared" si="17"/>
        <v>#DIV/0!</v>
      </c>
      <c r="C54" s="163">
        <f t="shared" si="16"/>
        <v>0.3</v>
      </c>
      <c r="D54" s="887">
        <v>0.25</v>
      </c>
      <c r="E54" s="614"/>
      <c r="F54" s="611" t="e">
        <f t="shared" si="15"/>
        <v>#DIV/0!</v>
      </c>
      <c r="G54" s="2747"/>
      <c r="H54" s="830" t="str">
        <f>项目基本情况!B37</f>
        <v>一级</v>
      </c>
      <c r="I54" s="723">
        <f>SUMIF(修正!A57:A68,H54,修正!D57:D68)</f>
        <v>0.3</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7"/>
      <c r="E55" s="614"/>
      <c r="F55" s="611"/>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1893</v>
      </c>
      <c r="B56" s="210" t="e">
        <f t="shared" si="17"/>
        <v>#DIV/0!</v>
      </c>
      <c r="C56" s="163">
        <f t="shared" si="16"/>
        <v>0.3</v>
      </c>
      <c r="D56" s="887">
        <v>0.25</v>
      </c>
      <c r="E56" s="209">
        <f>'数据-汇总表'!E11</f>
        <v>0</v>
      </c>
      <c r="F56" s="611" t="e">
        <f t="shared" si="15"/>
        <v>#DIV/0!</v>
      </c>
      <c r="G56" s="1831" t="s">
        <v>1894</v>
      </c>
      <c r="H56" s="830" t="str">
        <f>项目基本情况!C37</f>
        <v>一级</v>
      </c>
      <c r="I56" s="723">
        <f>SUMIF(修正!A57:A68,H56,修正!E57:E68)</f>
        <v>0.3</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1895</v>
      </c>
      <c r="B57" s="210" t="e">
        <f t="shared" si="17"/>
        <v>#DIV/0!</v>
      </c>
      <c r="C57" s="163">
        <f t="shared" si="16"/>
        <v>0.3</v>
      </c>
      <c r="D57" s="887">
        <v>0.25</v>
      </c>
      <c r="E57" s="209">
        <f>'数据-汇总表'!E12</f>
        <v>0</v>
      </c>
      <c r="F57" s="611" t="e">
        <f t="shared" si="15"/>
        <v>#DIV/0!</v>
      </c>
      <c r="G57" s="835" t="s">
        <v>1896</v>
      </c>
      <c r="H57" s="830" t="str">
        <f>IF(G57="商业",项目基本情况!B37,IF(G57="办公",项目基本情况!C37,IF(G57="住宅",项目基本情况!D37,项目基本情况!E37)))</f>
        <v>一级</v>
      </c>
      <c r="I57" s="723">
        <f>SUMIF(修正!A57:A68,H57,修正!F57:F68)</f>
        <v>0.3</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1897</v>
      </c>
      <c r="B58" s="210" t="e">
        <f t="shared" si="17"/>
        <v>#DIV/0!</v>
      </c>
      <c r="C58" s="163">
        <f t="shared" si="16"/>
        <v>0</v>
      </c>
      <c r="D58" s="887">
        <v>0.25</v>
      </c>
      <c r="E58" s="209">
        <f>'数据-汇总表'!E13</f>
        <v>16503.550000000127</v>
      </c>
      <c r="F58" s="611" t="e">
        <f t="shared" si="15"/>
        <v>#DIV/0!</v>
      </c>
      <c r="G58" s="835" t="s">
        <v>1898</v>
      </c>
      <c r="H58" s="830">
        <f>IF(G58="商业",项目基本情况!B37,IF(G58="办公",项目基本情况!C37,IF(G58="住宅",项目基本情况!D37,项目基本情况!E37)))</f>
        <v>0</v>
      </c>
      <c r="I58" s="723">
        <f>SUMIF(修正!A57:A68,H58,修正!G57:G68)</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1899</v>
      </c>
      <c r="B59" s="210" t="e">
        <f t="shared" si="17"/>
        <v>#DIV/0!</v>
      </c>
      <c r="C59" s="163">
        <f t="shared" si="16"/>
        <v>0.2</v>
      </c>
      <c r="D59" s="887">
        <v>0.25</v>
      </c>
      <c r="E59" s="209">
        <f>'数据-汇总表'!E14</f>
        <v>0</v>
      </c>
      <c r="F59" s="611" t="e">
        <f t="shared" si="15"/>
        <v>#DIV/0!</v>
      </c>
      <c r="G59" s="1831" t="s">
        <v>1890</v>
      </c>
      <c r="H59" s="830" t="str">
        <f>项目基本情况!B37</f>
        <v>一级</v>
      </c>
      <c r="I59" s="723">
        <f>SUMIF(修正!A57:A68,H59,修正!G57:G68)</f>
        <v>0.2</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5" thickBot="1">
      <c r="A60" s="613" t="s">
        <v>1900</v>
      </c>
      <c r="B60" s="210" t="e">
        <f t="shared" si="17"/>
        <v>#DIV/0!</v>
      </c>
      <c r="C60" s="163">
        <f t="shared" si="16"/>
        <v>0.2</v>
      </c>
      <c r="D60" s="887">
        <v>0.25</v>
      </c>
      <c r="E60" s="209">
        <f>'数据-汇总表'!E15</f>
        <v>0</v>
      </c>
      <c r="F60" s="611" t="e">
        <f t="shared" si="15"/>
        <v>#DIV/0!</v>
      </c>
      <c r="G60" s="1832" t="s">
        <v>1894</v>
      </c>
      <c r="H60" s="840" t="str">
        <f>项目基本情况!C37</f>
        <v>一级</v>
      </c>
      <c r="I60" s="723">
        <f>SUMIF(修正!A57:A68,H60,修正!G57:G68)</f>
        <v>0.2</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5" thickBot="1">
      <c r="A61" s="615" t="s">
        <v>1901</v>
      </c>
      <c r="B61" s="616" t="s">
        <v>22</v>
      </c>
      <c r="C61" s="616" t="s">
        <v>23</v>
      </c>
      <c r="D61" s="616" t="s">
        <v>392</v>
      </c>
      <c r="E61" s="616">
        <f>IF(B41="楼面地价",SUM(E51:E60),'数据-汇总表'!D3)</f>
        <v>0</v>
      </c>
      <c r="F61" s="617"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6" t="str">
        <f>YEAR(C7)&amp;"-"&amp;MONTH(C7)&amp;"-1"</f>
        <v>2024-7-1</v>
      </c>
      <c r="D63" s="656">
        <f>EDATE(C63,-3)</f>
        <v>45383</v>
      </c>
      <c r="E63" s="656">
        <f>EDATE(D63,-3)</f>
        <v>45292</v>
      </c>
      <c r="F63" s="656">
        <f t="shared" ref="F63:O63" si="18">EDATE(E63,-3)</f>
        <v>45200</v>
      </c>
      <c r="G63" s="656">
        <f t="shared" si="18"/>
        <v>45108</v>
      </c>
      <c r="H63" s="656">
        <f t="shared" si="18"/>
        <v>45017</v>
      </c>
      <c r="I63" s="656">
        <f t="shared" si="18"/>
        <v>44927</v>
      </c>
      <c r="J63" s="656">
        <f t="shared" si="18"/>
        <v>44835</v>
      </c>
      <c r="K63" s="656">
        <f t="shared" si="18"/>
        <v>44743</v>
      </c>
      <c r="L63" s="656">
        <f t="shared" si="18"/>
        <v>44652</v>
      </c>
      <c r="M63" s="656">
        <f t="shared" si="18"/>
        <v>44562</v>
      </c>
      <c r="N63" s="656">
        <f t="shared" si="18"/>
        <v>44470</v>
      </c>
      <c r="O63" s="656">
        <f t="shared" si="18"/>
        <v>44378</v>
      </c>
      <c r="P63" s="2483"/>
      <c r="Q63" s="2483"/>
      <c r="R63" s="2483"/>
      <c r="S63" s="2483"/>
      <c r="T63" s="2483"/>
      <c r="U63" s="2483"/>
      <c r="V63" s="2483"/>
      <c r="W63" s="2483"/>
      <c r="X63" s="2483"/>
      <c r="Y63" s="2483"/>
      <c r="Z63" s="2483"/>
      <c r="AA63" s="2483"/>
      <c r="AB63" s="2483"/>
      <c r="AC63" s="2483"/>
      <c r="AD63" s="2483"/>
      <c r="AE63" s="2483"/>
    </row>
    <row r="64" spans="1:31" ht="21.5" thickBot="1">
      <c r="A64" s="658" t="s">
        <v>1796</v>
      </c>
      <c r="B64" s="385"/>
      <c r="C64" s="659"/>
      <c r="D64" s="659"/>
      <c r="E64" s="659"/>
      <c r="F64" s="660"/>
      <c r="G64" s="660"/>
      <c r="H64" s="659"/>
      <c r="I64" s="659"/>
      <c r="J64" s="659"/>
      <c r="K64" s="661"/>
      <c r="L64" s="662"/>
      <c r="M64" s="659"/>
      <c r="N64" s="659"/>
      <c r="O64" s="882"/>
      <c r="P64" s="2533"/>
      <c r="Q64" s="2504"/>
      <c r="R64" s="2483"/>
      <c r="S64" s="2483"/>
      <c r="T64" s="2483"/>
      <c r="U64" s="2483"/>
      <c r="V64" s="2483"/>
      <c r="W64" s="2483"/>
      <c r="X64" s="2483"/>
      <c r="Y64" s="2483"/>
      <c r="Z64" s="2483"/>
      <c r="AA64" s="2483"/>
      <c r="AB64" s="2483"/>
      <c r="AC64" s="2483"/>
      <c r="AD64" s="2483"/>
      <c r="AE64" s="2483"/>
    </row>
    <row r="65" spans="1:31" s="442" customFormat="1">
      <c r="A65" s="1626" t="s">
        <v>1902</v>
      </c>
      <c r="B65" s="1042"/>
      <c r="C65" s="1097" t="str">
        <f>YEAR(C63)&amp;"-"&amp;ROUNDUP(MONTH(C63)/3,0)</f>
        <v>2024-3</v>
      </c>
      <c r="D65" s="1097" t="str">
        <f t="shared" ref="D65:O65" si="19">YEAR(D63)&amp;"-"&amp;ROUNDUP(MONTH(D63)/3,0)</f>
        <v>2024-2</v>
      </c>
      <c r="E65" s="1097" t="str">
        <f t="shared" si="19"/>
        <v>2024-1</v>
      </c>
      <c r="F65" s="1097" t="str">
        <f t="shared" si="19"/>
        <v>2023-4</v>
      </c>
      <c r="G65" s="1097" t="str">
        <f t="shared" si="19"/>
        <v>2023-3</v>
      </c>
      <c r="H65" s="1097" t="str">
        <f t="shared" si="19"/>
        <v>2023-2</v>
      </c>
      <c r="I65" s="1097" t="str">
        <f t="shared" si="19"/>
        <v>2023-1</v>
      </c>
      <c r="J65" s="1097" t="str">
        <f t="shared" si="19"/>
        <v>2022-4</v>
      </c>
      <c r="K65" s="1097" t="str">
        <f t="shared" si="19"/>
        <v>2022-3</v>
      </c>
      <c r="L65" s="1097" t="str">
        <f t="shared" si="19"/>
        <v>2022-2</v>
      </c>
      <c r="M65" s="1097" t="str">
        <f t="shared" si="19"/>
        <v>2022-1</v>
      </c>
      <c r="N65" s="1097" t="str">
        <f t="shared" si="19"/>
        <v>2021-4</v>
      </c>
      <c r="O65" s="1097"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4.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c r="A68" s="455" t="s">
        <v>1679</v>
      </c>
      <c r="B68" s="444"/>
      <c r="C68" s="456" t="s">
        <v>1774</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4.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1683</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8.5" thickTop="1">
      <c r="A72" s="367"/>
      <c r="B72" s="469" t="s">
        <v>1686</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4.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1688</v>
      </c>
      <c r="B83" s="460" t="s">
        <v>1827</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4.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8.5" thickTop="1">
      <c r="A87" s="370"/>
      <c r="B87" s="469" t="s">
        <v>1905</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8.5" thickTop="1">
      <c r="A89" s="370"/>
      <c r="B89" s="469" t="s">
        <v>1906</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4.5" thickTop="1">
      <c r="A91" s="484"/>
      <c r="B91" s="469" t="s">
        <v>1776</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4.5" thickTop="1">
      <c r="A93" s="484"/>
      <c r="B93" s="477" t="s">
        <v>1923</v>
      </c>
      <c r="C93" s="581" t="s">
        <v>1797</v>
      </c>
      <c r="D93" s="581" t="s">
        <v>1798</v>
      </c>
      <c r="E93" s="581" t="s">
        <v>1799</v>
      </c>
      <c r="F93" s="581" t="s">
        <v>1800</v>
      </c>
      <c r="G93" s="581" t="s">
        <v>1801</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4.5" thickTop="1">
      <c r="A95" s="367"/>
      <c r="B95" s="469" t="str">
        <f>B27</f>
        <v>临街状况</v>
      </c>
      <c r="C95" s="470" t="s">
        <v>1907</v>
      </c>
      <c r="D95" s="470" t="s">
        <v>1908</v>
      </c>
      <c r="E95" s="470" t="s">
        <v>1909</v>
      </c>
      <c r="F95" s="470" t="s">
        <v>1910</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8.5" thickTop="1">
      <c r="A97" s="367"/>
      <c r="B97" s="469" t="s">
        <v>1813</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4.5" thickTop="1">
      <c r="A99" s="367"/>
      <c r="B99" s="469" t="s">
        <v>1871</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4.5" thickTop="1">
      <c r="A110" s="409"/>
      <c r="B110" s="469" t="s">
        <v>1912</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4.5" thickTop="1">
      <c r="A112" s="406"/>
      <c r="B112" s="469" t="s">
        <v>1914</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4.5" thickTop="1">
      <c r="A114" s="409"/>
      <c r="B114" s="469" t="s">
        <v>1915</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2081</v>
      </c>
      <c r="C1" s="3501" t="s">
        <v>2082</v>
      </c>
      <c r="D1" s="3502"/>
      <c r="E1" s="3502"/>
      <c r="F1" s="3502"/>
      <c r="G1" s="3502"/>
      <c r="H1" s="3502"/>
      <c r="I1" s="3502"/>
      <c r="J1" s="3502"/>
      <c r="K1" s="3502"/>
      <c r="L1" s="3502"/>
      <c r="M1" s="3502"/>
      <c r="N1" s="3502"/>
      <c r="O1" s="3502"/>
      <c r="P1" s="3502"/>
      <c r="Q1" s="3502"/>
      <c r="R1" s="3502"/>
      <c r="S1" s="3503"/>
      <c r="T1" s="925" t="s">
        <v>2083</v>
      </c>
    </row>
    <row r="2" spans="1:45" s="625" customFormat="1" ht="13">
      <c r="A2" s="926"/>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1"/>
      <c r="B5" s="1245" t="s">
        <v>2085</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1"/>
      <c r="B7" s="1246" t="s">
        <v>2086</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1"/>
      <c r="B9" s="1246" t="s">
        <v>2087</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1"/>
      <c r="B11" s="1245" t="s">
        <v>2088</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1"/>
      <c r="B13" s="1245" t="s">
        <v>2089</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1"/>
      <c r="B15" s="1245" t="s">
        <v>2090</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2" t="s">
        <v>2091</v>
      </c>
      <c r="B17" s="1983" t="s">
        <v>2092</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ht="13">
      <c r="A19" s="121"/>
      <c r="B19" s="151"/>
      <c r="C19" s="151"/>
      <c r="D19" s="1984" t="s">
        <v>2093</v>
      </c>
      <c r="E19" s="1249"/>
      <c r="F19" s="1249"/>
      <c r="G19" s="1249"/>
      <c r="H19" s="992"/>
      <c r="I19" s="151"/>
      <c r="J19" s="151"/>
      <c r="K19" s="151"/>
      <c r="L19" s="151"/>
      <c r="M19" s="151"/>
      <c r="N19" s="151"/>
      <c r="O19" s="151"/>
      <c r="P19" s="151"/>
      <c r="Q19" s="151"/>
      <c r="R19" s="151"/>
      <c r="S19" s="121"/>
    </row>
    <row r="20" spans="1:45" ht="16" thickBot="1">
      <c r="A20" s="632" t="s">
        <v>2094</v>
      </c>
      <c r="B20" s="286" t="e">
        <f ca="1">IF(D20="——",S22,S22-F20)</f>
        <v>#REF!</v>
      </c>
      <c r="C20" s="151"/>
      <c r="D20" s="1985"/>
      <c r="E20" s="1250"/>
      <c r="F20" s="925" t="e">
        <f ca="1">SUMIF(INDIRECT("'"&amp;H20&amp;"'"&amp;"!A:A"),"承租人权益价值",INDIRECT("'"&amp;H20&amp;"'"&amp;"!c:c"))</f>
        <v>#REF!</v>
      </c>
      <c r="G20" s="925" t="s">
        <v>2095</v>
      </c>
      <c r="H20" s="1986"/>
      <c r="I20" s="151"/>
      <c r="J20" s="151"/>
      <c r="K20" s="151"/>
      <c r="L20" s="151"/>
      <c r="M20" s="151"/>
      <c r="N20" s="151"/>
      <c r="O20" s="151"/>
      <c r="P20" s="151"/>
      <c r="Q20" s="151"/>
      <c r="R20" s="151"/>
      <c r="S20" s="121"/>
    </row>
    <row r="21" spans="1:45" ht="15.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6">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2103</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6953125" defaultRowHeight="19.5" customHeight="1"/>
  <cols>
    <col min="1" max="13" width="15.26953125" style="2809" customWidth="1"/>
    <col min="14" max="14" width="10" style="2809" customWidth="1"/>
    <col min="15" max="16" width="8.26953125" style="2809"/>
    <col min="17" max="17" width="34.08984375" style="2809" customWidth="1"/>
    <col min="18" max="18" width="8.26953125" style="2809" customWidth="1"/>
    <col min="19" max="19" width="8.26953125" style="2809"/>
    <col min="20" max="20" width="11.6328125" style="2809" customWidth="1"/>
    <col min="21" max="16384" width="8.269531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511" t="s">
        <v>2605</v>
      </c>
      <c r="B20" s="3504" t="s">
        <v>2626</v>
      </c>
      <c r="C20" s="2838" t="s">
        <v>2437</v>
      </c>
      <c r="D20" s="2839"/>
      <c r="E20" s="2840">
        <v>1</v>
      </c>
      <c r="F20" s="2841" t="s">
        <v>2438</v>
      </c>
      <c r="G20" s="2841"/>
    </row>
    <row r="21" spans="1:13" ht="19.5" customHeight="1">
      <c r="A21" s="3512"/>
      <c r="B21" s="3505"/>
      <c r="C21" s="2842" t="s">
        <v>2439</v>
      </c>
      <c r="D21" s="2843"/>
      <c r="E21" s="2844">
        <v>1</v>
      </c>
      <c r="F21" s="2841" t="s">
        <v>2440</v>
      </c>
      <c r="G21" s="2841"/>
    </row>
    <row r="22" spans="1:13" ht="19.5" customHeight="1">
      <c r="A22" s="3512"/>
      <c r="B22" s="3505"/>
      <c r="C22" s="2842" t="s">
        <v>2441</v>
      </c>
      <c r="D22" s="2843"/>
      <c r="E22" s="2844">
        <v>0.9</v>
      </c>
      <c r="F22" s="2841" t="s">
        <v>2442</v>
      </c>
      <c r="G22" s="2841"/>
    </row>
    <row r="23" spans="1:13" ht="19.5" customHeight="1">
      <c r="A23" s="3512"/>
      <c r="B23" s="3505"/>
      <c r="C23" s="2842" t="s">
        <v>2443</v>
      </c>
      <c r="D23" s="2843"/>
      <c r="E23" s="2844">
        <v>0.9</v>
      </c>
      <c r="F23" s="2841" t="s">
        <v>2444</v>
      </c>
      <c r="G23" s="2841"/>
    </row>
    <row r="24" spans="1:13" ht="19.5" customHeight="1">
      <c r="A24" s="3512"/>
      <c r="B24" s="3505"/>
      <c r="C24" s="2842" t="s">
        <v>2445</v>
      </c>
      <c r="D24" s="2843"/>
      <c r="E24" s="2844">
        <v>0.8</v>
      </c>
      <c r="F24" s="2841" t="s">
        <v>2446</v>
      </c>
      <c r="G24" s="2841"/>
    </row>
    <row r="25" spans="1:13" ht="19.5" customHeight="1" thickBot="1">
      <c r="A25" s="3513"/>
      <c r="B25" s="3506"/>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507" t="s">
        <v>2629</v>
      </c>
      <c r="B27" s="3504" t="s">
        <v>2610</v>
      </c>
      <c r="C27" s="2838" t="s">
        <v>2450</v>
      </c>
      <c r="D27" s="2839"/>
      <c r="E27" s="2840">
        <v>1</v>
      </c>
      <c r="F27" s="2841" t="s">
        <v>2451</v>
      </c>
      <c r="G27" s="2841"/>
    </row>
    <row r="28" spans="1:13" ht="19.5" customHeight="1">
      <c r="A28" s="3508"/>
      <c r="B28" s="3505"/>
      <c r="C28" s="2842" t="s">
        <v>2452</v>
      </c>
      <c r="D28" s="2843"/>
      <c r="E28" s="2844">
        <v>1</v>
      </c>
      <c r="F28" s="2841" t="s">
        <v>2453</v>
      </c>
      <c r="G28" s="2841"/>
    </row>
    <row r="29" spans="1:13" ht="19.5" customHeight="1">
      <c r="A29" s="3508"/>
      <c r="B29" s="3505"/>
      <c r="C29" s="2842" t="s">
        <v>2454</v>
      </c>
      <c r="D29" s="2843"/>
      <c r="E29" s="2844">
        <v>0.8</v>
      </c>
      <c r="F29" s="2841" t="s">
        <v>2455</v>
      </c>
      <c r="G29" s="2841"/>
    </row>
    <row r="30" spans="1:13" ht="19.5" customHeight="1">
      <c r="A30" s="3508"/>
      <c r="B30" s="3505"/>
      <c r="C30" s="2842" t="s">
        <v>2456</v>
      </c>
      <c r="D30" s="2843"/>
      <c r="E30" s="2844">
        <v>0.8</v>
      </c>
      <c r="F30" s="2841" t="s">
        <v>2457</v>
      </c>
      <c r="G30" s="2841"/>
    </row>
    <row r="31" spans="1:13" ht="19.5" customHeight="1">
      <c r="A31" s="3508"/>
      <c r="B31" s="3505"/>
      <c r="C31" s="2842" t="s">
        <v>2458</v>
      </c>
      <c r="D31" s="2843"/>
      <c r="E31" s="2844">
        <v>0.8</v>
      </c>
      <c r="F31" s="2841" t="s">
        <v>2459</v>
      </c>
      <c r="G31" s="2841"/>
    </row>
    <row r="32" spans="1:13" ht="19.5" customHeight="1">
      <c r="A32" s="3508"/>
      <c r="B32" s="3505"/>
      <c r="C32" s="2842" t="s">
        <v>2460</v>
      </c>
      <c r="D32" s="2843"/>
      <c r="E32" s="2844">
        <v>0.7</v>
      </c>
      <c r="F32" s="2841" t="s">
        <v>2461</v>
      </c>
      <c r="G32" s="2841"/>
    </row>
    <row r="33" spans="1:7" ht="19.5" customHeight="1">
      <c r="A33" s="3508"/>
      <c r="B33" s="3505"/>
      <c r="C33" s="2842" t="s">
        <v>2462</v>
      </c>
      <c r="D33" s="2843"/>
      <c r="E33" s="2844">
        <v>0.8</v>
      </c>
      <c r="F33" s="2841" t="s">
        <v>2463</v>
      </c>
      <c r="G33" s="2841"/>
    </row>
    <row r="34" spans="1:7" ht="19.5" customHeight="1">
      <c r="A34" s="3508"/>
      <c r="B34" s="3505"/>
      <c r="C34" s="2842" t="s">
        <v>2464</v>
      </c>
      <c r="D34" s="2843"/>
      <c r="E34" s="2844">
        <v>0.6</v>
      </c>
      <c r="F34" s="2841" t="s">
        <v>2465</v>
      </c>
      <c r="G34" s="2841"/>
    </row>
    <row r="35" spans="1:7" ht="19.5" customHeight="1">
      <c r="A35" s="3508"/>
      <c r="B35" s="3505"/>
      <c r="C35" s="2842" t="s">
        <v>2466</v>
      </c>
      <c r="D35" s="2843"/>
      <c r="E35" s="2844">
        <v>0.2</v>
      </c>
      <c r="F35" s="2841" t="s">
        <v>2467</v>
      </c>
      <c r="G35" s="2841"/>
    </row>
    <row r="36" spans="1:7" ht="19.5" customHeight="1">
      <c r="A36" s="3508"/>
      <c r="B36" s="3505"/>
      <c r="C36" s="2842" t="s">
        <v>2468</v>
      </c>
      <c r="D36" s="2843"/>
      <c r="E36" s="2844">
        <v>0.2</v>
      </c>
      <c r="F36" s="2841" t="s">
        <v>2469</v>
      </c>
      <c r="G36" s="2841"/>
    </row>
    <row r="37" spans="1:7" ht="19.5" customHeight="1">
      <c r="A37" s="3508"/>
      <c r="B37" s="3510" t="s">
        <v>2630</v>
      </c>
      <c r="C37" s="2842" t="s">
        <v>2470</v>
      </c>
      <c r="D37" s="2843"/>
      <c r="E37" s="2844">
        <v>0.6</v>
      </c>
      <c r="F37" s="2841" t="s">
        <v>2471</v>
      </c>
      <c r="G37" s="2841"/>
    </row>
    <row r="38" spans="1:7" ht="19.5" customHeight="1">
      <c r="A38" s="3508"/>
      <c r="B38" s="3505"/>
      <c r="C38" s="2842" t="s">
        <v>2472</v>
      </c>
      <c r="D38" s="2843"/>
      <c r="E38" s="2844">
        <v>0.6</v>
      </c>
      <c r="F38" s="2841" t="s">
        <v>2473</v>
      </c>
      <c r="G38" s="2841"/>
    </row>
    <row r="39" spans="1:7" ht="19.5" customHeight="1" thickBot="1">
      <c r="A39" s="3509"/>
      <c r="B39" s="3506"/>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511" t="s">
        <v>2608</v>
      </c>
      <c r="B41" s="3504" t="s">
        <v>2632</v>
      </c>
      <c r="C41" s="2838" t="s">
        <v>2477</v>
      </c>
      <c r="D41" s="2839"/>
      <c r="E41" s="2840">
        <v>1</v>
      </c>
      <c r="F41" s="2841" t="s">
        <v>2478</v>
      </c>
      <c r="G41" s="2841"/>
    </row>
    <row r="42" spans="1:7" ht="19.5" customHeight="1">
      <c r="A42" s="3512"/>
      <c r="B42" s="3505"/>
      <c r="C42" s="2842" t="s">
        <v>2479</v>
      </c>
      <c r="D42" s="2843"/>
      <c r="E42" s="2844">
        <v>1</v>
      </c>
      <c r="F42" s="2841" t="s">
        <v>2480</v>
      </c>
      <c r="G42" s="2841"/>
    </row>
    <row r="43" spans="1:7" ht="19.5" customHeight="1">
      <c r="A43" s="3512"/>
      <c r="B43" s="3514"/>
      <c r="C43" s="2842" t="s">
        <v>2481</v>
      </c>
      <c r="D43" s="2843"/>
      <c r="E43" s="2844">
        <v>1.5</v>
      </c>
      <c r="F43" s="2841" t="s">
        <v>2482</v>
      </c>
      <c r="G43" s="2841"/>
    </row>
    <row r="44" spans="1:7" ht="19.5" customHeight="1">
      <c r="A44" s="3512"/>
      <c r="B44" s="2853" t="s">
        <v>2633</v>
      </c>
      <c r="C44" s="2842" t="s">
        <v>2634</v>
      </c>
      <c r="D44" s="2843"/>
      <c r="E44" s="2844">
        <v>2</v>
      </c>
      <c r="F44" s="2841" t="s">
        <v>2483</v>
      </c>
      <c r="G44" s="2841"/>
    </row>
    <row r="45" spans="1:7" ht="19.5" customHeight="1">
      <c r="A45" s="3512"/>
      <c r="B45" s="3510" t="s">
        <v>2635</v>
      </c>
      <c r="C45" s="2842" t="s">
        <v>2484</v>
      </c>
      <c r="D45" s="2843"/>
      <c r="E45" s="2844">
        <v>1</v>
      </c>
      <c r="F45" s="2841" t="s">
        <v>2485</v>
      </c>
      <c r="G45" s="2841"/>
    </row>
    <row r="46" spans="1:7" ht="19.5" customHeight="1">
      <c r="A46" s="3512"/>
      <c r="B46" s="3505"/>
      <c r="C46" s="2842" t="s">
        <v>2486</v>
      </c>
      <c r="D46" s="2843"/>
      <c r="E46" s="2844">
        <v>1</v>
      </c>
      <c r="F46" s="2841" t="s">
        <v>2487</v>
      </c>
      <c r="G46" s="2841"/>
    </row>
    <row r="47" spans="1:7" ht="19.5" customHeight="1">
      <c r="A47" s="3512"/>
      <c r="B47" s="3505"/>
      <c r="C47" s="2842" t="s">
        <v>2488</v>
      </c>
      <c r="D47" s="2843"/>
      <c r="E47" s="2844">
        <v>1</v>
      </c>
      <c r="F47" s="2841" t="s">
        <v>2489</v>
      </c>
      <c r="G47" s="2841"/>
    </row>
    <row r="48" spans="1:7" ht="19.5" customHeight="1">
      <c r="A48" s="3512"/>
      <c r="B48" s="3505"/>
      <c r="C48" s="2842" t="s">
        <v>2490</v>
      </c>
      <c r="D48" s="2843"/>
      <c r="E48" s="2844">
        <v>1</v>
      </c>
      <c r="F48" s="2841" t="s">
        <v>2491</v>
      </c>
      <c r="G48" s="2841"/>
    </row>
    <row r="49" spans="1:7" ht="19.5" customHeight="1">
      <c r="A49" s="3512"/>
      <c r="B49" s="3505"/>
      <c r="C49" s="2842" t="s">
        <v>2492</v>
      </c>
      <c r="D49" s="2843"/>
      <c r="E49" s="2844">
        <v>1</v>
      </c>
      <c r="F49" s="2841" t="s">
        <v>2493</v>
      </c>
      <c r="G49" s="2841"/>
    </row>
    <row r="50" spans="1:7" ht="19.5" customHeight="1">
      <c r="A50" s="3512"/>
      <c r="B50" s="3505"/>
      <c r="C50" s="2842" t="s">
        <v>2494</v>
      </c>
      <c r="D50" s="2843"/>
      <c r="E50" s="2844">
        <v>1</v>
      </c>
      <c r="F50" s="2841" t="s">
        <v>2495</v>
      </c>
      <c r="G50" s="2841"/>
    </row>
    <row r="51" spans="1:7" ht="19.5" customHeight="1" thickBot="1">
      <c r="A51" s="3513"/>
      <c r="B51" s="3506"/>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4">
      <c r="A72" s="2853"/>
      <c r="B72" s="2853"/>
      <c r="C72" s="2853" t="s">
        <v>2648</v>
      </c>
      <c r="D72" s="2853"/>
      <c r="E72" s="2853" t="s">
        <v>2619</v>
      </c>
      <c r="F72" s="2853" t="s">
        <v>2619</v>
      </c>
    </row>
    <row r="73" spans="1:7" ht="14">
      <c r="A73" s="2853">
        <v>1</v>
      </c>
      <c r="B73" s="3510" t="s">
        <v>2649</v>
      </c>
      <c r="C73" s="2827" t="s">
        <v>2650</v>
      </c>
      <c r="D73" s="2827" t="s">
        <v>2651</v>
      </c>
      <c r="E73" s="2853">
        <v>0.2</v>
      </c>
      <c r="F73" s="2853">
        <v>25</v>
      </c>
    </row>
    <row r="74" spans="1:7" ht="26">
      <c r="A74" s="2853">
        <v>2</v>
      </c>
      <c r="B74" s="3505"/>
      <c r="C74" s="2827" t="s">
        <v>2652</v>
      </c>
      <c r="D74" s="2827" t="s">
        <v>2653</v>
      </c>
      <c r="E74" s="2853">
        <v>0.2</v>
      </c>
      <c r="F74" s="2853">
        <v>25</v>
      </c>
    </row>
    <row r="75" spans="1:7" ht="26">
      <c r="A75" s="2853">
        <v>3</v>
      </c>
      <c r="B75" s="3505"/>
      <c r="C75" s="2827" t="s">
        <v>2654</v>
      </c>
      <c r="D75" s="2827" t="s">
        <v>2655</v>
      </c>
      <c r="E75" s="2853">
        <v>0.2</v>
      </c>
      <c r="F75" s="2853">
        <v>25</v>
      </c>
    </row>
    <row r="76" spans="1:7" ht="14">
      <c r="A76" s="2853">
        <v>4</v>
      </c>
      <c r="B76" s="3505"/>
      <c r="C76" s="2827" t="s">
        <v>2656</v>
      </c>
      <c r="D76" s="2827" t="s">
        <v>2657</v>
      </c>
      <c r="E76" s="2853">
        <v>0.15</v>
      </c>
      <c r="F76" s="2853">
        <v>20</v>
      </c>
    </row>
    <row r="77" spans="1:7" ht="26">
      <c r="A77" s="2853">
        <v>5</v>
      </c>
      <c r="B77" s="3505"/>
      <c r="C77" s="2827" t="s">
        <v>2658</v>
      </c>
      <c r="D77" s="2827" t="s">
        <v>2659</v>
      </c>
      <c r="E77" s="2853">
        <v>0.15</v>
      </c>
      <c r="F77" s="2853">
        <v>20</v>
      </c>
    </row>
    <row r="78" spans="1:7" ht="26">
      <c r="A78" s="2853">
        <v>6</v>
      </c>
      <c r="B78" s="3505"/>
      <c r="C78" s="2827" t="s">
        <v>2660</v>
      </c>
      <c r="D78" s="2827" t="s">
        <v>2661</v>
      </c>
      <c r="E78" s="2853">
        <v>0.15</v>
      </c>
      <c r="F78" s="2853">
        <v>20</v>
      </c>
    </row>
    <row r="79" spans="1:7" ht="26">
      <c r="A79" s="2853">
        <v>7</v>
      </c>
      <c r="B79" s="3505"/>
      <c r="C79" s="2827" t="s">
        <v>2662</v>
      </c>
      <c r="D79" s="2827" t="s">
        <v>2663</v>
      </c>
      <c r="E79" s="2853">
        <v>0.15</v>
      </c>
      <c r="F79" s="2853">
        <v>20</v>
      </c>
    </row>
    <row r="80" spans="1:7" ht="26">
      <c r="A80" s="2853">
        <v>8</v>
      </c>
      <c r="B80" s="3505"/>
      <c r="C80" s="2827" t="s">
        <v>2664</v>
      </c>
      <c r="D80" s="2827" t="s">
        <v>2665</v>
      </c>
      <c r="E80" s="2853">
        <v>0.1</v>
      </c>
      <c r="F80" s="2853">
        <v>15</v>
      </c>
    </row>
    <row r="81" spans="1:6" ht="26">
      <c r="A81" s="2853">
        <v>9</v>
      </c>
      <c r="B81" s="3505"/>
      <c r="C81" s="2827" t="s">
        <v>2666</v>
      </c>
      <c r="D81" s="2827" t="s">
        <v>2667</v>
      </c>
      <c r="E81" s="2853">
        <v>0.1</v>
      </c>
      <c r="F81" s="2853">
        <v>15</v>
      </c>
    </row>
    <row r="82" spans="1:6" ht="26">
      <c r="A82" s="2853">
        <v>10</v>
      </c>
      <c r="B82" s="3505"/>
      <c r="C82" s="2827" t="s">
        <v>2668</v>
      </c>
      <c r="D82" s="2827" t="s">
        <v>2669</v>
      </c>
      <c r="E82" s="2853">
        <v>0.1</v>
      </c>
      <c r="F82" s="2853">
        <v>15</v>
      </c>
    </row>
    <row r="83" spans="1:6" ht="26">
      <c r="A83" s="2853">
        <v>11</v>
      </c>
      <c r="B83" s="3505"/>
      <c r="C83" s="2827" t="s">
        <v>2670</v>
      </c>
      <c r="D83" s="2827" t="s">
        <v>2671</v>
      </c>
      <c r="E83" s="2853">
        <v>0.1</v>
      </c>
      <c r="F83" s="2853">
        <v>15</v>
      </c>
    </row>
    <row r="84" spans="1:6" ht="26">
      <c r="A84" s="2853">
        <v>12</v>
      </c>
      <c r="B84" s="3505"/>
      <c r="C84" s="2827" t="s">
        <v>2672</v>
      </c>
      <c r="D84" s="2827" t="s">
        <v>2673</v>
      </c>
      <c r="E84" s="2853">
        <v>0.1</v>
      </c>
      <c r="F84" s="2853">
        <v>15</v>
      </c>
    </row>
    <row r="85" spans="1:6" ht="14">
      <c r="A85" s="2853">
        <v>13</v>
      </c>
      <c r="B85" s="3505"/>
      <c r="C85" s="2827" t="s">
        <v>2674</v>
      </c>
      <c r="D85" s="2827" t="s">
        <v>2675</v>
      </c>
      <c r="E85" s="2853">
        <v>0.1</v>
      </c>
      <c r="F85" s="2853">
        <v>15</v>
      </c>
    </row>
    <row r="86" spans="1:6" ht="14">
      <c r="A86" s="2853">
        <v>14</v>
      </c>
      <c r="B86" s="3505"/>
      <c r="C86" s="2827" t="s">
        <v>2676</v>
      </c>
      <c r="D86" s="2827" t="s">
        <v>2677</v>
      </c>
      <c r="E86" s="2853">
        <v>0.1</v>
      </c>
      <c r="F86" s="2853">
        <v>15</v>
      </c>
    </row>
    <row r="87" spans="1:6" ht="14">
      <c r="A87" s="2853">
        <v>15</v>
      </c>
      <c r="B87" s="3505"/>
      <c r="C87" s="2827" t="s">
        <v>2678</v>
      </c>
      <c r="D87" s="2827" t="s">
        <v>2679</v>
      </c>
      <c r="E87" s="2853">
        <v>0.1</v>
      </c>
      <c r="F87" s="2853">
        <v>15</v>
      </c>
    </row>
    <row r="88" spans="1:6" ht="26">
      <c r="A88" s="2853">
        <v>16</v>
      </c>
      <c r="B88" s="3505"/>
      <c r="C88" s="2827" t="s">
        <v>2680</v>
      </c>
      <c r="D88" s="2827" t="s">
        <v>2681</v>
      </c>
      <c r="E88" s="2853">
        <v>0.1</v>
      </c>
      <c r="F88" s="2853">
        <v>15</v>
      </c>
    </row>
    <row r="89" spans="1:6" ht="26">
      <c r="A89" s="2853">
        <v>17</v>
      </c>
      <c r="B89" s="3514"/>
      <c r="C89" s="2827" t="s">
        <v>2682</v>
      </c>
      <c r="D89" s="2827" t="s">
        <v>2683</v>
      </c>
      <c r="E89" s="2853">
        <v>0.1</v>
      </c>
      <c r="F89" s="2853">
        <v>15</v>
      </c>
    </row>
    <row r="90" spans="1:6" ht="14">
      <c r="A90" s="2853">
        <v>18</v>
      </c>
      <c r="B90" s="3510" t="s">
        <v>2684</v>
      </c>
      <c r="C90" s="2827" t="s">
        <v>2685</v>
      </c>
      <c r="D90" s="2827" t="s">
        <v>2686</v>
      </c>
      <c r="E90" s="2853">
        <v>0.2</v>
      </c>
      <c r="F90" s="2853">
        <v>25</v>
      </c>
    </row>
    <row r="91" spans="1:6" ht="26">
      <c r="A91" s="2853">
        <v>19</v>
      </c>
      <c r="B91" s="3505"/>
      <c r="C91" s="2827" t="s">
        <v>2687</v>
      </c>
      <c r="D91" s="2827" t="s">
        <v>2688</v>
      </c>
      <c r="E91" s="2853">
        <v>0.2</v>
      </c>
      <c r="F91" s="2853">
        <v>25</v>
      </c>
    </row>
    <row r="92" spans="1:6" ht="14">
      <c r="A92" s="2853">
        <v>20</v>
      </c>
      <c r="B92" s="3505"/>
      <c r="C92" s="2827" t="s">
        <v>2689</v>
      </c>
      <c r="D92" s="2827" t="s">
        <v>2690</v>
      </c>
      <c r="E92" s="2853">
        <v>0.15</v>
      </c>
      <c r="F92" s="2853">
        <v>20</v>
      </c>
    </row>
    <row r="93" spans="1:6" ht="26">
      <c r="A93" s="2853">
        <v>21</v>
      </c>
      <c r="B93" s="3505"/>
      <c r="C93" s="2827" t="s">
        <v>2691</v>
      </c>
      <c r="D93" s="2827" t="s">
        <v>2692</v>
      </c>
      <c r="E93" s="2853">
        <v>0.15</v>
      </c>
      <c r="F93" s="2853">
        <v>20</v>
      </c>
    </row>
    <row r="94" spans="1:6" ht="26">
      <c r="A94" s="2853">
        <v>22</v>
      </c>
      <c r="B94" s="3505"/>
      <c r="C94" s="2827" t="s">
        <v>2693</v>
      </c>
      <c r="D94" s="2827" t="s">
        <v>2694</v>
      </c>
      <c r="E94" s="2853">
        <v>0.15</v>
      </c>
      <c r="F94" s="2853">
        <v>20</v>
      </c>
    </row>
    <row r="95" spans="1:6" ht="39">
      <c r="A95" s="2853">
        <v>23</v>
      </c>
      <c r="B95" s="3505"/>
      <c r="C95" s="2827" t="s">
        <v>2695</v>
      </c>
      <c r="D95" s="2827" t="s">
        <v>2696</v>
      </c>
      <c r="E95" s="2853">
        <v>0.15</v>
      </c>
      <c r="F95" s="2853">
        <v>20</v>
      </c>
    </row>
    <row r="96" spans="1:6" ht="14">
      <c r="A96" s="2853">
        <v>24</v>
      </c>
      <c r="B96" s="3505"/>
      <c r="C96" s="2827" t="s">
        <v>2697</v>
      </c>
      <c r="D96" s="2827" t="s">
        <v>2698</v>
      </c>
      <c r="E96" s="2853">
        <v>0.1</v>
      </c>
      <c r="F96" s="2853">
        <v>15</v>
      </c>
    </row>
    <row r="97" spans="1:6" ht="26">
      <c r="A97" s="2853">
        <v>25</v>
      </c>
      <c r="B97" s="3505"/>
      <c r="C97" s="2827" t="s">
        <v>2699</v>
      </c>
      <c r="D97" s="2827" t="s">
        <v>2700</v>
      </c>
      <c r="E97" s="2853">
        <v>0.1</v>
      </c>
      <c r="F97" s="2853">
        <v>15</v>
      </c>
    </row>
    <row r="98" spans="1:6" ht="26">
      <c r="A98" s="2853">
        <v>26</v>
      </c>
      <c r="B98" s="3505"/>
      <c r="C98" s="2827" t="s">
        <v>2701</v>
      </c>
      <c r="D98" s="2827" t="s">
        <v>2702</v>
      </c>
      <c r="E98" s="2853">
        <v>0.1</v>
      </c>
      <c r="F98" s="2853">
        <v>15</v>
      </c>
    </row>
    <row r="99" spans="1:6" ht="26">
      <c r="A99" s="2853">
        <v>27</v>
      </c>
      <c r="B99" s="3505"/>
      <c r="C99" s="2827" t="s">
        <v>2703</v>
      </c>
      <c r="D99" s="2827" t="s">
        <v>2704</v>
      </c>
      <c r="E99" s="2853">
        <v>0.1</v>
      </c>
      <c r="F99" s="2853">
        <v>15</v>
      </c>
    </row>
    <row r="100" spans="1:6" ht="26">
      <c r="A100" s="2853">
        <v>28</v>
      </c>
      <c r="B100" s="3505"/>
      <c r="C100" s="2827" t="s">
        <v>2705</v>
      </c>
      <c r="D100" s="2827" t="s">
        <v>2706</v>
      </c>
      <c r="E100" s="2853">
        <v>0.1</v>
      </c>
      <c r="F100" s="2853">
        <v>15</v>
      </c>
    </row>
    <row r="101" spans="1:6" ht="26">
      <c r="A101" s="2853">
        <v>29</v>
      </c>
      <c r="B101" s="3505"/>
      <c r="C101" s="2827" t="s">
        <v>2707</v>
      </c>
      <c r="D101" s="2827" t="s">
        <v>2708</v>
      </c>
      <c r="E101" s="2853">
        <v>0.1</v>
      </c>
      <c r="F101" s="2853">
        <v>15</v>
      </c>
    </row>
    <row r="102" spans="1:6" ht="26">
      <c r="A102" s="2853">
        <v>30</v>
      </c>
      <c r="B102" s="3505"/>
      <c r="C102" s="2827" t="s">
        <v>2709</v>
      </c>
      <c r="D102" s="2827" t="s">
        <v>2710</v>
      </c>
      <c r="E102" s="2853">
        <v>0.1</v>
      </c>
      <c r="F102" s="2853">
        <v>15</v>
      </c>
    </row>
    <row r="103" spans="1:6" ht="26">
      <c r="A103" s="2853">
        <v>31</v>
      </c>
      <c r="B103" s="3505"/>
      <c r="C103" s="2827" t="s">
        <v>2711</v>
      </c>
      <c r="D103" s="2827" t="s">
        <v>2712</v>
      </c>
      <c r="E103" s="2853">
        <v>0.1</v>
      </c>
      <c r="F103" s="2853">
        <v>15</v>
      </c>
    </row>
    <row r="104" spans="1:6" ht="26">
      <c r="A104" s="2853">
        <v>32</v>
      </c>
      <c r="B104" s="3505"/>
      <c r="C104" s="2827" t="s">
        <v>2713</v>
      </c>
      <c r="D104" s="2827" t="s">
        <v>2714</v>
      </c>
      <c r="E104" s="2853">
        <v>0.1</v>
      </c>
      <c r="F104" s="2853">
        <v>15</v>
      </c>
    </row>
    <row r="105" spans="1:6" ht="26">
      <c r="A105" s="2853">
        <v>33</v>
      </c>
      <c r="B105" s="3505"/>
      <c r="C105" s="2827" t="s">
        <v>2715</v>
      </c>
      <c r="D105" s="2827" t="s">
        <v>2716</v>
      </c>
      <c r="E105" s="2853">
        <v>0.1</v>
      </c>
      <c r="F105" s="2853">
        <v>15</v>
      </c>
    </row>
    <row r="106" spans="1:6" ht="26">
      <c r="A106" s="2853">
        <v>34</v>
      </c>
      <c r="B106" s="3514"/>
      <c r="C106" s="2827" t="s">
        <v>2717</v>
      </c>
      <c r="D106" s="2827" t="s">
        <v>2718</v>
      </c>
      <c r="E106" s="2853">
        <v>0.1</v>
      </c>
      <c r="F106" s="2853">
        <v>15</v>
      </c>
    </row>
    <row r="107" spans="1:6" ht="26">
      <c r="A107" s="2853">
        <v>35</v>
      </c>
      <c r="B107" s="3510" t="s">
        <v>2719</v>
      </c>
      <c r="C107" s="2853" t="s">
        <v>2720</v>
      </c>
      <c r="D107" s="2827" t="s">
        <v>2721</v>
      </c>
      <c r="E107" s="2853">
        <v>0.15</v>
      </c>
      <c r="F107" s="2853">
        <v>20</v>
      </c>
    </row>
    <row r="108" spans="1:6" ht="26">
      <c r="A108" s="2853">
        <v>36</v>
      </c>
      <c r="B108" s="3505"/>
      <c r="C108" s="2853" t="s">
        <v>2722</v>
      </c>
      <c r="D108" s="2827" t="s">
        <v>2723</v>
      </c>
      <c r="E108" s="2853">
        <v>0.15</v>
      </c>
      <c r="F108" s="2853">
        <v>20</v>
      </c>
    </row>
    <row r="109" spans="1:6" ht="26">
      <c r="A109" s="2853">
        <v>37</v>
      </c>
      <c r="B109" s="3505"/>
      <c r="C109" s="2853" t="s">
        <v>2724</v>
      </c>
      <c r="D109" s="2827" t="s">
        <v>2725</v>
      </c>
      <c r="E109" s="2853">
        <v>0.15</v>
      </c>
      <c r="F109" s="2853">
        <v>20</v>
      </c>
    </row>
    <row r="110" spans="1:6" ht="14">
      <c r="A110" s="2853">
        <v>38</v>
      </c>
      <c r="B110" s="3505"/>
      <c r="C110" s="2853" t="s">
        <v>2726</v>
      </c>
      <c r="D110" s="2827" t="s">
        <v>2727</v>
      </c>
      <c r="E110" s="2853">
        <v>0.1</v>
      </c>
      <c r="F110" s="2853">
        <v>15</v>
      </c>
    </row>
    <row r="111" spans="1:6" ht="26">
      <c r="A111" s="2853">
        <v>39</v>
      </c>
      <c r="B111" s="3505"/>
      <c r="C111" s="2853" t="s">
        <v>2728</v>
      </c>
      <c r="D111" s="2827" t="s">
        <v>2729</v>
      </c>
      <c r="E111" s="2853">
        <v>0.1</v>
      </c>
      <c r="F111" s="2853">
        <v>15</v>
      </c>
    </row>
    <row r="112" spans="1:6" ht="26">
      <c r="A112" s="2853">
        <v>40</v>
      </c>
      <c r="B112" s="3514"/>
      <c r="C112" s="2853" t="s">
        <v>2730</v>
      </c>
      <c r="D112" s="2827" t="s">
        <v>2731</v>
      </c>
      <c r="E112" s="2853">
        <v>0.1</v>
      </c>
      <c r="F112" s="2853">
        <v>15</v>
      </c>
    </row>
    <row r="113" spans="1:6" ht="26">
      <c r="A113" s="2853">
        <v>41</v>
      </c>
      <c r="B113" s="3515" t="s">
        <v>2732</v>
      </c>
      <c r="C113" s="2853" t="s">
        <v>2733</v>
      </c>
      <c r="D113" s="2827" t="s">
        <v>2734</v>
      </c>
      <c r="E113" s="2853">
        <v>0.1</v>
      </c>
      <c r="F113" s="2853">
        <v>15</v>
      </c>
    </row>
    <row r="114" spans="1:6" ht="14">
      <c r="A114" s="2853">
        <v>42</v>
      </c>
      <c r="B114" s="3515"/>
      <c r="C114" s="2853" t="s">
        <v>2735</v>
      </c>
      <c r="D114" s="2827" t="s">
        <v>2736</v>
      </c>
      <c r="E114" s="2853">
        <v>0.1</v>
      </c>
      <c r="F114" s="2853">
        <v>15</v>
      </c>
    </row>
    <row r="115" spans="1:6" ht="26">
      <c r="A115" s="2853">
        <v>43</v>
      </c>
      <c r="B115" s="3515"/>
      <c r="C115" s="2853" t="s">
        <v>2737</v>
      </c>
      <c r="D115" s="2827" t="s">
        <v>2738</v>
      </c>
      <c r="E115" s="2853">
        <v>0.1</v>
      </c>
      <c r="F115" s="2853">
        <v>15</v>
      </c>
    </row>
    <row r="116" spans="1:6" ht="26">
      <c r="A116" s="2853">
        <v>44</v>
      </c>
      <c r="B116" s="3510" t="s">
        <v>2739</v>
      </c>
      <c r="C116" s="2853" t="s">
        <v>2740</v>
      </c>
      <c r="D116" s="2827" t="s">
        <v>2741</v>
      </c>
      <c r="E116" s="2853">
        <v>0.1</v>
      </c>
      <c r="F116" s="2853">
        <v>15</v>
      </c>
    </row>
    <row r="117" spans="1:6" ht="26">
      <c r="A117" s="2853">
        <v>45</v>
      </c>
      <c r="B117" s="3514"/>
      <c r="C117" s="2827" t="s">
        <v>2742</v>
      </c>
      <c r="D117" s="2827" t="s">
        <v>2743</v>
      </c>
      <c r="E117" s="2853">
        <v>0.1</v>
      </c>
      <c r="F117" s="2853">
        <v>15</v>
      </c>
    </row>
    <row r="118" spans="1:6" ht="26">
      <c r="A118" s="2853">
        <v>46</v>
      </c>
      <c r="B118" s="3510" t="s">
        <v>2744</v>
      </c>
      <c r="C118" s="2853" t="s">
        <v>2745</v>
      </c>
      <c r="D118" s="2827" t="s">
        <v>2746</v>
      </c>
      <c r="E118" s="2853">
        <v>0.1</v>
      </c>
      <c r="F118" s="2853">
        <v>15</v>
      </c>
    </row>
    <row r="119" spans="1:6" ht="26">
      <c r="A119" s="2853">
        <v>47</v>
      </c>
      <c r="B119" s="3514"/>
      <c r="C119" s="2853" t="s">
        <v>2747</v>
      </c>
      <c r="D119" s="2827" t="s">
        <v>2748</v>
      </c>
      <c r="E119" s="2853">
        <v>0.1</v>
      </c>
      <c r="F119" s="2853">
        <v>15</v>
      </c>
    </row>
    <row r="120" spans="1:6" ht="26">
      <c r="A120" s="2853">
        <v>48</v>
      </c>
      <c r="B120" s="3510" t="s">
        <v>2749</v>
      </c>
      <c r="C120" s="2853" t="s">
        <v>2750</v>
      </c>
      <c r="D120" s="2827" t="s">
        <v>2751</v>
      </c>
      <c r="E120" s="2853">
        <v>0.1</v>
      </c>
      <c r="F120" s="2853">
        <v>15</v>
      </c>
    </row>
    <row r="121" spans="1:6" ht="14">
      <c r="A121" s="2853">
        <v>49</v>
      </c>
      <c r="B121" s="3514"/>
      <c r="C121" s="2853" t="s">
        <v>2752</v>
      </c>
      <c r="D121" s="2827" t="s">
        <v>2753</v>
      </c>
      <c r="E121" s="2853">
        <v>0.1</v>
      </c>
      <c r="F121" s="2853">
        <v>15</v>
      </c>
    </row>
    <row r="122" spans="1:6" ht="26">
      <c r="A122" s="2853">
        <v>50</v>
      </c>
      <c r="B122" s="3515" t="s">
        <v>2754</v>
      </c>
      <c r="C122" s="2853" t="s">
        <v>2755</v>
      </c>
      <c r="D122" s="2827" t="s">
        <v>2756</v>
      </c>
      <c r="E122" s="2853">
        <v>0.1</v>
      </c>
      <c r="F122" s="2853">
        <v>15</v>
      </c>
    </row>
    <row r="123" spans="1:6" ht="26">
      <c r="A123" s="2853">
        <v>51</v>
      </c>
      <c r="B123" s="3515"/>
      <c r="C123" s="2853" t="s">
        <v>2757</v>
      </c>
      <c r="D123" s="2827" t="s">
        <v>2758</v>
      </c>
      <c r="E123" s="2853">
        <v>0.1</v>
      </c>
      <c r="F123" s="2853">
        <v>15</v>
      </c>
    </row>
    <row r="124" spans="1:6" ht="26">
      <c r="A124" s="2853">
        <v>52</v>
      </c>
      <c r="B124" s="3515" t="s">
        <v>2759</v>
      </c>
      <c r="C124" s="2853" t="s">
        <v>2760</v>
      </c>
      <c r="D124" s="2827" t="s">
        <v>2761</v>
      </c>
      <c r="E124" s="2853">
        <v>0.1</v>
      </c>
      <c r="F124" s="2853">
        <v>15</v>
      </c>
    </row>
    <row r="125" spans="1:6" ht="26">
      <c r="A125" s="2853">
        <v>53</v>
      </c>
      <c r="B125" s="3515"/>
      <c r="C125" s="2853" t="s">
        <v>2762</v>
      </c>
      <c r="D125" s="2827" t="s">
        <v>2763</v>
      </c>
      <c r="E125" s="2853">
        <v>0.1</v>
      </c>
      <c r="F125" s="2853">
        <v>15</v>
      </c>
    </row>
    <row r="126" spans="1:6" ht="26">
      <c r="A126" s="2853">
        <v>54</v>
      </c>
      <c r="B126" s="2853" t="s">
        <v>2764</v>
      </c>
      <c r="C126" s="2853" t="s">
        <v>2765</v>
      </c>
      <c r="D126" s="2827" t="s">
        <v>2766</v>
      </c>
      <c r="E126" s="2853">
        <v>0.1</v>
      </c>
      <c r="F126" s="2853">
        <v>15</v>
      </c>
    </row>
    <row r="127" spans="1:6" ht="14">
      <c r="A127" s="2853">
        <v>55</v>
      </c>
      <c r="B127" s="3515" t="s">
        <v>2767</v>
      </c>
      <c r="C127" s="2853" t="s">
        <v>2768</v>
      </c>
      <c r="D127" s="2827" t="s">
        <v>2769</v>
      </c>
      <c r="E127" s="2853">
        <v>0.1</v>
      </c>
      <c r="F127" s="2853">
        <v>15</v>
      </c>
    </row>
    <row r="128" spans="1:6" ht="14">
      <c r="A128" s="2853">
        <v>56</v>
      </c>
      <c r="B128" s="3515"/>
      <c r="C128" s="2853" t="s">
        <v>2770</v>
      </c>
      <c r="D128" s="2827" t="s">
        <v>2771</v>
      </c>
      <c r="E128" s="2853">
        <v>0.1</v>
      </c>
      <c r="F128" s="2853">
        <v>15</v>
      </c>
    </row>
    <row r="129" spans="1:6" ht="26">
      <c r="A129" s="2853">
        <v>57</v>
      </c>
      <c r="B129" s="3515"/>
      <c r="C129" s="2853" t="s">
        <v>2772</v>
      </c>
      <c r="D129" s="2827" t="s">
        <v>2773</v>
      </c>
      <c r="E129" s="2853">
        <v>0.1</v>
      </c>
      <c r="F129" s="2853">
        <v>15</v>
      </c>
    </row>
    <row r="130" spans="1:6" ht="26">
      <c r="A130" s="2853">
        <v>58</v>
      </c>
      <c r="B130" s="3515" t="s">
        <v>2774</v>
      </c>
      <c r="C130" s="2853" t="s">
        <v>2775</v>
      </c>
      <c r="D130" s="2827" t="s">
        <v>2776</v>
      </c>
      <c r="E130" s="2853">
        <v>0.1</v>
      </c>
      <c r="F130" s="2853">
        <v>15</v>
      </c>
    </row>
    <row r="131" spans="1:6" ht="26">
      <c r="A131" s="2853">
        <v>59</v>
      </c>
      <c r="B131" s="3515"/>
      <c r="C131" s="2853" t="s">
        <v>2777</v>
      </c>
      <c r="D131" s="2827" t="s">
        <v>2778</v>
      </c>
      <c r="E131" s="2853">
        <v>0.1</v>
      </c>
      <c r="F131" s="2853">
        <v>15</v>
      </c>
    </row>
    <row r="132" spans="1:6" ht="26">
      <c r="A132" s="2853">
        <v>60</v>
      </c>
      <c r="B132" s="3510" t="s">
        <v>2779</v>
      </c>
      <c r="C132" s="2853" t="s">
        <v>2780</v>
      </c>
      <c r="D132" s="2827" t="s">
        <v>2781</v>
      </c>
      <c r="E132" s="2853">
        <v>0.1</v>
      </c>
      <c r="F132" s="2853">
        <v>15</v>
      </c>
    </row>
    <row r="133" spans="1:6" ht="26">
      <c r="A133" s="2853">
        <v>61</v>
      </c>
      <c r="B133" s="3514"/>
      <c r="C133" s="2853" t="s">
        <v>2782</v>
      </c>
      <c r="D133" s="2827" t="s">
        <v>2783</v>
      </c>
      <c r="E133" s="2853">
        <v>0.1</v>
      </c>
      <c r="F133" s="2853">
        <v>15</v>
      </c>
    </row>
    <row r="134" spans="1:6" ht="26">
      <c r="A134" s="2853">
        <v>62</v>
      </c>
      <c r="B134" s="2853" t="s">
        <v>2784</v>
      </c>
      <c r="C134" s="2853" t="s">
        <v>2785</v>
      </c>
      <c r="D134" s="2827" t="s">
        <v>2786</v>
      </c>
      <c r="E134" s="2853">
        <v>0.1</v>
      </c>
      <c r="F134" s="2853">
        <v>15</v>
      </c>
    </row>
    <row r="135" spans="1:6" ht="26">
      <c r="A135" s="2853">
        <v>63</v>
      </c>
      <c r="B135" s="3515" t="s">
        <v>2787</v>
      </c>
      <c r="C135" s="2853" t="s">
        <v>2788</v>
      </c>
      <c r="D135" s="2827" t="s">
        <v>2789</v>
      </c>
      <c r="E135" s="2853">
        <v>0.1</v>
      </c>
      <c r="F135" s="2853">
        <v>15</v>
      </c>
    </row>
    <row r="136" spans="1:6" ht="14">
      <c r="A136" s="2853">
        <v>64</v>
      </c>
      <c r="B136" s="3515"/>
      <c r="C136" s="2853" t="s">
        <v>2790</v>
      </c>
      <c r="D136" s="2827" t="s">
        <v>2791</v>
      </c>
      <c r="E136" s="2853">
        <v>0.1</v>
      </c>
      <c r="F136" s="2853">
        <v>15</v>
      </c>
    </row>
    <row r="137" spans="1:6" ht="26">
      <c r="A137" s="2853">
        <v>65</v>
      </c>
      <c r="B137" s="2853" t="s">
        <v>2792</v>
      </c>
      <c r="C137" s="2853" t="s">
        <v>2793</v>
      </c>
      <c r="D137" s="2827" t="s">
        <v>2794</v>
      </c>
      <c r="E137" s="2853">
        <v>0.1</v>
      </c>
      <c r="F137" s="2853">
        <v>15</v>
      </c>
    </row>
    <row r="138" spans="1:6" ht="14">
      <c r="A138" s="2853"/>
      <c r="B138" s="2853"/>
      <c r="C138" s="2853"/>
      <c r="D138" s="2853"/>
      <c r="E138" s="2853" t="s">
        <v>2795</v>
      </c>
      <c r="F138" s="285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6" customWidth="1"/>
    <col min="2" max="2" width="37.26953125" style="1386" customWidth="1"/>
    <col min="3" max="3" width="11.36328125" style="1386" customWidth="1"/>
    <col min="4" max="4" width="31.7265625" style="1386" customWidth="1"/>
    <col min="5" max="5" width="0.453125" style="1386" customWidth="1"/>
    <col min="6" max="7" width="13" style="1386" customWidth="1"/>
    <col min="8" max="16384" width="9" style="1386"/>
  </cols>
  <sheetData>
    <row r="1" spans="1:5" ht="18">
      <c r="A1" s="1385" t="s">
        <v>906</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8.5" thickBot="1">
      <c r="A4" s="1387"/>
      <c r="B4" s="3203" t="s">
        <v>915</v>
      </c>
      <c r="C4" s="3203"/>
      <c r="D4" s="3203"/>
      <c r="E4" s="1387"/>
    </row>
    <row r="5" spans="1:5" ht="16" thickTop="1">
      <c r="B5" s="3201" t="s">
        <v>907</v>
      </c>
      <c r="C5" s="1388" t="s">
        <v>908</v>
      </c>
      <c r="D5" s="793">
        <f ca="1">结果表!H101</f>
        <v>51311</v>
      </c>
    </row>
    <row r="6" spans="1:5" ht="15.5">
      <c r="B6" s="3201"/>
      <c r="C6" s="1388" t="s">
        <v>909</v>
      </c>
      <c r="D6" s="793" t="str">
        <f ca="1">NUMBERSTRING(INT(D5*10000),2)&amp;"元整"</f>
        <v>伍亿壹仟叁佰壹拾壹万元整</v>
      </c>
    </row>
    <row r="7" spans="1:5" ht="15.5">
      <c r="B7" s="3206"/>
      <c r="C7" s="1389" t="s">
        <v>910</v>
      </c>
      <c r="D7" s="794">
        <f ca="1">结果表!H102</f>
        <v>19062</v>
      </c>
    </row>
    <row r="8" spans="1:5" ht="15.5">
      <c r="B8" s="3207" t="str">
        <f>结果表!E103</f>
        <v>2.估价师知悉的法定优先受偿款</v>
      </c>
      <c r="C8" s="1390" t="s">
        <v>911</v>
      </c>
      <c r="D8" s="794">
        <f>结果表!H103</f>
        <v>0</v>
      </c>
    </row>
    <row r="9" spans="1:5" ht="15.5">
      <c r="B9" s="3209"/>
      <c r="C9" s="1388" t="s">
        <v>909</v>
      </c>
      <c r="D9" s="793" t="str">
        <f>NUMBERSTRING(INT(D8*10000),2)&amp;"元整"</f>
        <v>零元整</v>
      </c>
    </row>
    <row r="10" spans="1:5" ht="16">
      <c r="B10" s="1391" t="s">
        <v>914</v>
      </c>
      <c r="C10" s="1392" t="s">
        <v>912</v>
      </c>
      <c r="D10" s="795">
        <f>结果表!H104</f>
        <v>0</v>
      </c>
    </row>
    <row r="11" spans="1:5" ht="16">
      <c r="B11" s="1391" t="s">
        <v>916</v>
      </c>
      <c r="C11" s="1392" t="s">
        <v>917</v>
      </c>
      <c r="D11" s="795">
        <f>结果表!H105</f>
        <v>0</v>
      </c>
    </row>
    <row r="12" spans="1:5" ht="16">
      <c r="B12" s="1391" t="s">
        <v>918</v>
      </c>
      <c r="C12" s="1392" t="s">
        <v>917</v>
      </c>
      <c r="D12" s="795">
        <f>结果表!H106</f>
        <v>0</v>
      </c>
    </row>
    <row r="13" spans="1:5" ht="15.5">
      <c r="B13" s="3200" t="str">
        <f>结果表!E107</f>
        <v>——</v>
      </c>
      <c r="C13" s="1393" t="s">
        <v>908</v>
      </c>
      <c r="D13" s="796" t="str">
        <f>结果表!H107</f>
        <v>——</v>
      </c>
    </row>
    <row r="14" spans="1:5" ht="15.5">
      <c r="B14" s="3201"/>
      <c r="C14" s="1388" t="s">
        <v>909</v>
      </c>
      <c r="D14" s="793" t="e">
        <f>NUMBERSTRING(INT(D13*10000),2)&amp;"元整"</f>
        <v>#VALUE!</v>
      </c>
    </row>
    <row r="15" spans="1:5" ht="15.5">
      <c r="B15" s="3206"/>
      <c r="C15" s="1389" t="s">
        <v>919</v>
      </c>
      <c r="D15" s="802" t="e">
        <f ca="1">结果表!H108</f>
        <v>#VALUE!</v>
      </c>
    </row>
    <row r="16" spans="1:5" ht="15">
      <c r="B16" s="3207" t="str">
        <f>结果表!E109</f>
        <v>3.抵押担保权已注销时的房地产抵押价值</v>
      </c>
      <c r="C16" s="1393" t="s">
        <v>920</v>
      </c>
      <c r="D16" s="1394">
        <f ca="1">结果表!H109</f>
        <v>51311</v>
      </c>
    </row>
    <row r="17" spans="1:5" ht="15.5">
      <c r="B17" s="3208"/>
      <c r="C17" s="1388" t="s">
        <v>921</v>
      </c>
      <c r="D17" s="793" t="str">
        <f ca="1">NUMBERSTRING(INT(D16*10000),2)&amp;"元整"</f>
        <v>伍亿壹仟叁佰壹拾壹万元整</v>
      </c>
    </row>
    <row r="18" spans="1:5" ht="15.5">
      <c r="B18" s="3209"/>
      <c r="C18" s="1389" t="s">
        <v>910</v>
      </c>
      <c r="D18" s="802">
        <f ca="1">结果表!H110</f>
        <v>19062</v>
      </c>
    </row>
    <row r="19" spans="1:5" ht="15.5">
      <c r="B19" s="3200" t="str">
        <f>结果表!E111</f>
        <v>——</v>
      </c>
      <c r="C19" s="1393" t="s">
        <v>908</v>
      </c>
      <c r="D19" s="794" t="str">
        <f>结果表!H111</f>
        <v>——</v>
      </c>
    </row>
    <row r="20" spans="1:5" ht="15.5">
      <c r="B20" s="3201"/>
      <c r="C20" s="1388" t="s">
        <v>921</v>
      </c>
      <c r="D20" s="793" t="e">
        <f>NUMBERSTRING(INT(D19*10000),2)&amp;"元整"</f>
        <v>#VALUE!</v>
      </c>
    </row>
    <row r="21" spans="1:5" ht="16" thickBot="1">
      <c r="B21" s="3202"/>
      <c r="C21" s="1395" t="s">
        <v>919</v>
      </c>
      <c r="D21" s="803" t="str">
        <f>结果表!H112</f>
        <v>——</v>
      </c>
    </row>
    <row r="22" spans="1:5" ht="14.5" thickTop="1">
      <c r="B22" s="1396" t="s">
        <v>922</v>
      </c>
    </row>
    <row r="24" spans="1:5" ht="17.5">
      <c r="A24" s="1397"/>
      <c r="B24" s="1398" t="s">
        <v>913</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2875"/>
  </cols>
  <sheetData>
    <row r="1" spans="1:20" ht="15.5" thickBot="1">
      <c r="A1" s="2861" t="s">
        <v>2796</v>
      </c>
      <c r="B1" s="2861"/>
      <c r="C1" s="2861"/>
      <c r="D1" s="2861"/>
      <c r="E1" s="2861"/>
      <c r="F1" s="2861"/>
      <c r="G1" s="2861"/>
      <c r="H1" s="2861"/>
      <c r="I1" s="2861"/>
      <c r="J1" s="2861"/>
      <c r="K1" s="2861"/>
      <c r="L1" s="2861"/>
      <c r="M1" s="2861"/>
      <c r="N1" s="703"/>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1.0558000000000001</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1</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51581</v>
      </c>
      <c r="C2" s="2" t="s">
        <v>106</v>
      </c>
      <c r="D2" s="191"/>
      <c r="E2" s="191"/>
      <c r="F2" s="191"/>
      <c r="G2" s="191"/>
    </row>
    <row r="3" spans="1:7" s="192" customFormat="1" ht="18" customHeight="1" thickBot="1">
      <c r="A3" s="195" t="s">
        <v>58</v>
      </c>
      <c r="B3" s="196">
        <f ca="1">ROUND(B2*10000/'数据-汇总表'!E3,0)</f>
        <v>19163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ht="13">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160</v>
      </c>
      <c r="F9" s="213"/>
      <c r="G9" s="218"/>
    </row>
    <row r="10" spans="1:7" s="206" customFormat="1" ht="13.5" customHeight="1">
      <c r="A10" s="729" t="s">
        <v>356</v>
      </c>
      <c r="B10" s="216" t="s">
        <v>67</v>
      </c>
      <c r="C10" s="217">
        <f>ROUND(D10*E10/10000,0)</f>
        <v>538</v>
      </c>
      <c r="D10" s="791">
        <f>'数据-汇总表'!E6</f>
        <v>26917.520000000128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538</v>
      </c>
      <c r="D19" s="204">
        <f>'数据-汇总表'!E3</f>
        <v>26917.520000000128</v>
      </c>
      <c r="E19" s="203">
        <f>'数据-取费表'!B31</f>
        <v>200</v>
      </c>
      <c r="F19" s="223"/>
      <c r="G19" s="1" t="s">
        <v>436</v>
      </c>
    </row>
    <row r="20" spans="1:7" s="206" customFormat="1" ht="13.5" customHeight="1">
      <c r="A20" s="727" t="s">
        <v>419</v>
      </c>
      <c r="B20" s="202" t="s">
        <v>77</v>
      </c>
      <c r="C20" s="224">
        <f>ROUND((C5+C19)*F20,0)</f>
        <v>634</v>
      </c>
      <c r="D20" s="224"/>
      <c r="E20" s="224"/>
      <c r="F20" s="225">
        <f>'数据-取费表'!B37</f>
        <v>0.03</v>
      </c>
      <c r="G20" s="1000" t="s">
        <v>430</v>
      </c>
    </row>
    <row r="21" spans="1:7" s="206" customFormat="1" ht="13.5" customHeight="1">
      <c r="A21" s="727" t="s">
        <v>421</v>
      </c>
      <c r="B21" s="202" t="s">
        <v>78</v>
      </c>
      <c r="C21" s="227">
        <f>F21</f>
        <v>0.03</v>
      </c>
      <c r="D21" s="228" t="s">
        <v>99</v>
      </c>
      <c r="E21" s="224"/>
      <c r="F21" s="225">
        <f>'数据-取费表'!B38</f>
        <v>0.03</v>
      </c>
      <c r="G21" s="226" t="s">
        <v>79</v>
      </c>
    </row>
    <row r="22" spans="1:7" s="206" customFormat="1" ht="13.5" customHeight="1">
      <c r="A22" s="727" t="s">
        <v>341</v>
      </c>
      <c r="B22" s="202" t="s">
        <v>80</v>
      </c>
      <c r="C22" s="1037">
        <f ca="1">ROUND(SUM(C23:C25),0)</f>
        <v>2299</v>
      </c>
      <c r="D22" s="227">
        <f ca="1">C26</f>
        <v>1.6000000000000001E-3</v>
      </c>
      <c r="E22" s="228" t="s">
        <v>99</v>
      </c>
      <c r="F22" s="229">
        <f ca="1">'数据-取费表'!B40</f>
        <v>3.4500000000000003E-2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2208</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58</v>
      </c>
      <c r="D24" s="230"/>
      <c r="E24" s="230"/>
      <c r="F24" s="231"/>
      <c r="G24" s="232" t="s">
        <v>82</v>
      </c>
    </row>
    <row r="25" spans="1:7" s="206" customFormat="1" ht="26">
      <c r="A25" s="730" t="s">
        <v>348</v>
      </c>
      <c r="B25" s="207" t="s">
        <v>420</v>
      </c>
      <c r="C25" s="1038">
        <f ca="1">ROUND(IF('数据-取费表'!B22&lt;=1,C20*F22*'数据-取费表'!B23/2,C20*(POWER((1+F22),'数据-取费表'!B23/2)-1)),0)</f>
        <v>33</v>
      </c>
      <c r="D25" s="230"/>
      <c r="E25" s="233"/>
      <c r="F25" s="231"/>
      <c r="G25" s="234" t="s">
        <v>83</v>
      </c>
    </row>
    <row r="26" spans="1:7" s="206" customFormat="1" ht="13">
      <c r="A26" s="730" t="s">
        <v>350</v>
      </c>
      <c r="B26" s="207" t="s">
        <v>422</v>
      </c>
      <c r="C26" s="230">
        <f ca="1">ROUND(IF('数据-取费表'!B22&lt;=1,F21*F22*'数据-取费表'!B23/2,F21*(POWER((1+F22),'数据-取费表'!B23/2)-1)),4)</f>
        <v>1.6000000000000001E-3</v>
      </c>
      <c r="D26" s="230"/>
      <c r="E26" s="233"/>
      <c r="F26" s="231"/>
      <c r="G26" s="235"/>
    </row>
    <row r="27" spans="1:7" s="206" customFormat="1" ht="27">
      <c r="A27" s="727" t="s">
        <v>342</v>
      </c>
      <c r="B27" s="236" t="s">
        <v>85</v>
      </c>
      <c r="C27" s="237">
        <f>C28</f>
        <v>3703</v>
      </c>
      <c r="D27" s="227">
        <f>C29</f>
        <v>5.1000000000000004E-3</v>
      </c>
      <c r="E27" s="228" t="s">
        <v>99</v>
      </c>
      <c r="F27" s="238">
        <f>'数据-取费表'!Q16</f>
        <v>0.17</v>
      </c>
      <c r="G27" s="239" t="s">
        <v>431</v>
      </c>
    </row>
    <row r="28" spans="1:7" s="206" customFormat="1" ht="13.5" customHeight="1">
      <c r="A28" s="730" t="s">
        <v>349</v>
      </c>
      <c r="B28" s="240" t="s">
        <v>424</v>
      </c>
      <c r="C28" s="241">
        <f>ROUND((C5+C19+C20)*F27*'数据-取费表'!B21/'数据-取费表'!B20,0)</f>
        <v>3703</v>
      </c>
      <c r="D28" s="227"/>
      <c r="E28" s="228"/>
      <c r="F28" s="238"/>
      <c r="G28" s="239"/>
    </row>
    <row r="29" spans="1:7" s="206" customFormat="1" ht="13.5" customHeight="1">
      <c r="A29" s="730" t="s">
        <v>347</v>
      </c>
      <c r="B29" s="240" t="s">
        <v>425</v>
      </c>
      <c r="C29" s="230">
        <f>ROUND(C21*F27*'数据-取费表'!B21/'数据-取费表'!B20,4)</f>
        <v>5.1000000000000004E-3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30533</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19259</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17496</v>
      </c>
      <c r="D34" s="209"/>
      <c r="E34" s="212"/>
      <c r="F34" s="249">
        <f>IF('数据-取费表'!B24=0,1,'数据-取费表'!N16)</f>
        <v>1</v>
      </c>
      <c r="G34" s="211" t="s">
        <v>89</v>
      </c>
    </row>
    <row r="35" spans="1:7" ht="13.5" customHeight="1">
      <c r="A35" s="730" t="s">
        <v>351</v>
      </c>
      <c r="B35" s="207" t="s">
        <v>33</v>
      </c>
      <c r="C35" s="212">
        <f>ROUND(C34*F35,0)</f>
        <v>875</v>
      </c>
      <c r="D35" s="212"/>
      <c r="E35" s="212"/>
      <c r="F35" s="251">
        <f>'数据-取费表'!B33</f>
        <v>0.05</v>
      </c>
      <c r="G35" s="211" t="s">
        <v>90</v>
      </c>
    </row>
    <row r="36" spans="1:7" ht="26">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538</v>
      </c>
      <c r="D37" s="209">
        <f>'数据-汇总表'!E3</f>
        <v>26917.520000000128</v>
      </c>
      <c r="E37" s="241">
        <f>'数据-取费表'!B35</f>
        <v>200</v>
      </c>
      <c r="F37" s="251"/>
      <c r="G37" s="253" t="s">
        <v>92</v>
      </c>
    </row>
    <row r="38" spans="1:7" ht="13.5" customHeight="1">
      <c r="A38" s="730" t="s">
        <v>354</v>
      </c>
      <c r="B38" s="207" t="s">
        <v>36</v>
      </c>
      <c r="C38" s="212">
        <f>ROUND(C34*F38,0)</f>
        <v>350</v>
      </c>
      <c r="D38" s="212"/>
      <c r="E38" s="212"/>
      <c r="F38" s="251">
        <f>'数据-取费表'!B36</f>
        <v>0.02</v>
      </c>
      <c r="G38" s="211" t="s">
        <v>90</v>
      </c>
    </row>
    <row r="39" spans="1:7" s="206" customFormat="1" ht="13.5" customHeight="1">
      <c r="A39" s="727" t="s">
        <v>338</v>
      </c>
      <c r="B39" s="202" t="s">
        <v>77</v>
      </c>
      <c r="C39" s="224">
        <f>ROUND(C33*F20,0)</f>
        <v>578</v>
      </c>
      <c r="D39" s="224"/>
      <c r="E39" s="224"/>
      <c r="F39" s="225"/>
      <c r="G39" s="1000" t="s">
        <v>433</v>
      </c>
    </row>
    <row r="40" spans="1:7" s="206" customFormat="1" ht="13.5" customHeight="1">
      <c r="A40" s="727" t="s">
        <v>339</v>
      </c>
      <c r="B40" s="202" t="s">
        <v>78</v>
      </c>
      <c r="C40" s="254">
        <f>F21</f>
        <v>0.03</v>
      </c>
      <c r="D40" s="228" t="s">
        <v>102</v>
      </c>
      <c r="E40" s="224"/>
      <c r="F40" s="225"/>
      <c r="G40" s="226" t="s">
        <v>93</v>
      </c>
    </row>
    <row r="41" spans="1:7" s="206" customFormat="1" ht="13.5" customHeight="1">
      <c r="A41" s="727" t="s">
        <v>340</v>
      </c>
      <c r="B41" s="202" t="s">
        <v>80</v>
      </c>
      <c r="C41" s="224">
        <f ca="1">ROUND(SUM(C42:C43),0)</f>
        <v>1035</v>
      </c>
      <c r="D41" s="227">
        <f ca="1">C44</f>
        <v>1.6000000000000001E-3</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1005</v>
      </c>
      <c r="D42" s="230"/>
      <c r="E42" s="230"/>
      <c r="F42" s="231"/>
      <c r="G42" s="3400" t="s">
        <v>94</v>
      </c>
    </row>
    <row r="43" spans="1:7" ht="13.5" customHeight="1">
      <c r="A43" s="730" t="s">
        <v>347</v>
      </c>
      <c r="B43" s="207" t="s">
        <v>426</v>
      </c>
      <c r="C43" s="230">
        <f ca="1">ROUND(IF('数据-取费表'!B22&lt;=1,C39*F22*'数据-取费表'!B21/2,C39*(POWER((1+F22),'数据-取费表'!B21/2)-1)),0)</f>
        <v>30</v>
      </c>
      <c r="D43" s="230"/>
      <c r="E43" s="230"/>
      <c r="F43" s="231"/>
      <c r="G43" s="3401"/>
    </row>
    <row r="44" spans="1:7" ht="13.5" customHeight="1">
      <c r="A44" s="730" t="s">
        <v>348</v>
      </c>
      <c r="B44" s="207" t="s">
        <v>428</v>
      </c>
      <c r="C44" s="230">
        <f ca="1">ROUND(IF('数据-取费表'!B22&lt;=1,C40*F22*'数据-取费表'!B21/2,C40*(POWER((1+F22),'数据-取费表'!B21/2)-1)),4)</f>
        <v>1.6000000000000001E-3</v>
      </c>
      <c r="D44" s="230"/>
      <c r="E44" s="230"/>
      <c r="F44" s="231"/>
      <c r="G44" s="3402"/>
    </row>
    <row r="45" spans="1:7" s="206" customFormat="1" ht="13.5" customHeight="1">
      <c r="A45" s="727" t="s">
        <v>341</v>
      </c>
      <c r="B45" s="236" t="s">
        <v>85</v>
      </c>
      <c r="C45" s="237">
        <f>C46</f>
        <v>3372</v>
      </c>
      <c r="D45" s="227">
        <f>C47</f>
        <v>5.1000000000000004E-3</v>
      </c>
      <c r="E45" s="228" t="s">
        <v>102</v>
      </c>
      <c r="F45" s="238"/>
      <c r="G45" s="239" t="s">
        <v>434</v>
      </c>
    </row>
    <row r="46" spans="1:7" s="206" customFormat="1" ht="13.5" customHeight="1">
      <c r="A46" s="730" t="s">
        <v>349</v>
      </c>
      <c r="B46" s="240" t="s">
        <v>427</v>
      </c>
      <c r="C46" s="241">
        <f>ROUND((C33+C39)*F27,0)</f>
        <v>3372</v>
      </c>
      <c r="D46" s="255"/>
      <c r="E46" s="228"/>
      <c r="F46" s="238"/>
      <c r="G46" s="239"/>
    </row>
    <row r="47" spans="1:7" s="206" customFormat="1" ht="13.5" customHeight="1">
      <c r="A47" s="730" t="s">
        <v>347</v>
      </c>
      <c r="B47" s="240" t="s">
        <v>429</v>
      </c>
      <c r="C47" s="230">
        <f>ROUND(C40*F27,4)</f>
        <v>5.1000000000000004E-3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26643</v>
      </c>
      <c r="D49" s="224"/>
      <c r="E49" s="224"/>
      <c r="F49" s="256"/>
      <c r="G49" s="226" t="s">
        <v>435</v>
      </c>
    </row>
    <row r="50" spans="1:7" s="250" customFormat="1" ht="26">
      <c r="A50" s="727" t="s">
        <v>344</v>
      </c>
      <c r="B50" s="202" t="s">
        <v>97</v>
      </c>
      <c r="C50" s="224"/>
      <c r="D50" s="224"/>
      <c r="E50" s="224"/>
      <c r="F50" s="256">
        <f>IF('数据-取费表'!B24=0,'数据-取费表'!N16,1)</f>
        <v>0.79</v>
      </c>
      <c r="G50" s="239" t="s">
        <v>98</v>
      </c>
    </row>
    <row r="51" spans="1:7" ht="16.5" customHeight="1">
      <c r="A51" s="727" t="s">
        <v>345</v>
      </c>
      <c r="B51" s="202" t="s">
        <v>105</v>
      </c>
      <c r="C51" s="224">
        <f ca="1">ROUND(C49*F50,0)</f>
        <v>21048</v>
      </c>
      <c r="D51" s="224"/>
      <c r="E51" s="224"/>
      <c r="F51" s="256"/>
      <c r="G51" s="226" t="s">
        <v>37</v>
      </c>
    </row>
    <row r="52" spans="1:7" s="200" customFormat="1" ht="16.5" thickBot="1">
      <c r="A52" s="257" t="s">
        <v>38</v>
      </c>
      <c r="B52" s="258"/>
      <c r="C52" s="259">
        <f ca="1">C31+C51</f>
        <v>51581</v>
      </c>
      <c r="D52" s="258"/>
      <c r="E52" s="258"/>
      <c r="F52" s="258"/>
      <c r="G52" s="260"/>
    </row>
    <row r="55" spans="1:7" ht="15.5">
      <c r="B55" s="262" t="s">
        <v>39</v>
      </c>
      <c r="C55" s="263"/>
    </row>
    <row r="56" spans="1:7" ht="13">
      <c r="B56" s="265" t="s">
        <v>40</v>
      </c>
      <c r="C56" s="266">
        <f ca="1">ROUND(C51/C52,3)</f>
        <v>0.40799999999999997</v>
      </c>
    </row>
    <row r="57" spans="1:7" ht="13">
      <c r="B57" s="265" t="s">
        <v>41</v>
      </c>
      <c r="C57" s="267">
        <f ca="1">1-C56</f>
        <v>0.59200000000000008</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115" zoomScaleNormal="70" zoomScaleSheetLayoutView="115" workbookViewId="0">
      <selection activeCell="F12" sqref="F1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68" customWidth="1"/>
    <col min="12" max="12" width="16.36328125" style="250" customWidth="1"/>
    <col min="13" max="13" width="13" style="250" customWidth="1"/>
    <col min="14" max="14" width="13.7265625" style="1288" customWidth="1"/>
    <col min="15" max="15" width="5.08984375" style="1288" customWidth="1"/>
    <col min="16" max="16" width="25.7265625" style="1288" customWidth="1"/>
    <col min="17" max="17" width="13.7265625" style="1288" customWidth="1"/>
    <col min="18" max="18" width="20.453125" style="1288" customWidth="1"/>
    <col min="19" max="19" width="13.26953125" style="1288" customWidth="1"/>
    <col min="20" max="37" width="9" style="1288"/>
    <col min="38" max="16384" width="9" style="250"/>
  </cols>
  <sheetData>
    <row r="1" spans="1:37" s="285" customFormat="1" ht="21">
      <c r="A1" s="1279" t="s">
        <v>875</v>
      </c>
      <c r="B1" s="663"/>
      <c r="C1" s="1283" t="s">
        <v>3331</v>
      </c>
      <c r="D1" s="1267" t="s">
        <v>43</v>
      </c>
      <c r="E1" s="1268" t="s">
        <v>676</v>
      </c>
      <c r="F1" s="995">
        <f ca="1">J53</f>
        <v>27.35</v>
      </c>
      <c r="G1" s="1282">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802</v>
      </c>
      <c r="B2" s="1290">
        <f ca="1">C40+J29+L46</f>
        <v>6800</v>
      </c>
      <c r="C2" s="1285" t="s">
        <v>803</v>
      </c>
      <c r="D2" s="1285"/>
      <c r="E2" s="1291"/>
      <c r="F2" s="1292"/>
      <c r="G2" s="2474"/>
      <c r="H2" s="2464"/>
      <c r="I2" s="2464"/>
      <c r="J2" s="2464"/>
      <c r="K2" s="2465"/>
      <c r="L2" s="2464"/>
      <c r="M2" s="2464"/>
    </row>
    <row r="3" spans="1:37" ht="18" customHeight="1" thickBot="1">
      <c r="A3" s="1293" t="s">
        <v>804</v>
      </c>
      <c r="B3" s="1294">
        <f ca="1">IF(ISERROR(B2*10000/F43),0,ROUND(B2*10000/F43,0))</f>
        <v>4120</v>
      </c>
      <c r="C3" s="1285" t="s">
        <v>805</v>
      </c>
      <c r="D3" s="1285"/>
      <c r="E3" s="1291"/>
      <c r="F3" s="1292"/>
      <c r="G3" s="2474"/>
      <c r="H3" s="649"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3">
        <f ca="1">C6+C10+C12</f>
        <v>504</v>
      </c>
      <c r="D5" s="1269" t="s">
        <v>691</v>
      </c>
      <c r="E5" s="1004"/>
      <c r="F5" s="1005"/>
      <c r="G5" s="1288"/>
      <c r="H5" s="291">
        <v>1</v>
      </c>
      <c r="I5" s="292" t="s">
        <v>690</v>
      </c>
      <c r="J5" s="1003">
        <f ca="1">J6+J10+J12</f>
        <v>0</v>
      </c>
      <c r="K5" s="1269" t="s">
        <v>691</v>
      </c>
      <c r="L5" s="1004"/>
      <c r="M5" s="1005"/>
    </row>
    <row r="6" spans="1:37" ht="18" customHeight="1">
      <c r="A6" s="1002" t="s">
        <v>398</v>
      </c>
      <c r="B6" s="3407" t="s">
        <v>692</v>
      </c>
      <c r="C6" s="1007">
        <f ca="1">ROUND(F6*F8*F7*(1-F9)/10000,0)</f>
        <v>504</v>
      </c>
      <c r="D6" s="147" t="s">
        <v>2107</v>
      </c>
      <c r="E6" s="294" t="s">
        <v>694</v>
      </c>
      <c r="F6" s="295">
        <f ca="1">INDIRECT("'数据-取费表'!u"&amp;$G$1)</f>
        <v>1500</v>
      </c>
      <c r="G6" s="1288"/>
      <c r="H6" s="1002" t="s">
        <v>398</v>
      </c>
      <c r="I6" s="3407" t="s">
        <v>692</v>
      </c>
      <c r="J6" s="293">
        <f ca="1">ROUND(M6*M8*M7*(1-M9)/10000,0)</f>
        <v>0</v>
      </c>
      <c r="K6" s="147" t="s">
        <v>2106</v>
      </c>
      <c r="L6" s="294" t="s">
        <v>694</v>
      </c>
      <c r="M6" s="295">
        <f ca="1">INDIRECT("'数据-取费表'!z"&amp;$G$1)</f>
        <v>0</v>
      </c>
    </row>
    <row r="7" spans="1:37" ht="18" customHeight="1">
      <c r="A7" s="1006"/>
      <c r="B7" s="3408"/>
      <c r="C7" s="1008"/>
      <c r="D7" s="299"/>
      <c r="E7" s="1009" t="s">
        <v>695</v>
      </c>
      <c r="F7" s="295">
        <f ca="1">IF(INDIRECT("'数据-取费表'!ah"&amp;$G$1)="",INDIRECT("'数据-取费表'!k"&amp;$G$1),INDIRECT("'数据-取费表'!ah"&amp;$G$1))</f>
        <v>311</v>
      </c>
      <c r="G7" s="1288"/>
      <c r="H7" s="296"/>
      <c r="I7" s="3408"/>
      <c r="J7" s="298"/>
      <c r="K7" s="299"/>
      <c r="L7" s="294" t="s">
        <v>695</v>
      </c>
      <c r="M7" s="295">
        <f ca="1">F7</f>
        <v>311</v>
      </c>
    </row>
    <row r="8" spans="1:37" ht="18" customHeight="1">
      <c r="A8" s="296"/>
      <c r="B8" s="3408"/>
      <c r="C8" s="298"/>
      <c r="D8" s="299"/>
      <c r="E8" s="294" t="s">
        <v>696</v>
      </c>
      <c r="F8" s="295">
        <f ca="1">INDIRECT("'数据-取费表'!ai"&amp;$G$1)</f>
        <v>12</v>
      </c>
      <c r="G8" s="1288"/>
      <c r="H8" s="296"/>
      <c r="I8" s="3408"/>
      <c r="J8" s="298"/>
      <c r="K8" s="299"/>
      <c r="L8" s="294" t="s">
        <v>696</v>
      </c>
      <c r="M8" s="295">
        <f ca="1">INDIRECT("'数据-取费表'!ai"&amp;$G$1)</f>
        <v>12</v>
      </c>
    </row>
    <row r="9" spans="1:37" ht="18" customHeight="1">
      <c r="A9" s="296"/>
      <c r="B9" s="3409"/>
      <c r="C9" s="298"/>
      <c r="D9" s="299"/>
      <c r="E9" s="294" t="s">
        <v>697</v>
      </c>
      <c r="F9" s="304">
        <f ca="1">INDIRECT("'数据-取费表'!w"&amp;$G$1)</f>
        <v>0.1</v>
      </c>
      <c r="G9" s="1288"/>
      <c r="H9" s="296"/>
      <c r="I9" s="3409"/>
      <c r="J9" s="298"/>
      <c r="K9" s="299"/>
      <c r="L9" s="305" t="s">
        <v>697</v>
      </c>
      <c r="M9" s="306">
        <f ca="1">INDIRECT("'数据-取费表'!ab"&amp;$G$1)</f>
        <v>0</v>
      </c>
    </row>
    <row r="10" spans="1:37" ht="18" customHeight="1">
      <c r="A10" s="1002" t="s">
        <v>402</v>
      </c>
      <c r="B10" s="1270" t="s">
        <v>698</v>
      </c>
      <c r="C10" s="308">
        <f ca="1">ROUND(IF(F10="押一",C6/12*F11,IF(F10="押二",C6/12*2*F11,IF(F10="押三",C6/12*3*F11,C11*F11))),0)</f>
        <v>0</v>
      </c>
      <c r="D10" s="150" t="s">
        <v>2114</v>
      </c>
      <c r="E10" s="305" t="s">
        <v>699</v>
      </c>
      <c r="F10" s="1049" t="s">
        <v>3463</v>
      </c>
      <c r="G10" s="1288"/>
      <c r="H10" s="1002" t="s">
        <v>402</v>
      </c>
      <c r="I10" s="1270" t="s">
        <v>698</v>
      </c>
      <c r="J10" s="293">
        <f ca="1">ROUND(IF(M10="押一",J6/12*M11,IF(M10="押二",J6/12*2*M11,IF(M10="押三",J6/12*3*M11,J11*M11))),0)</f>
        <v>0</v>
      </c>
      <c r="K10" s="150" t="s">
        <v>2114</v>
      </c>
      <c r="L10" s="305" t="s">
        <v>699</v>
      </c>
      <c r="M10" s="1049"/>
    </row>
    <row r="11" spans="1:37" ht="18" customHeight="1">
      <c r="A11" s="300"/>
      <c r="B11" s="1271" t="s">
        <v>677</v>
      </c>
      <c r="C11" s="901"/>
      <c r="D11" s="1272"/>
      <c r="E11" s="305" t="s">
        <v>700</v>
      </c>
      <c r="F11" s="306">
        <f ca="1">'数据-取费表'!B39</f>
        <v>1.4999999999999999E-2</v>
      </c>
      <c r="G11" s="1288"/>
      <c r="H11" s="1010"/>
      <c r="I11" s="1271" t="s">
        <v>677</v>
      </c>
      <c r="J11" s="901"/>
      <c r="K11" s="646"/>
      <c r="L11" s="305" t="s">
        <v>700</v>
      </c>
      <c r="M11" s="805">
        <f ca="1">'数据-取费表'!B39</f>
        <v>1.4999999999999999E-2</v>
      </c>
    </row>
    <row r="12" spans="1:37" ht="18" customHeight="1" thickBot="1">
      <c r="A12" s="1016" t="s">
        <v>437</v>
      </c>
      <c r="B12" s="1273" t="s">
        <v>701</v>
      </c>
      <c r="C12" s="1017"/>
      <c r="D12" s="1018"/>
      <c r="E12" s="1023"/>
      <c r="F12" s="1019"/>
      <c r="G12" s="1288"/>
      <c r="H12" s="1016" t="s">
        <v>437</v>
      </c>
      <c r="I12" s="1273" t="s">
        <v>701</v>
      </c>
      <c r="J12" s="1017"/>
      <c r="K12" s="1031"/>
      <c r="L12" s="1023"/>
      <c r="M12" s="1032"/>
    </row>
    <row r="13" spans="1:37" ht="18" customHeight="1" thickTop="1">
      <c r="A13" s="1012">
        <v>2</v>
      </c>
      <c r="B13" s="1013" t="s">
        <v>702</v>
      </c>
      <c r="C13" s="302">
        <f ca="1">ROUND(C29*F13,0)</f>
        <v>12523</v>
      </c>
      <c r="D13" s="1014" t="s">
        <v>703</v>
      </c>
      <c r="E13" s="1014" t="s">
        <v>704</v>
      </c>
      <c r="F13" s="1015">
        <f ca="1">INDIRECT("'数据-取费表'!y"&amp;$G$1)</f>
        <v>0.78</v>
      </c>
      <c r="G13" s="1288"/>
      <c r="H13" s="1012">
        <v>2</v>
      </c>
      <c r="I13" s="1013" t="s">
        <v>702</v>
      </c>
      <c r="J13" s="1001">
        <f ca="1">ROUND(J14*J15,0)</f>
        <v>0</v>
      </c>
      <c r="K13" s="1020" t="s">
        <v>703</v>
      </c>
      <c r="L13" s="1295"/>
      <c r="M13" s="1296"/>
    </row>
    <row r="14" spans="1:37" ht="18" customHeight="1">
      <c r="A14" s="924" t="s">
        <v>397</v>
      </c>
      <c r="B14" s="294" t="s">
        <v>705</v>
      </c>
      <c r="C14" s="310">
        <f ca="1">INDIRECT("'数据-取费表'!m"&amp;$G$1)+INDIRECT("'数据-取费表'!t"&amp;$G$1)</f>
        <v>10727</v>
      </c>
      <c r="D14" s="1253" t="s">
        <v>706</v>
      </c>
      <c r="E14" s="1251"/>
      <c r="F14" s="311"/>
      <c r="G14" s="1288"/>
      <c r="H14" s="924" t="s">
        <v>398</v>
      </c>
      <c r="I14" s="294" t="s">
        <v>707</v>
      </c>
      <c r="J14" s="21">
        <f ca="1">C29</f>
        <v>16055</v>
      </c>
      <c r="K14" s="12"/>
      <c r="L14" s="755"/>
      <c r="M14" s="756"/>
    </row>
    <row r="15" spans="1:37" s="1300" customFormat="1" ht="18" customHeight="1" thickBot="1">
      <c r="A15" s="924" t="s">
        <v>399</v>
      </c>
      <c r="B15" s="294" t="s">
        <v>708</v>
      </c>
      <c r="C15" s="21">
        <f ca="1">ROUND(C14*F15,0)</f>
        <v>536</v>
      </c>
      <c r="D15" s="312" t="s">
        <v>709</v>
      </c>
      <c r="E15" s="312" t="s">
        <v>710</v>
      </c>
      <c r="F15" s="313">
        <f>'数据-取费表'!B33</f>
        <v>0.05</v>
      </c>
      <c r="G15" s="1299"/>
      <c r="H15" s="1022" t="s">
        <v>402</v>
      </c>
      <c r="I15" s="1023" t="s">
        <v>704</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678</v>
      </c>
      <c r="B16" s="294" t="s">
        <v>711</v>
      </c>
      <c r="C16" s="21">
        <f ca="1">ROUND(INDIRECT("'数据-取费表'!m"&amp;$G$1)*F16,0)</f>
        <v>0</v>
      </c>
      <c r="D16" s="294" t="s">
        <v>709</v>
      </c>
      <c r="E16" s="294" t="s">
        <v>710</v>
      </c>
      <c r="F16" s="314">
        <f ca="1">IF(INDIRECT("'数据-取费表'!c"&amp;$G$1)="住宅",'数据-取费表'!B34,0)</f>
        <v>0</v>
      </c>
      <c r="G16" s="1288"/>
      <c r="H16" s="1012" t="s">
        <v>393</v>
      </c>
      <c r="I16" s="1013" t="s">
        <v>712</v>
      </c>
      <c r="J16" s="302">
        <f ca="1">ROUND(J17+J22+J23+J24,0)</f>
        <v>80</v>
      </c>
      <c r="K16" s="1020" t="s">
        <v>713</v>
      </c>
      <c r="L16" s="1021"/>
      <c r="M16" s="1005"/>
    </row>
    <row r="17" spans="1:37" s="1300" customFormat="1" ht="18" customHeight="1">
      <c r="A17" s="924" t="s">
        <v>679</v>
      </c>
      <c r="B17" s="294" t="s">
        <v>714</v>
      </c>
      <c r="C17" s="21">
        <f ca="1">ROUND(F17*(F43+INDIRECT("'数据-取费表'!S"&amp;$G$1))/10000,0)</f>
        <v>330</v>
      </c>
      <c r="D17" s="294" t="s">
        <v>715</v>
      </c>
      <c r="E17" s="294" t="s">
        <v>716</v>
      </c>
      <c r="F17" s="23">
        <f>'数据-取费表'!B35</f>
        <v>200</v>
      </c>
      <c r="G17" s="1299"/>
      <c r="H17" s="924" t="s">
        <v>398</v>
      </c>
      <c r="I17" s="294" t="s">
        <v>717</v>
      </c>
      <c r="J17" s="2136">
        <f ca="1">ROUND(IF(AND(项目基本情况!B11="自然人",项目基本情况!B10="北京市"),J6*M17/(1+'数据-取费表'!C42),J18+J19+J20),2)</f>
        <v>0</v>
      </c>
      <c r="K17" s="1253" t="s">
        <v>718</v>
      </c>
      <c r="L17" s="1252" t="s">
        <v>719</v>
      </c>
      <c r="M17" s="2135">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680</v>
      </c>
      <c r="B18" s="294" t="s">
        <v>720</v>
      </c>
      <c r="C18" s="21">
        <f ca="1">ROUND(C14*F18,0)</f>
        <v>215</v>
      </c>
      <c r="D18" s="294" t="s">
        <v>709</v>
      </c>
      <c r="E18" s="294" t="s">
        <v>710</v>
      </c>
      <c r="F18" s="314">
        <f>'数据-取费表'!B36</f>
        <v>0.02</v>
      </c>
      <c r="G18" s="1299"/>
      <c r="H18" s="924" t="s">
        <v>397</v>
      </c>
      <c r="I18" s="294" t="s">
        <v>721</v>
      </c>
      <c r="J18" s="21">
        <f ca="1">ROUND(J6*M18/(1+'数据-取费表'!C42),2)</f>
        <v>0</v>
      </c>
      <c r="K18" s="1252" t="s">
        <v>722</v>
      </c>
      <c r="L18" s="294" t="s">
        <v>710</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723</v>
      </c>
      <c r="C19" s="21">
        <f ca="1">SUM(C14:C18)</f>
        <v>11808</v>
      </c>
      <c r="D19" s="123" t="s">
        <v>724</v>
      </c>
      <c r="E19" s="1265"/>
      <c r="F19" s="23"/>
      <c r="G19" s="1288"/>
      <c r="H19" s="924" t="s">
        <v>399</v>
      </c>
      <c r="I19" s="294" t="s">
        <v>725</v>
      </c>
      <c r="J19" s="21">
        <f ca="1">IF(K19="按租金收入计税",ROUND(J6*M19/(1+'数据-取费表'!C42),2),ROUND(C29*M19*0.7,2))</f>
        <v>0</v>
      </c>
      <c r="K19" s="1274" t="s">
        <v>3333</v>
      </c>
      <c r="L19" s="294" t="s">
        <v>710</v>
      </c>
      <c r="M19" s="314">
        <f>IF(K19="按租金收入计税",'数据-取费表'!B51,'数据-取费表'!B50)</f>
        <v>0.12</v>
      </c>
    </row>
    <row r="20" spans="1:37" s="1300" customFormat="1" ht="18" customHeight="1">
      <c r="A20" s="924" t="s">
        <v>402</v>
      </c>
      <c r="B20" s="294" t="s">
        <v>726</v>
      </c>
      <c r="C20" s="21">
        <f ca="1">ROUND(C19*F20,0)</f>
        <v>354</v>
      </c>
      <c r="D20" s="315" t="s">
        <v>727</v>
      </c>
      <c r="E20" s="294" t="s">
        <v>710</v>
      </c>
      <c r="F20" s="314">
        <f>'数据-取费表'!B37</f>
        <v>0.03</v>
      </c>
      <c r="G20" s="1299"/>
      <c r="H20" s="924" t="s">
        <v>678</v>
      </c>
      <c r="I20" s="147" t="s">
        <v>728</v>
      </c>
      <c r="J20" s="22">
        <f ca="1">ROUND(M20*M21/10000,2)</f>
        <v>0</v>
      </c>
      <c r="K20" s="316" t="s">
        <v>729</v>
      </c>
      <c r="L20" s="294" t="s">
        <v>730</v>
      </c>
      <c r="M20" s="317">
        <f>'数据-取费表'!B52</f>
        <v>30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731</v>
      </c>
      <c r="C21" s="21" t="s">
        <v>15</v>
      </c>
      <c r="D21" s="315" t="s">
        <v>732</v>
      </c>
      <c r="E21" s="294" t="s">
        <v>733</v>
      </c>
      <c r="F21" s="314">
        <f>'数据-取费表'!B38</f>
        <v>0.03</v>
      </c>
      <c r="G21" s="1299"/>
      <c r="H21" s="318"/>
      <c r="I21" s="303"/>
      <c r="J21" s="26"/>
      <c r="K21" s="319"/>
      <c r="L21" s="294" t="s">
        <v>734</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681</v>
      </c>
      <c r="B22" s="294" t="s">
        <v>735</v>
      </c>
      <c r="C22" s="21"/>
      <c r="D22" s="123" t="str">
        <f>IF(F23&lt;=1,"单利计息。","复利计息。")&amp;"建造成本、管理费用、销售费用产生的利息。"</f>
        <v>复利计息。建造成本、管理费用、销售费用产生的利息。</v>
      </c>
      <c r="E22" s="1265"/>
      <c r="F22" s="23"/>
      <c r="G22" s="1288"/>
      <c r="H22" s="924" t="s">
        <v>402</v>
      </c>
      <c r="I22" s="294" t="s">
        <v>736</v>
      </c>
      <c r="J22" s="21">
        <f ca="1">ROUND(J14*M22,2)</f>
        <v>80.28</v>
      </c>
      <c r="K22" s="1252" t="s">
        <v>737</v>
      </c>
      <c r="L22" s="294" t="s">
        <v>710</v>
      </c>
      <c r="M22" s="320">
        <f ca="1">INDIRECT("'数据-取费表'!Ak"&amp;$G$1)</f>
        <v>5.0000000000000001E-3</v>
      </c>
    </row>
    <row r="23" spans="1:37" s="1300" customFormat="1" ht="18" customHeight="1">
      <c r="A23" s="924" t="s">
        <v>397</v>
      </c>
      <c r="B23" s="294" t="s">
        <v>738</v>
      </c>
      <c r="C23" s="21">
        <f ca="1">IF('数据-取费表'!B22&lt;=1,ROUND(C19*F24*F23/2,0)+ROUND(C20*F24*F23/2,0),ROUND(C19*(POWER((1+F24),F23/2)-1),0)+ROUND(C20*(POWER((1+F24),F23/2)-1),0))</f>
        <v>634</v>
      </c>
      <c r="D23" s="138" t="str">
        <f>IF(F23&lt;=1,"(建造成本+管理费用)×利率×(建设周期÷2)","(建造成本+管理费用)×((1+利率)^(建设周期÷2)-1)")</f>
        <v>(建造成本+管理费用)×((1+利率)^(建设周期÷2)-1)</v>
      </c>
      <c r="E23" s="294" t="s">
        <v>739</v>
      </c>
      <c r="F23" s="317">
        <f>'数据-取费表'!B20</f>
        <v>3</v>
      </c>
      <c r="G23" s="1299"/>
      <c r="H23" s="924" t="s">
        <v>437</v>
      </c>
      <c r="I23" s="294" t="s">
        <v>740</v>
      </c>
      <c r="J23" s="21">
        <f ca="1">ROUND(J13*M23,2)</f>
        <v>0</v>
      </c>
      <c r="K23" s="1252" t="s">
        <v>741</v>
      </c>
      <c r="L23" s="294" t="s">
        <v>710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744</v>
      </c>
      <c r="C24" s="21">
        <f ca="1">ROUND(IF('数据-取费表'!B22&lt;=1,F21*F24*F23/2,F21*(POWER((1+F24),F23/2)-1)),4)</f>
        <v>1.6000000000000001E-3</v>
      </c>
      <c r="D24" s="138" t="str">
        <f>IF(F23&lt;=1,"销售费用×利率×(建设周期÷2)","销售费用×((1+利率)^(建设周期÷2)-1)")</f>
        <v>销售费用×((1+利率)^(建设周期÷2)-1)</v>
      </c>
      <c r="E24" s="294" t="s">
        <v>745</v>
      </c>
      <c r="F24" s="322">
        <f ca="1">'数据-取费表'!B40</f>
        <v>3.4500000000000003E-2</v>
      </c>
      <c r="G24" s="1299"/>
      <c r="H24" s="1022" t="s">
        <v>681</v>
      </c>
      <c r="I24" s="1023" t="s">
        <v>726</v>
      </c>
      <c r="J24" s="1024">
        <f ca="1">ROUND(J5*M24,2)</f>
        <v>0</v>
      </c>
      <c r="K24" s="1025" t="s">
        <v>746</v>
      </c>
      <c r="L24" s="1023" t="s">
        <v>710</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747</v>
      </c>
      <c r="B25" s="294" t="s">
        <v>748</v>
      </c>
      <c r="C25" s="21"/>
      <c r="D25" s="123" t="s">
        <v>749</v>
      </c>
      <c r="E25" s="1265"/>
      <c r="F25" s="23"/>
      <c r="G25" s="1288"/>
      <c r="H25" s="1012" t="s">
        <v>394</v>
      </c>
      <c r="I25" s="1027" t="s">
        <v>750</v>
      </c>
      <c r="J25" s="302">
        <f ca="1">J5-J16</f>
        <v>-80</v>
      </c>
      <c r="K25" s="1028" t="s">
        <v>751</v>
      </c>
      <c r="L25" s="1029"/>
      <c r="M25" s="1030"/>
    </row>
    <row r="26" spans="1:37" ht="13">
      <c r="A26" s="924" t="s">
        <v>397</v>
      </c>
      <c r="B26" s="294" t="s">
        <v>752</v>
      </c>
      <c r="C26" s="21">
        <f ca="1">ROUND((C19+C20)*F26,0)</f>
        <v>1824</v>
      </c>
      <c r="D26" s="315" t="s">
        <v>753</v>
      </c>
      <c r="E26" s="305" t="s">
        <v>754</v>
      </c>
      <c r="F26" s="304">
        <f ca="1">INDIRECT("'数据-取费表'!q"&amp;$G$1)</f>
        <v>0.15</v>
      </c>
      <c r="G26" s="1288"/>
      <c r="H26" s="291" t="s">
        <v>395</v>
      </c>
      <c r="I26" s="292" t="s">
        <v>755</v>
      </c>
      <c r="J26" s="293">
        <f ca="1">IF(J5&lt;&gt;0,ROUND(J25*(1-((1+M28)/(1+M26))^M27)/(M26-M28),0),0)</f>
        <v>0</v>
      </c>
      <c r="K26" s="316" t="s">
        <v>756</v>
      </c>
      <c r="L26" s="294" t="s">
        <v>757</v>
      </c>
      <c r="M26" s="304">
        <f ca="1">INDIRECT("'数据-取费表'!I"&amp;$G$1)</f>
        <v>0.05</v>
      </c>
    </row>
    <row r="27" spans="1:37" ht="18" customHeight="1">
      <c r="A27" s="924" t="s">
        <v>399</v>
      </c>
      <c r="B27" s="294" t="s">
        <v>758</v>
      </c>
      <c r="C27" s="21">
        <f ca="1">ROUND(F21*F26,4)</f>
        <v>4.4999999999999997E-3</v>
      </c>
      <c r="D27" s="315" t="s">
        <v>759</v>
      </c>
      <c r="E27" s="312"/>
      <c r="F27" s="313"/>
      <c r="G27" s="1288"/>
      <c r="H27" s="296"/>
      <c r="I27" s="297"/>
      <c r="J27" s="298"/>
      <c r="K27" s="323" t="s">
        <v>760</v>
      </c>
      <c r="L27" s="294" t="s">
        <v>761</v>
      </c>
      <c r="M27" s="324">
        <f ca="1">INDIRECT("'数据-取费表'!ag"&amp;$G$1)</f>
        <v>0</v>
      </c>
    </row>
    <row r="28" spans="1:37" s="1300" customFormat="1" ht="18" customHeight="1">
      <c r="A28" s="924" t="s">
        <v>400</v>
      </c>
      <c r="B28" s="294" t="s">
        <v>762</v>
      </c>
      <c r="C28" s="21">
        <f>ROUND(F28/(1+'数据-取费表'!C42),4)</f>
        <v>5.33E-2</v>
      </c>
      <c r="D28" s="315" t="s">
        <v>763</v>
      </c>
      <c r="E28" s="294" t="s">
        <v>710</v>
      </c>
      <c r="F28" s="314">
        <f>'数据-取费表'!B41</f>
        <v>5.6000000000000001E-2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765</v>
      </c>
      <c r="C29" s="1024">
        <f ca="1">ROUND((C19+C20+C23+C26)/(1-F21-C24-C27-C28),0)</f>
        <v>16055</v>
      </c>
      <c r="D29" s="1025"/>
      <c r="E29" s="1023"/>
      <c r="F29" s="1026"/>
      <c r="G29" s="1299"/>
      <c r="H29" s="325" t="s">
        <v>396</v>
      </c>
      <c r="I29" s="326" t="s">
        <v>766</v>
      </c>
      <c r="J29" s="327">
        <f ca="1">ROUND(J26/(1+F40)^F41,0)</f>
        <v>0</v>
      </c>
      <c r="K29" s="328" t="s">
        <v>767</v>
      </c>
      <c r="L29" s="329"/>
      <c r="M29" s="330">
        <f ca="1">INDIRECT("'数据-取费表'!k"&amp;$G$1)</f>
        <v>16503.550000000127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712</v>
      </c>
      <c r="C30" s="302">
        <f ca="1">ROUND(C31+C36+C37+C38,0)</f>
        <v>180</v>
      </c>
      <c r="D30" s="1020" t="s">
        <v>713</v>
      </c>
      <c r="E30" s="1021"/>
      <c r="F30" s="1005"/>
      <c r="G30" s="1288"/>
      <c r="H30" s="2466"/>
      <c r="I30" s="1301"/>
      <c r="J30" s="1302"/>
      <c r="K30" s="121"/>
      <c r="L30" s="2467"/>
      <c r="M30" s="2468"/>
    </row>
    <row r="31" spans="1:37" ht="18" customHeight="1">
      <c r="A31" s="924" t="s">
        <v>398</v>
      </c>
      <c r="B31" s="294" t="s">
        <v>717</v>
      </c>
      <c r="C31" s="2136">
        <f ca="1">ROUND(IF(AND(项目基本情况!B11="自然人",项目基本情况!B10="北京市"),C6*F31/(1+'数据-取费表'!C42),C32+C33+C34),2)</f>
        <v>84.48</v>
      </c>
      <c r="D31" s="1253" t="s">
        <v>718</v>
      </c>
      <c r="E31" s="1252" t="s">
        <v>768</v>
      </c>
      <c r="F31" s="2135">
        <f ca="1">IF(项目基本情况!B11="企业","——",IF(M47="住宅",IF(F6*F7*F8/12/(1+'数据-取费表'!F30)&gt;100000,4%,2.5%),IF(F6*F7*F8/12/(1+'数据-取费表'!F30)&gt;100000,12%,7%)))</f>
        <v>0.12</v>
      </c>
      <c r="G31" s="1288"/>
      <c r="H31" s="2565" t="s">
        <v>2304</v>
      </c>
      <c r="I31" s="1301"/>
      <c r="J31" s="1302"/>
      <c r="K31" s="121"/>
      <c r="L31" s="2467"/>
      <c r="M31" s="2468"/>
    </row>
    <row r="32" spans="1:37" ht="18" customHeight="1">
      <c r="A32" s="924" t="s">
        <v>397</v>
      </c>
      <c r="B32" s="294" t="s">
        <v>721</v>
      </c>
      <c r="C32" s="21">
        <f ca="1">IF(项目基本情况!B11="自然人","——",ROUND(C6*F32/(1+'数据-取费表'!C42),2))</f>
        <v>26.88</v>
      </c>
      <c r="D32" s="1252" t="s">
        <v>722</v>
      </c>
      <c r="E32" s="294" t="s">
        <v>710</v>
      </c>
      <c r="F32" s="322">
        <f>'数据-取费表'!B41</f>
        <v>5.6000000000000001E-2</v>
      </c>
      <c r="G32" s="1288"/>
      <c r="H32" s="2466"/>
      <c r="I32" s="1301"/>
      <c r="J32" s="1302"/>
      <c r="K32" s="121"/>
      <c r="L32" s="2467"/>
      <c r="M32" s="2468"/>
    </row>
    <row r="33" spans="1:18" ht="18" customHeight="1">
      <c r="A33" s="924" t="s">
        <v>399</v>
      </c>
      <c r="B33" s="294" t="s">
        <v>725</v>
      </c>
      <c r="C33" s="21">
        <f ca="1">IF(项目基本情况!B11="自然人","——",IF(D33="按租金收入计税",ROUND(C6*F33/(1+'数据-取费表'!C42),2),IF(D33="按房产原值计税",ROUND(C29*F33*0.7,2),INDIRECT("'数据-取费表'!Aj"&amp;$G$1))))</f>
        <v>57.6</v>
      </c>
      <c r="D33" s="1274" t="s">
        <v>3333</v>
      </c>
      <c r="E33" s="294" t="s">
        <v>710</v>
      </c>
      <c r="F33" s="314">
        <f>IF(D33="按票据","——",IF(D33="按租金收入计税",'数据-取费表'!B51,'数据-取费表'!B50))</f>
        <v>0.12</v>
      </c>
      <c r="G33" s="1288"/>
      <c r="H33" s="2469"/>
      <c r="I33" s="1301"/>
      <c r="J33" s="1302"/>
      <c r="K33" s="2470"/>
      <c r="L33" s="2469"/>
      <c r="M33" s="2469"/>
    </row>
    <row r="34" spans="1:18" ht="18" customHeight="1">
      <c r="A34" s="1002" t="s">
        <v>678</v>
      </c>
      <c r="B34" s="147" t="s">
        <v>728</v>
      </c>
      <c r="C34" s="22">
        <f ca="1">IF(项目基本情况!B11="自然人","——",ROUND(F34*F35/10000,2))</f>
        <v>0</v>
      </c>
      <c r="D34" s="316" t="s">
        <v>729</v>
      </c>
      <c r="E34" s="294" t="s">
        <v>730</v>
      </c>
      <c r="F34" s="317">
        <f>'数据-取费表'!B52</f>
        <v>30</v>
      </c>
      <c r="G34" s="1288"/>
      <c r="H34" s="2466"/>
      <c r="I34" s="1301"/>
      <c r="J34" s="1302"/>
      <c r="K34" s="2471"/>
      <c r="L34" s="2472"/>
      <c r="M34" s="2472"/>
    </row>
    <row r="35" spans="1:18" ht="18" customHeight="1">
      <c r="A35" s="1036"/>
      <c r="B35" s="1034"/>
      <c r="C35" s="26"/>
      <c r="D35" s="319"/>
      <c r="E35" s="294" t="s">
        <v>734</v>
      </c>
      <c r="F35" s="295">
        <f ca="1">INDIRECT("'数据-取费表'!r"&amp;$G$1)</f>
        <v>0</v>
      </c>
      <c r="G35" s="1288"/>
      <c r="H35" s="2466"/>
      <c r="I35" s="1301"/>
      <c r="J35" s="1302"/>
      <c r="K35" s="2470"/>
      <c r="L35" s="2469"/>
      <c r="M35" s="2469"/>
    </row>
    <row r="36" spans="1:18" ht="18" customHeight="1">
      <c r="A36" s="1035" t="s">
        <v>402</v>
      </c>
      <c r="B36" s="294" t="s">
        <v>736</v>
      </c>
      <c r="C36" s="21">
        <f ca="1">ROUND(C29*F36,2)</f>
        <v>80.28</v>
      </c>
      <c r="D36" s="1252" t="s">
        <v>769</v>
      </c>
      <c r="E36" s="294" t="s">
        <v>710</v>
      </c>
      <c r="F36" s="320">
        <f ca="1">INDIRECT("'数据-取费表'!Ak"&amp;$G$1)</f>
        <v>5.0000000000000001E-3</v>
      </c>
      <c r="G36" s="1288"/>
      <c r="H36" s="2469"/>
      <c r="I36" s="1301"/>
      <c r="J36" s="1302"/>
      <c r="K36" s="2327"/>
      <c r="L36" s="2469"/>
      <c r="M36" s="2469"/>
    </row>
    <row r="37" spans="1:18" ht="18" customHeight="1">
      <c r="A37" s="924" t="s">
        <v>437</v>
      </c>
      <c r="B37" s="294" t="s">
        <v>740</v>
      </c>
      <c r="C37" s="21">
        <f ca="1">ROUND(C13*F37,2)</f>
        <v>12.52</v>
      </c>
      <c r="D37" s="1252" t="s">
        <v>741</v>
      </c>
      <c r="E37" s="294" t="s">
        <v>710</v>
      </c>
      <c r="F37" s="321">
        <f ca="1">INDIRECT("'数据-取费表'!Al"&amp;$G$1)</f>
        <v>1E-3</v>
      </c>
      <c r="G37" s="1288"/>
      <c r="H37" s="2469"/>
      <c r="I37" s="1301"/>
      <c r="J37" s="1302"/>
      <c r="K37" s="2327"/>
      <c r="L37" s="2469"/>
      <c r="M37" s="2469"/>
    </row>
    <row r="38" spans="1:18" ht="18" customHeight="1" thickBot="1">
      <c r="A38" s="1022" t="s">
        <v>681</v>
      </c>
      <c r="B38" s="1023" t="s">
        <v>726</v>
      </c>
      <c r="C38" s="1024">
        <f ca="1">ROUND(C5*F38,2)</f>
        <v>2.52</v>
      </c>
      <c r="D38" s="1025" t="s">
        <v>746</v>
      </c>
      <c r="E38" s="1023" t="s">
        <v>710</v>
      </c>
      <c r="F38" s="1019">
        <f ca="1">INDIRECT("'数据-取费表'!Am"&amp;$G$1)</f>
        <v>5.0000000000000001E-3</v>
      </c>
      <c r="G38" s="1288"/>
      <c r="H38" s="2469"/>
      <c r="I38" s="1301"/>
      <c r="J38" s="1302"/>
      <c r="K38" s="2467"/>
      <c r="L38" s="2469"/>
      <c r="M38" s="2469"/>
    </row>
    <row r="39" spans="1:18" ht="24.65" customHeight="1" thickTop="1">
      <c r="A39" s="1012" t="s">
        <v>394</v>
      </c>
      <c r="B39" s="1027" t="s">
        <v>750</v>
      </c>
      <c r="C39" s="302">
        <f ca="1">C5-C30</f>
        <v>324</v>
      </c>
      <c r="D39" s="1028" t="s">
        <v>751</v>
      </c>
      <c r="E39" s="1029"/>
      <c r="F39" s="1030"/>
      <c r="G39" s="1288"/>
      <c r="H39" s="2469">
        <f ca="1">C39/C6</f>
        <v>0.6428571428571429</v>
      </c>
      <c r="I39" s="1301"/>
      <c r="J39" s="1302"/>
      <c r="K39" s="2467"/>
      <c r="L39" s="2469"/>
      <c r="M39" s="2469"/>
    </row>
    <row r="40" spans="1:18" ht="18" customHeight="1">
      <c r="A40" s="291" t="s">
        <v>395</v>
      </c>
      <c r="B40" s="292" t="s">
        <v>772</v>
      </c>
      <c r="C40" s="293">
        <f ca="1">ROUND(C39*(1-((1+F42)/(1+F40))^F41)/(F40-F42),0)</f>
        <v>5912</v>
      </c>
      <c r="D40" s="316" t="s">
        <v>756</v>
      </c>
      <c r="E40" s="294" t="s">
        <v>757</v>
      </c>
      <c r="F40" s="304">
        <f ca="1">INDIRECT("'数据-取费表'!I"&amp;$G$1)</f>
        <v>0.05</v>
      </c>
      <c r="G40" s="1288"/>
      <c r="H40" s="1362"/>
      <c r="I40" s="1301"/>
      <c r="J40" s="1302"/>
      <c r="K40" s="2467"/>
      <c r="L40" s="1362"/>
      <c r="M40" s="1362"/>
    </row>
    <row r="41" spans="1:18" ht="18" customHeight="1">
      <c r="A41" s="296"/>
      <c r="B41" s="297"/>
      <c r="C41" s="298"/>
      <c r="D41" s="323" t="s">
        <v>773</v>
      </c>
      <c r="E41" s="294" t="s">
        <v>761</v>
      </c>
      <c r="F41" s="324">
        <f ca="1">IF(INDIRECT("'数据-取费表'!af"&amp;$G$1)=0,INDIRECT("'数据-取费表'!ae"&amp;$G$1),INDIRECT("'数据-取费表'!af"&amp;$G$1))</f>
        <v>27.35</v>
      </c>
      <c r="G41" s="1288"/>
      <c r="H41" s="121"/>
      <c r="I41" s="1301"/>
      <c r="J41" s="1302"/>
      <c r="K41" s="2327"/>
      <c r="L41" s="121"/>
      <c r="M41" s="121"/>
    </row>
    <row r="42" spans="1:18" ht="18" customHeight="1">
      <c r="A42" s="300"/>
      <c r="B42" s="301"/>
      <c r="C42" s="302"/>
      <c r="D42" s="319"/>
      <c r="E42" s="294" t="s">
        <v>764</v>
      </c>
      <c r="F42" s="304">
        <f ca="1">INDIRECT("'数据-取费表'!v"&amp;$G$1)</f>
        <v>0.02</v>
      </c>
      <c r="G42" s="1288"/>
      <c r="H42" s="121"/>
      <c r="I42" s="1301"/>
      <c r="J42" s="1302"/>
      <c r="K42" s="2327"/>
      <c r="L42" s="121"/>
      <c r="M42" s="121"/>
    </row>
    <row r="43" spans="1:18" ht="18" customHeight="1" thickBot="1">
      <c r="A43" s="325" t="s">
        <v>396</v>
      </c>
      <c r="B43" s="326" t="s">
        <v>774</v>
      </c>
      <c r="C43" s="327">
        <f ca="1">ROUND(C40*10000/F43,0)</f>
        <v>3582</v>
      </c>
      <c r="D43" s="328" t="s">
        <v>775</v>
      </c>
      <c r="E43" s="329" t="s">
        <v>776</v>
      </c>
      <c r="F43" s="330">
        <f ca="1">INDIRECT("'数据-取费表'!k"&amp;$G$1)</f>
        <v>16503.550000000127</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806</v>
      </c>
      <c r="P45" s="1362"/>
      <c r="Q45" s="1362"/>
      <c r="R45" s="1362"/>
    </row>
    <row r="46" spans="1:18" s="1288" customFormat="1" ht="14" thickBot="1">
      <c r="A46" s="1307" t="s">
        <v>807</v>
      </c>
      <c r="C46" s="1308">
        <f ca="1">C68-C40</f>
        <v>-7282</v>
      </c>
      <c r="D46" s="1309" t="str">
        <f>C2</f>
        <v>万元</v>
      </c>
      <c r="E46" s="1303"/>
      <c r="F46" s="1303"/>
      <c r="I46" s="1310" t="s">
        <v>808</v>
      </c>
      <c r="J46" s="1311"/>
      <c r="K46" s="1312"/>
      <c r="L46" s="1313">
        <f ca="1">IF(M47="住宅",0,IF(L48&gt;J51,L60,J60))</f>
        <v>888</v>
      </c>
      <c r="O46" s="1314" t="s">
        <v>809</v>
      </c>
      <c r="P46" s="1315" t="s">
        <v>810</v>
      </c>
      <c r="Q46" s="1316" t="s">
        <v>811</v>
      </c>
      <c r="R46" s="1316" t="s">
        <v>812</v>
      </c>
    </row>
    <row r="47" spans="1:18" s="1288" customFormat="1" ht="13.5" thickBot="1">
      <c r="A47" s="888" t="s">
        <v>685</v>
      </c>
      <c r="B47" s="920" t="s">
        <v>686</v>
      </c>
      <c r="C47" s="1050" t="s">
        <v>687</v>
      </c>
      <c r="D47" s="920" t="s">
        <v>688</v>
      </c>
      <c r="E47" s="991" t="s">
        <v>689</v>
      </c>
      <c r="F47" s="992"/>
      <c r="G47" s="681"/>
      <c r="I47" s="1317" t="s">
        <v>813</v>
      </c>
      <c r="J47" s="1318" t="s">
        <v>3427</v>
      </c>
      <c r="K47" s="1319" t="s">
        <v>814</v>
      </c>
      <c r="L47" s="1320">
        <f ca="1">INDIRECT("'数据-取费表'!d"&amp;$G$1)</f>
        <v>50</v>
      </c>
      <c r="M47" s="1284" t="str">
        <f>IF(ISNUMBER(FIND("住宅",C1)),"住宅","非住宅")</f>
        <v>非住宅</v>
      </c>
      <c r="O47" s="1321" t="s">
        <v>403</v>
      </c>
      <c r="P47" s="1322" t="s">
        <v>815</v>
      </c>
      <c r="Q47" s="1323">
        <f ca="1">C40+J29</f>
        <v>5912</v>
      </c>
      <c r="R47" s="1323" t="s">
        <v>816</v>
      </c>
    </row>
    <row r="48" spans="1:18" s="1288" customFormat="1" ht="43.5" thickBot="1">
      <c r="A48" s="1043" t="s">
        <v>438</v>
      </c>
      <c r="B48" s="292" t="s">
        <v>690</v>
      </c>
      <c r="C48" s="1264">
        <f ca="1">C49+C53+C55</f>
        <v>0</v>
      </c>
      <c r="D48" s="1045"/>
      <c r="E48" s="1046"/>
      <c r="F48" s="904"/>
      <c r="G48" s="681"/>
      <c r="H48" s="682"/>
      <c r="I48" s="1324" t="s">
        <v>817</v>
      </c>
      <c r="J48" s="1325" t="s">
        <v>3428</v>
      </c>
      <c r="K48" s="1326" t="s">
        <v>818</v>
      </c>
      <c r="L48" s="1327">
        <f ca="1">INDIRECT("'数据-取费表'!f"&amp;$G$1)</f>
        <v>27.35</v>
      </c>
      <c r="O48" s="1321" t="s">
        <v>404</v>
      </c>
      <c r="P48" s="1322" t="s">
        <v>819</v>
      </c>
      <c r="Q48" s="1323">
        <f ca="1">J60</f>
        <v>888</v>
      </c>
      <c r="R48" s="1323" t="s">
        <v>820</v>
      </c>
    </row>
    <row r="49" spans="1:18" s="1288" customFormat="1" ht="13.5" thickBot="1">
      <c r="A49" s="917" t="s">
        <v>439</v>
      </c>
      <c r="B49" s="1275" t="s">
        <v>777</v>
      </c>
      <c r="C49" s="1047">
        <f ca="1">ROUND(F49*F51*F50*(1-F52)/10000,0)</f>
        <v>0</v>
      </c>
      <c r="D49" s="988" t="s">
        <v>2106</v>
      </c>
      <c r="E49" s="1276" t="s">
        <v>778</v>
      </c>
      <c r="F49" s="993"/>
      <c r="H49" s="682"/>
      <c r="I49" s="1324" t="s">
        <v>821</v>
      </c>
      <c r="J49" s="1328">
        <f>取值过程!C16</f>
        <v>2011</v>
      </c>
      <c r="K49" s="1326" t="s">
        <v>822</v>
      </c>
      <c r="L49" s="1329"/>
      <c r="O49" s="1330" t="s">
        <v>405</v>
      </c>
      <c r="P49" s="1322" t="s">
        <v>823</v>
      </c>
      <c r="Q49" s="1323">
        <f ca="1">C29</f>
        <v>16055</v>
      </c>
      <c r="R49" s="1323" t="s">
        <v>816</v>
      </c>
    </row>
    <row r="50" spans="1:18" s="1288" customFormat="1" ht="13.5" thickBot="1">
      <c r="A50" s="918"/>
      <c r="B50" s="921"/>
      <c r="C50" s="1051"/>
      <c r="D50" s="895"/>
      <c r="E50" s="989" t="s">
        <v>695</v>
      </c>
      <c r="F50" s="990">
        <f ca="1">F7</f>
        <v>311</v>
      </c>
      <c r="H50" s="682"/>
      <c r="I50" s="1324" t="s">
        <v>824</v>
      </c>
      <c r="J50" s="1331">
        <f>SUMPRODUCT((I63:I65=J47)*(J62:L62=J48)*(J63:L65))</f>
        <v>60</v>
      </c>
      <c r="K50" s="1326" t="s">
        <v>825</v>
      </c>
      <c r="L50" s="1329"/>
      <c r="M50" s="1332"/>
      <c r="O50" s="1330" t="s">
        <v>406</v>
      </c>
      <c r="P50" s="1322" t="s">
        <v>826</v>
      </c>
      <c r="Q50" s="1333">
        <f ca="1">J58</f>
        <v>0.4</v>
      </c>
      <c r="R50" s="1323"/>
    </row>
    <row r="51" spans="1:18" s="1288" customFormat="1" ht="13.5" thickBot="1">
      <c r="A51" s="919"/>
      <c r="B51" s="921"/>
      <c r="C51" s="922"/>
      <c r="D51" s="895"/>
      <c r="E51" s="923" t="s">
        <v>696</v>
      </c>
      <c r="F51" s="295">
        <f ca="1">F8</f>
        <v>12</v>
      </c>
      <c r="I51" s="1334" t="s">
        <v>827</v>
      </c>
      <c r="J51" s="1327">
        <f>IF(J49="",J50,J49+J50-YEAR('数据-取费表'!B2))</f>
        <v>47</v>
      </c>
      <c r="K51" s="1335" t="s">
        <v>828</v>
      </c>
      <c r="L51" s="1336">
        <f ca="1">ROUND(-PV(INDIRECT("'数据-取费表'!h"&amp;$G$1),J51,(C39-C13*C76),0),0)</f>
        <v>-10729</v>
      </c>
      <c r="M51" s="1337"/>
      <c r="O51" s="1330" t="s">
        <v>407</v>
      </c>
      <c r="P51" s="1322" t="s">
        <v>829</v>
      </c>
      <c r="Q51" s="1333">
        <f>J52</f>
        <v>7.4999999999999997E-2</v>
      </c>
      <c r="R51" s="1323"/>
    </row>
    <row r="52" spans="1:18" s="1288" customFormat="1" ht="13.5" thickBot="1">
      <c r="A52" s="919"/>
      <c r="B52" s="921"/>
      <c r="C52" s="922"/>
      <c r="D52" s="895"/>
      <c r="E52" s="923" t="s">
        <v>697</v>
      </c>
      <c r="F52" s="987"/>
      <c r="I52" s="1338" t="s">
        <v>830</v>
      </c>
      <c r="J52" s="1339">
        <v>7.4999999999999997E-2</v>
      </c>
      <c r="K52" s="1338" t="s">
        <v>831</v>
      </c>
      <c r="L52" s="1339"/>
      <c r="O52" s="1330" t="s">
        <v>408</v>
      </c>
      <c r="P52" s="1322" t="s">
        <v>832</v>
      </c>
      <c r="Q52" s="1323">
        <f ca="1">J53</f>
        <v>27.35</v>
      </c>
      <c r="R52" s="1323" t="s">
        <v>833</v>
      </c>
    </row>
    <row r="53" spans="1:18" s="1288" customFormat="1" ht="26.5" thickBot="1">
      <c r="A53" s="1075" t="s">
        <v>440</v>
      </c>
      <c r="B53" s="1277" t="s">
        <v>698</v>
      </c>
      <c r="C53" s="308">
        <f ca="1">ROUND(IF(F53="押一",C49/12*F11,IF(F53="押二",C49/12*2*F11,IF(F53="押三",C49/12*3*F11,C54*F11))),0)</f>
        <v>0</v>
      </c>
      <c r="D53" s="150" t="s">
        <v>2114</v>
      </c>
      <c r="E53" s="305" t="s">
        <v>699</v>
      </c>
      <c r="F53" s="1049"/>
      <c r="I53" s="1340" t="s">
        <v>834</v>
      </c>
      <c r="J53" s="2002">
        <f ca="1">IF(M47="住宅",IF(D1="——",MAX(J51,L48),MAX(J51,L48-'数据-取费表'!B24)),IF(D1="——",MIN(J51,L48),MIN(J51,L48-'数据-取费表'!B24)))</f>
        <v>27.35</v>
      </c>
      <c r="K53" s="3405" t="s">
        <v>835</v>
      </c>
      <c r="L53" s="3406"/>
      <c r="O53" s="1321" t="s">
        <v>409</v>
      </c>
      <c r="P53" s="1322" t="s">
        <v>836</v>
      </c>
      <c r="Q53" s="1323">
        <f ca="1">Q47+Q48</f>
        <v>6800</v>
      </c>
      <c r="R53" s="1323" t="s">
        <v>410</v>
      </c>
    </row>
    <row r="54" spans="1:18" s="1288" customFormat="1" ht="26.5" thickBot="1">
      <c r="A54" s="1076"/>
      <c r="B54" s="1271" t="s">
        <v>677</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6" t="s">
        <v>437</v>
      </c>
      <c r="B55" s="1273" t="s">
        <v>701</v>
      </c>
      <c r="C55" s="1017"/>
      <c r="D55" s="150"/>
      <c r="E55" s="1278"/>
      <c r="F55" s="1341"/>
      <c r="I55" s="1344" t="s">
        <v>838</v>
      </c>
      <c r="J55" s="1345">
        <f ca="1">ROUND(IF(J47="钢混",J57/J50,1-(1-2%)*(J50-J57)/J50),3)</f>
        <v>0.32800000000000001</v>
      </c>
      <c r="K55" s="1346" t="s">
        <v>839</v>
      </c>
      <c r="L55" s="1347"/>
      <c r="O55" s="1314" t="s">
        <v>809</v>
      </c>
      <c r="P55" s="1315" t="s">
        <v>810</v>
      </c>
      <c r="Q55" s="1316" t="s">
        <v>811</v>
      </c>
      <c r="R55" s="1316" t="s">
        <v>812</v>
      </c>
    </row>
    <row r="56" spans="1:18" s="1288" customFormat="1" ht="40" thickTop="1" thickBot="1">
      <c r="A56" s="899">
        <v>2</v>
      </c>
      <c r="B56" s="900" t="s">
        <v>702</v>
      </c>
      <c r="C56" s="224">
        <f ca="1">C13</f>
        <v>12523</v>
      </c>
      <c r="D56" s="1348"/>
      <c r="E56" s="1349"/>
      <c r="F56" s="1341"/>
      <c r="I56" s="1350" t="s">
        <v>840</v>
      </c>
      <c r="J56" s="1351" t="s">
        <v>3409</v>
      </c>
      <c r="K56" s="1324" t="s">
        <v>841</v>
      </c>
      <c r="L56" s="1327" t="str">
        <f ca="1">IF(L48&lt;J51,"——",L48-J53)</f>
        <v>——</v>
      </c>
      <c r="O56" s="1321" t="s">
        <v>403</v>
      </c>
      <c r="P56" s="1322" t="s">
        <v>815</v>
      </c>
      <c r="Q56" s="1323">
        <f ca="1">C40+J29</f>
        <v>5912</v>
      </c>
      <c r="R56" s="1323" t="s">
        <v>816</v>
      </c>
    </row>
    <row r="57" spans="1:18" s="1288" customFormat="1" ht="26.5" thickBot="1">
      <c r="A57" s="1352"/>
      <c r="B57" s="892" t="s">
        <v>765</v>
      </c>
      <c r="C57" s="230">
        <f ca="1">C29</f>
        <v>16055</v>
      </c>
      <c r="D57" s="1353"/>
      <c r="E57" s="1354"/>
      <c r="F57" s="1355"/>
      <c r="I57" s="1356" t="s">
        <v>842</v>
      </c>
      <c r="J57" s="1357">
        <f ca="1">IF(OR(M47="住宅",J51&lt;L48,J56="是"),"——",J51-L48)</f>
        <v>19.649999999999999</v>
      </c>
      <c r="K57" s="1324" t="s">
        <v>843</v>
      </c>
      <c r="L57" s="1327" t="str">
        <f ca="1">IF(L48&lt;J51,"——",IF(L55="比较法",L49,IF(L55="基准地价",L50,L51)))</f>
        <v>——</v>
      </c>
      <c r="O57" s="1321" t="s">
        <v>404</v>
      </c>
      <c r="P57" s="1322" t="s">
        <v>844</v>
      </c>
      <c r="Q57" s="1323">
        <f ca="1">L60</f>
        <v>0</v>
      </c>
      <c r="R57" s="1323" t="s">
        <v>845</v>
      </c>
    </row>
    <row r="58" spans="1:18" s="1288" customFormat="1" ht="26.5" thickBot="1">
      <c r="A58" s="307" t="s">
        <v>393</v>
      </c>
      <c r="B58" s="900" t="s">
        <v>712</v>
      </c>
      <c r="C58" s="308">
        <f ca="1">ROUND(C59+C64+C65+C66,0)</f>
        <v>93</v>
      </c>
      <c r="D58" s="902" t="s">
        <v>713</v>
      </c>
      <c r="E58" s="903"/>
      <c r="F58" s="904"/>
      <c r="I58" s="1356" t="s">
        <v>846</v>
      </c>
      <c r="J58" s="1358">
        <f ca="1">IF(J55&lt;0.4,0.4,J55)</f>
        <v>0.4</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6.5" thickBot="1">
      <c r="A59" s="924" t="s">
        <v>398</v>
      </c>
      <c r="B59" s="892" t="s">
        <v>717</v>
      </c>
      <c r="C59" s="2136">
        <f ca="1">ROUND(IF(AND(项目基本情况!B11="自然人",项目基本情况!B10="北京市"),C49*F59/(1+'数据-取费表'!C42),C60+C61+C62),0)</f>
        <v>0</v>
      </c>
      <c r="D59" s="905" t="s">
        <v>718</v>
      </c>
      <c r="E59" s="906" t="s">
        <v>719</v>
      </c>
      <c r="F59" s="2135">
        <f ca="1">IF(项目基本情况!B11="企业","——",IF('数据-取费表'!B10="住宅",IF(F49*F50*F51/12/(1+'数据-取费表'!F30)&gt;100000,4%,2.5%),IF(F49*F50*F51/12/(1+'数据-取费表'!F30)&gt;100000,12%,7%)))</f>
        <v>7.0000000000000007E-2</v>
      </c>
      <c r="I59" s="1356" t="s">
        <v>849</v>
      </c>
      <c r="J59" s="1357">
        <f ca="1">IF(OR(M47="住宅",J51&lt;L48,J56="是"),"——",ROUND(C29*J58,0))</f>
        <v>6422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 thickBot="1">
      <c r="A60" s="924" t="s">
        <v>397</v>
      </c>
      <c r="B60" s="892" t="s">
        <v>721</v>
      </c>
      <c r="C60" s="21">
        <f ca="1">IF(项目基本情况!B11="自然人","——",ROUND(C48*F60/(1+'数据-取费表'!C42),2))</f>
        <v>0</v>
      </c>
      <c r="D60" s="906" t="s">
        <v>722</v>
      </c>
      <c r="E60" s="892" t="s">
        <v>710</v>
      </c>
      <c r="F60" s="322">
        <f t="shared" ref="F60:F66" si="0">F32</f>
        <v>5.6000000000000001E-2</v>
      </c>
      <c r="I60" s="1359" t="s">
        <v>851</v>
      </c>
      <c r="J60" s="1360">
        <f ca="1">IF(OR(M47="住宅",J51&lt;L48,J56="是"),"0",ROUND(J59/(1+J52)^J53,0))</f>
        <v>888</v>
      </c>
      <c r="K60" s="1361" t="s">
        <v>852</v>
      </c>
      <c r="L60" s="1360">
        <f ca="1">IF(OR(M47="住宅",L48&lt;J51),0,ROUND(L57*(L58/L59-1),0))</f>
        <v>0</v>
      </c>
      <c r="O60" s="1330" t="s">
        <v>407</v>
      </c>
      <c r="P60" s="1322" t="s">
        <v>853</v>
      </c>
      <c r="Q60" s="1323" t="e">
        <f ca="1">L58</f>
        <v>#DIV/0!</v>
      </c>
      <c r="R60" s="1323" t="s">
        <v>854</v>
      </c>
    </row>
    <row r="61" spans="1:18" s="1288" customFormat="1" ht="13.5" thickBot="1">
      <c r="A61" s="924" t="s">
        <v>779</v>
      </c>
      <c r="B61" s="892" t="s">
        <v>725</v>
      </c>
      <c r="C61" s="21">
        <f ca="1">IF(项目基本情况!B11="自然人","——",IF(D61="按租金收入计税",ROUND(C49*F61/(1+'数据-取费表'!C42),2),IF(D61="按房产原值计税",ROUND(C57*F61*0.7,2),INDIRECT("'数据-取费表'!Aj"&amp;$G$1))))</f>
        <v>0</v>
      </c>
      <c r="D61" s="1274" t="s">
        <v>3333</v>
      </c>
      <c r="E61" s="892" t="s">
        <v>710</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4" t="s">
        <v>782</v>
      </c>
      <c r="B62" s="891" t="s">
        <v>728</v>
      </c>
      <c r="C62" s="22">
        <f ca="1">IF(项目基本情况!B11="自然人","——",ROUND(F62*F63/10000,2))</f>
        <v>0</v>
      </c>
      <c r="D62" s="907" t="s">
        <v>729</v>
      </c>
      <c r="E62" s="892" t="s">
        <v>730</v>
      </c>
      <c r="F62" s="317">
        <f t="shared" si="0"/>
        <v>30</v>
      </c>
      <c r="I62" s="1363" t="s">
        <v>856</v>
      </c>
      <c r="J62" s="610" t="s">
        <v>857</v>
      </c>
      <c r="K62" s="610" t="s">
        <v>858</v>
      </c>
      <c r="L62" s="610" t="s">
        <v>859</v>
      </c>
      <c r="M62" s="1364" t="s">
        <v>860</v>
      </c>
      <c r="O62" s="1321" t="s">
        <v>409</v>
      </c>
      <c r="P62" s="1322" t="s">
        <v>836</v>
      </c>
      <c r="Q62" s="1323">
        <f ca="1">Q56+Q57</f>
        <v>5912</v>
      </c>
      <c r="R62" s="1323" t="s">
        <v>410</v>
      </c>
    </row>
    <row r="63" spans="1:18" s="1288" customFormat="1" ht="13.5" thickBot="1">
      <c r="A63" s="318"/>
      <c r="B63" s="898"/>
      <c r="C63" s="26"/>
      <c r="D63" s="908"/>
      <c r="E63" s="892" t="s">
        <v>734</v>
      </c>
      <c r="F63" s="295">
        <f t="shared" ca="1" si="0"/>
        <v>0</v>
      </c>
      <c r="I63" s="1363" t="s">
        <v>862</v>
      </c>
      <c r="J63" s="610">
        <v>70</v>
      </c>
      <c r="K63" s="610">
        <v>50</v>
      </c>
      <c r="L63" s="610">
        <v>80</v>
      </c>
      <c r="M63" s="1365">
        <v>0.02</v>
      </c>
      <c r="O63" s="1306" t="s">
        <v>863</v>
      </c>
      <c r="P63" s="1285"/>
      <c r="Q63" s="1285"/>
      <c r="R63" s="1285"/>
    </row>
    <row r="64" spans="1:18" s="1288" customFormat="1" ht="13.5" thickBot="1">
      <c r="A64" s="924" t="s">
        <v>402</v>
      </c>
      <c r="B64" s="892" t="s">
        <v>736</v>
      </c>
      <c r="C64" s="21">
        <f ca="1">ROUND(C57*F64,2)</f>
        <v>80.28</v>
      </c>
      <c r="D64" s="906" t="s">
        <v>769</v>
      </c>
      <c r="E64" s="892" t="s">
        <v>710</v>
      </c>
      <c r="F64" s="320">
        <f t="shared" ca="1" si="0"/>
        <v>5.0000000000000001E-3</v>
      </c>
      <c r="I64" s="1363" t="s">
        <v>864</v>
      </c>
      <c r="J64" s="610">
        <v>50</v>
      </c>
      <c r="K64" s="610">
        <v>35</v>
      </c>
      <c r="L64" s="610">
        <v>60</v>
      </c>
      <c r="M64" s="1364">
        <v>0</v>
      </c>
      <c r="O64" s="1314" t="s">
        <v>809</v>
      </c>
      <c r="P64" s="1315" t="s">
        <v>810</v>
      </c>
      <c r="Q64" s="1316" t="s">
        <v>811</v>
      </c>
      <c r="R64" s="1316" t="s">
        <v>812</v>
      </c>
    </row>
    <row r="65" spans="1:18" s="1288" customFormat="1" ht="13.5" thickBot="1">
      <c r="A65" s="924" t="s">
        <v>790</v>
      </c>
      <c r="B65" s="892" t="s">
        <v>740</v>
      </c>
      <c r="C65" s="21">
        <f ca="1">ROUND(C56*F65,2)</f>
        <v>12.52</v>
      </c>
      <c r="D65" s="906" t="s">
        <v>741</v>
      </c>
      <c r="E65" s="892" t="s">
        <v>710</v>
      </c>
      <c r="F65" s="321">
        <f t="shared" ca="1" si="0"/>
        <v>1E-3</v>
      </c>
      <c r="I65" s="1363" t="s">
        <v>865</v>
      </c>
      <c r="J65" s="610">
        <v>40</v>
      </c>
      <c r="K65" s="610">
        <v>30</v>
      </c>
      <c r="L65" s="610">
        <v>50</v>
      </c>
      <c r="M65" s="1365">
        <v>0.02</v>
      </c>
      <c r="O65" s="1321" t="s">
        <v>403</v>
      </c>
      <c r="P65" s="1322" t="s">
        <v>815</v>
      </c>
      <c r="Q65" s="1323">
        <f ca="1">C40+J29</f>
        <v>5912</v>
      </c>
      <c r="R65" s="1323" t="s">
        <v>816</v>
      </c>
    </row>
    <row r="66" spans="1:18" s="1288" customFormat="1" ht="16" thickBot="1">
      <c r="A66" s="924" t="s">
        <v>791</v>
      </c>
      <c r="B66" s="892" t="s">
        <v>726</v>
      </c>
      <c r="C66" s="21">
        <f ca="1">ROUND(C48*F66,2)</f>
        <v>0</v>
      </c>
      <c r="D66" s="906" t="s">
        <v>746</v>
      </c>
      <c r="E66" s="892" t="s">
        <v>710</v>
      </c>
      <c r="F66" s="304">
        <f t="shared" ca="1" si="0"/>
        <v>5.0000000000000001E-3</v>
      </c>
      <c r="O66" s="1321" t="s">
        <v>404</v>
      </c>
      <c r="P66" s="1322" t="s">
        <v>844</v>
      </c>
      <c r="Q66" s="1323">
        <f ca="1">L60</f>
        <v>0</v>
      </c>
      <c r="R66" s="1323" t="s">
        <v>867</v>
      </c>
    </row>
    <row r="67" spans="1:18" s="1288" customFormat="1" ht="26.5" thickBot="1">
      <c r="A67" s="899" t="s">
        <v>394</v>
      </c>
      <c r="B67" s="909" t="s">
        <v>750</v>
      </c>
      <c r="C67" s="308">
        <f ca="1">C48-C58</f>
        <v>-93</v>
      </c>
      <c r="D67" s="905" t="s">
        <v>751</v>
      </c>
      <c r="E67" s="910"/>
      <c r="F67" s="911"/>
      <c r="O67" s="1330" t="s">
        <v>405</v>
      </c>
      <c r="P67" s="1322" t="s">
        <v>848</v>
      </c>
      <c r="Q67" s="1366">
        <f ca="1">L51</f>
        <v>-10729</v>
      </c>
      <c r="R67" s="1323" t="s">
        <v>868</v>
      </c>
    </row>
    <row r="68" spans="1:18" s="1288" customFormat="1" ht="16" thickBot="1">
      <c r="A68" s="889" t="s">
        <v>395</v>
      </c>
      <c r="B68" s="890" t="s">
        <v>772</v>
      </c>
      <c r="C68" s="293">
        <f ca="1">ROUND(C67*(1-((1+F70)/(1+F68))^F69)/(F68-F70),0)</f>
        <v>-1370</v>
      </c>
      <c r="D68" s="907" t="s">
        <v>756</v>
      </c>
      <c r="E68" s="892" t="s">
        <v>757</v>
      </c>
      <c r="F68" s="304">
        <f ca="1">F40</f>
        <v>0.05</v>
      </c>
      <c r="O68" s="1330" t="s">
        <v>406</v>
      </c>
      <c r="P68" s="1367" t="s">
        <v>869</v>
      </c>
      <c r="Q68" s="1323">
        <f ca="1">ROUND(Q69-Q70*Q71,0)</f>
        <v>-553</v>
      </c>
      <c r="R68" s="1323" t="s">
        <v>414</v>
      </c>
    </row>
    <row r="69" spans="1:18" s="1288" customFormat="1" ht="13.5" thickBot="1">
      <c r="A69" s="893"/>
      <c r="B69" s="894"/>
      <c r="C69" s="298"/>
      <c r="D69" s="912" t="s">
        <v>760</v>
      </c>
      <c r="E69" s="892" t="s">
        <v>761</v>
      </c>
      <c r="F69" s="324">
        <f ca="1">F41</f>
        <v>27.35</v>
      </c>
      <c r="O69" s="1330" t="s">
        <v>411</v>
      </c>
      <c r="P69" s="1367" t="s">
        <v>870</v>
      </c>
      <c r="Q69" s="1323">
        <f ca="1">C39</f>
        <v>324</v>
      </c>
      <c r="R69" s="1323" t="s">
        <v>816</v>
      </c>
    </row>
    <row r="70" spans="1:18" s="1288" customFormat="1" ht="13.5" thickBot="1">
      <c r="A70" s="896"/>
      <c r="B70" s="897"/>
      <c r="C70" s="302"/>
      <c r="D70" s="908"/>
      <c r="E70" s="892" t="s">
        <v>764</v>
      </c>
      <c r="F70" s="987"/>
      <c r="O70" s="1330" t="s">
        <v>412</v>
      </c>
      <c r="P70" s="1367" t="s">
        <v>871</v>
      </c>
      <c r="Q70" s="1323">
        <f ca="1">C13</f>
        <v>12523</v>
      </c>
      <c r="R70" s="1323" t="s">
        <v>816</v>
      </c>
    </row>
    <row r="71" spans="1:18" s="1288" customFormat="1" ht="13.5" thickBot="1">
      <c r="A71" s="913" t="s">
        <v>396</v>
      </c>
      <c r="B71" s="914" t="s">
        <v>774</v>
      </c>
      <c r="C71" s="327">
        <f ca="1">ROUND(C68*10000/F71,0)</f>
        <v>-830</v>
      </c>
      <c r="D71" s="915" t="s">
        <v>775</v>
      </c>
      <c r="E71" s="916" t="s">
        <v>776</v>
      </c>
      <c r="F71" s="330">
        <f ca="1">F43</f>
        <v>16503.550000000127</v>
      </c>
      <c r="O71" s="1330" t="s">
        <v>413</v>
      </c>
      <c r="P71" s="1367" t="s">
        <v>872</v>
      </c>
      <c r="Q71" s="1333">
        <f ca="1">C76</f>
        <v>7.0000000000000007E-2</v>
      </c>
      <c r="R71" s="1323"/>
    </row>
    <row r="72" spans="1:18" s="1288" customFormat="1" ht="13.5" thickBot="1">
      <c r="B72" s="685"/>
      <c r="C72" s="685"/>
      <c r="O72" s="1330" t="s">
        <v>407</v>
      </c>
      <c r="P72" s="1322" t="s">
        <v>850</v>
      </c>
      <c r="Q72" s="1333">
        <f>L52</f>
        <v>0</v>
      </c>
      <c r="R72" s="1323"/>
    </row>
    <row r="73" spans="1:18" ht="16" thickBot="1">
      <c r="A73" s="1288"/>
      <c r="B73" s="685"/>
      <c r="C73" s="685"/>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877</v>
      </c>
      <c r="D75" s="1288"/>
      <c r="E75" s="1288"/>
      <c r="F75" s="1288"/>
      <c r="K75" s="1305"/>
      <c r="L75" s="1288"/>
      <c r="O75" s="1321" t="s">
        <v>409</v>
      </c>
      <c r="P75" s="1322" t="s">
        <v>836</v>
      </c>
      <c r="Q75" s="1323">
        <f ca="1">Q65+Q66</f>
        <v>5912</v>
      </c>
      <c r="R75" s="1323" t="s">
        <v>410</v>
      </c>
    </row>
    <row r="76" spans="1:18" ht="13">
      <c r="B76" s="333" t="s">
        <v>794</v>
      </c>
      <c r="C76" s="334">
        <f ca="1">INDIRECT("'数据-取费表'!j"&amp;$G$1)</f>
        <v>7.0000000000000007E-2</v>
      </c>
      <c r="I76" s="1288"/>
      <c r="J76" s="1288"/>
      <c r="K76" s="1305"/>
      <c r="L76" s="1288"/>
    </row>
    <row r="77" spans="1:18" ht="13.5">
      <c r="B77" s="335" t="s">
        <v>795</v>
      </c>
      <c r="C77" s="336"/>
      <c r="I77" s="1288"/>
      <c r="J77" s="1288"/>
      <c r="K77" s="1305"/>
      <c r="L77" s="1288"/>
    </row>
    <row r="78" spans="1:18" ht="13.5">
      <c r="B78" s="262" t="s">
        <v>796</v>
      </c>
      <c r="C78" s="337"/>
    </row>
    <row r="79" spans="1:18" ht="13">
      <c r="B79" s="331" t="s">
        <v>797</v>
      </c>
      <c r="C79" s="266">
        <f ca="1">1-C80</f>
        <v>-1.7069999999999999</v>
      </c>
    </row>
    <row r="80" spans="1:18" ht="13">
      <c r="B80" s="331" t="s">
        <v>798</v>
      </c>
      <c r="C80" s="266">
        <f ca="1">ROUND(C75/C39,3)</f>
        <v>2.7069999999999999</v>
      </c>
    </row>
    <row r="81" spans="2:3" ht="13.5">
      <c r="B81" s="262" t="s">
        <v>799</v>
      </c>
      <c r="C81" s="230"/>
    </row>
    <row r="82" spans="2:3" ht="13">
      <c r="B82" s="265" t="s">
        <v>800</v>
      </c>
      <c r="C82" s="267">
        <f ca="1">1-C83</f>
        <v>-1.1179999999999999</v>
      </c>
    </row>
    <row r="83" spans="2:3" ht="13">
      <c r="B83" s="265" t="s">
        <v>801</v>
      </c>
      <c r="C83" s="266">
        <f ca="1">ROUND(C13/C40,3)</f>
        <v>2.1179999999999999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估价范围判定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17" sqref="A17:XFD17"/>
    </sheetView>
  </sheetViews>
  <sheetFormatPr defaultColWidth="8.90625" defaultRowHeight="12"/>
  <cols>
    <col min="1" max="1" width="9.6328125" style="2778" customWidth="1"/>
    <col min="2" max="2" width="18.6328125" style="2778" customWidth="1"/>
    <col min="3" max="6" width="10.26953125" style="2778" customWidth="1"/>
    <col min="7" max="7" width="10.453125" style="2778" bestFit="1" customWidth="1"/>
    <col min="8" max="8" width="8.90625" style="2777"/>
    <col min="9" max="9" width="13.36328125" style="2777" customWidth="1"/>
    <col min="10" max="13" width="13.36328125" style="2778" customWidth="1"/>
    <col min="14" max="14" width="18.26953125" style="2778" customWidth="1"/>
    <col min="15" max="17" width="15.08984375" style="2778" customWidth="1"/>
    <col min="18" max="20" width="11.453125" style="2778" customWidth="1"/>
    <col min="21" max="16384" width="8.90625" style="2778"/>
  </cols>
  <sheetData>
    <row r="1" spans="1:20" ht="12.5" thickBot="1">
      <c r="A1" s="3518" t="s">
        <v>2837</v>
      </c>
      <c r="B1" s="3518"/>
      <c r="C1" s="3518"/>
      <c r="D1" s="3518"/>
      <c r="E1" s="3518"/>
      <c r="F1" s="3518"/>
      <c r="G1" s="3519"/>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2.5"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516"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2.5" thickBot="1">
      <c r="A4" s="3517"/>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2.5"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2.5"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2.5"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2.5"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2.5"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2.5"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90625" defaultRowHeight="14"/>
  <cols>
    <col min="1" max="1" width="12.6328125" style="2963" customWidth="1"/>
    <col min="2" max="2" width="20" style="2963" customWidth="1"/>
    <col min="3" max="7" width="8.90625" style="2963"/>
    <col min="8" max="16384" width="8.90625" style="2809"/>
  </cols>
  <sheetData>
    <row r="1" spans="1:7">
      <c r="A1" s="3520" t="s">
        <v>3179</v>
      </c>
      <c r="B1" s="3520"/>
    </row>
    <row r="2" spans="1:7" ht="14.5" thickBot="1">
      <c r="A2" s="2964"/>
      <c r="B2" s="2964"/>
    </row>
    <row r="3" spans="1:7" ht="14.5" thickBot="1">
      <c r="A3" s="2964"/>
      <c r="B3" s="2964"/>
      <c r="C3" s="2965" t="s">
        <v>2809</v>
      </c>
      <c r="D3" s="2965" t="s">
        <v>2865</v>
      </c>
      <c r="E3" s="2965" t="s">
        <v>2811</v>
      </c>
      <c r="F3" s="2965" t="s">
        <v>2866</v>
      </c>
      <c r="G3" s="2965" t="s">
        <v>2629</v>
      </c>
    </row>
    <row r="4" spans="1:7" ht="14.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4.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4.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4.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4.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4.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4.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4.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4.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4.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4.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6953125" defaultRowHeight="14"/>
  <cols>
    <col min="1" max="16384" width="13.26953125" style="2809"/>
  </cols>
  <sheetData>
    <row r="1" spans="1:6">
      <c r="A1" s="3521" t="s">
        <v>3230</v>
      </c>
      <c r="B1" s="3521"/>
      <c r="C1" s="3521"/>
      <c r="D1" s="3521"/>
      <c r="E1" s="3521"/>
      <c r="F1" s="3522"/>
    </row>
    <row r="2" spans="1:6">
      <c r="A2" s="2998" t="s">
        <v>3231</v>
      </c>
    </row>
    <row r="3" spans="1:6">
      <c r="A3" s="2998" t="s">
        <v>3232</v>
      </c>
      <c r="F3" s="2999" t="s">
        <v>3233</v>
      </c>
    </row>
    <row r="4" spans="1:6">
      <c r="A4" s="3000" t="s">
        <v>670</v>
      </c>
      <c r="B4" s="3000" t="s">
        <v>671</v>
      </c>
      <c r="C4" s="3000" t="s">
        <v>21</v>
      </c>
      <c r="D4" s="3000" t="s">
        <v>672</v>
      </c>
      <c r="E4" s="3000" t="s">
        <v>3</v>
      </c>
      <c r="F4" s="3000" t="s">
        <v>3234</v>
      </c>
    </row>
    <row r="5" spans="1:6">
      <c r="A5" s="3001" t="s">
        <v>673</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4"/>
  <sheetViews>
    <sheetView zoomScale="80" zoomScaleNormal="80" workbookViewId="0">
      <selection activeCell="G51" sqref="G51"/>
    </sheetView>
  </sheetViews>
  <sheetFormatPr defaultRowHeight="14"/>
  <cols>
    <col min="1" max="1" width="13.90625" customWidth="1"/>
    <col min="11" max="17" width="0" hidden="1" customWidth="1"/>
    <col min="25" max="30" width="0" hidden="1" customWidth="1"/>
  </cols>
  <sheetData>
    <row r="1" spans="1:30">
      <c r="A1" s="2933">
        <f>基准地价修正!G23</f>
        <v>45478</v>
      </c>
      <c r="B1" s="2925" t="s">
        <v>3368</v>
      </c>
      <c r="C1" s="2926"/>
      <c r="D1" s="2926"/>
      <c r="E1" s="2926"/>
      <c r="F1" s="2926"/>
      <c r="G1" s="2926"/>
      <c r="H1" s="2926"/>
      <c r="I1" s="2926"/>
      <c r="J1" s="2892"/>
      <c r="K1" s="2926" t="s">
        <v>454</v>
      </c>
      <c r="L1" s="2926"/>
      <c r="M1" s="2926"/>
      <c r="N1" s="2926"/>
      <c r="O1" s="2926"/>
      <c r="P1" s="2926"/>
      <c r="Q1" s="2892"/>
      <c r="R1" s="3523" t="s">
        <v>456</v>
      </c>
      <c r="S1" s="3524"/>
      <c r="T1" s="3524"/>
      <c r="U1" s="3524"/>
      <c r="V1" s="3524"/>
      <c r="W1" s="3524"/>
      <c r="X1" s="2892"/>
      <c r="Y1" s="3523" t="s">
        <v>457</v>
      </c>
      <c r="Z1" s="3524"/>
      <c r="AA1" s="3524"/>
      <c r="AB1" s="3524"/>
      <c r="AC1" s="3524"/>
      <c r="AD1" s="3524"/>
    </row>
    <row r="2" spans="1:30" s="2006" customFormat="1" ht="14.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3">
      <c r="A3" s="2880" t="s">
        <v>2817</v>
      </c>
      <c r="B3" s="2881"/>
      <c r="D3" s="2882">
        <f>ROUND(AVERAGEIF(D4:D19,"&lt;&gt;0"),2)</f>
        <v>0.68</v>
      </c>
      <c r="E3" s="2882">
        <f t="shared" ref="E3:H3" si="0">ROUND(AVERAGEIF(E4:E19,"&lt;&gt;0"),2)</f>
        <v>0.4</v>
      </c>
      <c r="F3" s="2882">
        <f t="shared" si="0"/>
        <v>0.17</v>
      </c>
      <c r="G3" s="2882">
        <f t="shared" si="0"/>
        <v>0.74</v>
      </c>
      <c r="H3" s="2882">
        <f t="shared" si="0"/>
        <v>0.62</v>
      </c>
      <c r="I3" s="2882">
        <f>F3</f>
        <v>0.17</v>
      </c>
      <c r="J3" s="2883"/>
      <c r="K3" s="2884">
        <f>ROUND(AVERAGEIF(K4:K19,"&lt;&gt;0"),4)</f>
        <v>6.7999999999999996E-3</v>
      </c>
      <c r="L3" s="2885">
        <f t="shared" ref="L3:O3" si="1">ROUND(AVERAGEIF(L4:L19,"&lt;&gt;0"),4)</f>
        <v>4.0000000000000001E-3</v>
      </c>
      <c r="M3" s="2885">
        <f t="shared" si="1"/>
        <v>1.6999999999999999E-3</v>
      </c>
      <c r="N3" s="2885">
        <f t="shared" si="1"/>
        <v>7.4000000000000003E-3</v>
      </c>
      <c r="O3" s="2885">
        <f t="shared" si="1"/>
        <v>6.1999999999999998E-3</v>
      </c>
      <c r="P3" s="2885">
        <f>M3</f>
        <v>1.6999999999999999E-3</v>
      </c>
      <c r="Q3" s="2883"/>
      <c r="R3" s="2886">
        <f>ROUND(SUMPRODUCT(PRODUCT(1+K4:K19)),4)</f>
        <v>1.0916999999999999</v>
      </c>
      <c r="S3" s="2887">
        <f t="shared" ref="S3:V3" si="2">ROUND(SUMPRODUCT(PRODUCT(1+L4:L19)),4)</f>
        <v>1.0537000000000001</v>
      </c>
      <c r="T3" s="2887">
        <f t="shared" si="2"/>
        <v>1.0224</v>
      </c>
      <c r="U3" s="2887">
        <f t="shared" si="2"/>
        <v>1.1008</v>
      </c>
      <c r="V3" s="2887">
        <f t="shared" si="2"/>
        <v>1.0843</v>
      </c>
      <c r="W3" s="2886">
        <f>T3</f>
        <v>1.0224</v>
      </c>
      <c r="X3" s="2883"/>
      <c r="Y3" s="2888">
        <f>ROUND(AVERAGEIF(Y6:Y19,"&lt;&gt;0"),4)</f>
        <v>8.6999999999999994E-3</v>
      </c>
      <c r="Z3" s="2889">
        <f t="shared" ref="Z3:AC3" si="3">ROUND(AVERAGEIF(Z6:Z19,"&lt;&gt;0"),4)</f>
        <v>3.5000000000000001E-3</v>
      </c>
      <c r="AA3" s="2890">
        <f t="shared" si="3"/>
        <v>8.9999999999999998E-4</v>
      </c>
      <c r="AB3" s="2888">
        <f t="shared" si="3"/>
        <v>9.4999999999999998E-3</v>
      </c>
      <c r="AC3" s="2891">
        <f t="shared" si="3"/>
        <v>6.1000000000000004E-3</v>
      </c>
      <c r="AD3" s="2888">
        <f>AA3</f>
        <v>8.9999999999999998E-4</v>
      </c>
    </row>
    <row r="4" spans="1:30" s="2005" customFormat="1" ht="13">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3">
      <c r="A5" s="2036" t="s">
        <v>3376</v>
      </c>
      <c r="B5" s="2027">
        <v>2024</v>
      </c>
      <c r="C5" s="2038">
        <v>3</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M5</f>
        <v>0</v>
      </c>
      <c r="Q5" s="2902"/>
      <c r="R5" s="2023">
        <f>ROUND(IF(项目基本情况!$B$8="出让",SUMPRODUCT(PRODUCT(1+K5:$K$19)),SUMPRODUCT(PRODUCT(1+K5:$K$18))),4)</f>
        <v>1.0811999999999999</v>
      </c>
      <c r="S5" s="2023">
        <f>ROUND(IF(项目基本情况!$B$8="出让",SUMPRODUCT(PRODUCT(1+L5:$L$19)),SUMPRODUCT(PRODUCT(1+L5:$L$18))),4)</f>
        <v>1.052</v>
      </c>
      <c r="T5" s="2023">
        <f>ROUND(IF(项目基本情况!$B$8="出让",SUMPRODUCT(PRODUCT(1+M5:$M$19)),SUMPRODUCT(PRODUCT(1+M5:$M$18))),4)</f>
        <v>1.0249999999999999</v>
      </c>
      <c r="U5" s="2023">
        <f>ROUND(IF(项目基本情况!$B$8="出让",SUMPRODUCT(PRODUCT(1+N5:$N$19)),SUMPRODUCT(PRODUCT(1+N5:$N$18))),4)</f>
        <v>1.0888</v>
      </c>
      <c r="V5" s="2023">
        <f>ROUND(IF(项目基本情况!$B$8="出让",SUMPRODUCT(PRODUCT(1+O5:$O$19)),SUMPRODUCT(PRODUCT(1+O5:$O$18))),4)</f>
        <v>1.0804</v>
      </c>
      <c r="W5" s="2023">
        <f>T5</f>
        <v>1.0249999999999999</v>
      </c>
      <c r="X5" s="2902"/>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041" customFormat="1" ht="13">
      <c r="A6" s="2036" t="s">
        <v>3371</v>
      </c>
      <c r="B6" s="2027">
        <v>2024</v>
      </c>
      <c r="C6" s="2038">
        <v>2</v>
      </c>
      <c r="D6" s="2003">
        <v>0</v>
      </c>
      <c r="E6" s="2003">
        <v>0</v>
      </c>
      <c r="F6" s="2003">
        <v>0</v>
      </c>
      <c r="G6" s="2003">
        <v>0</v>
      </c>
      <c r="H6" s="2003">
        <v>0</v>
      </c>
      <c r="I6" s="2004">
        <f t="shared" ref="I6:I19" si="15">F6</f>
        <v>0</v>
      </c>
      <c r="J6" s="2902"/>
      <c r="K6" s="2039">
        <f t="shared" ref="K6:O19" si="16">D6/100</f>
        <v>0</v>
      </c>
      <c r="L6" s="2024">
        <f t="shared" si="16"/>
        <v>0</v>
      </c>
      <c r="M6" s="2024">
        <f t="shared" si="16"/>
        <v>0</v>
      </c>
      <c r="N6" s="2024">
        <f t="shared" si="16"/>
        <v>0</v>
      </c>
      <c r="O6" s="2024">
        <f t="shared" si="16"/>
        <v>0</v>
      </c>
      <c r="P6" s="2024">
        <f>M6</f>
        <v>0</v>
      </c>
      <c r="Q6" s="2902"/>
      <c r="R6" s="2023">
        <f>ROUND(IF(项目基本情况!$B$8="出让",SUMPRODUCT(PRODUCT(1+K6:$K$19)),SUMPRODUCT(PRODUCT(1+K6:$K$18))),4)</f>
        <v>1.0811999999999999</v>
      </c>
      <c r="S6" s="2023">
        <f>ROUND(IF(项目基本情况!$B$8="出让",SUMPRODUCT(PRODUCT(1+L6:$L$19)),SUMPRODUCT(PRODUCT(1+L6:$L$18))),4)</f>
        <v>1.052</v>
      </c>
      <c r="T6" s="2023">
        <f>ROUND(IF(项目基本情况!$B$8="出让",SUMPRODUCT(PRODUCT(1+M6:$M$19)),SUMPRODUCT(PRODUCT(1+M6:$M$18))),4)</f>
        <v>1.0249999999999999</v>
      </c>
      <c r="U6" s="2023">
        <f>ROUND(IF(项目基本情况!$B$8="出让",SUMPRODUCT(PRODUCT(1+N6:$N$19)),SUMPRODUCT(PRODUCT(1+N6:$N$18))),4)</f>
        <v>1.0888</v>
      </c>
      <c r="V6" s="2023">
        <f>ROUND(IF(项目基本情况!$B$8="出让",SUMPRODUCT(PRODUCT(1+O6:$O$19)),SUMPRODUCT(PRODUCT(1+O6:$O$18))),4)</f>
        <v>1.0804</v>
      </c>
      <c r="W6" s="2023">
        <f>T6</f>
        <v>1.0249999999999999</v>
      </c>
      <c r="X6" s="2902"/>
      <c r="Y6" s="2024">
        <f>IF(D6=0,0,ROUND(AVERAGE(D6:D19)/100,4))</f>
        <v>0</v>
      </c>
      <c r="Z6" s="2024">
        <f t="shared" ref="Z6:AC6" si="17">IF(E6=0,0,ROUND(AVERAGE(E6:E19)/100,4))</f>
        <v>0</v>
      </c>
      <c r="AA6" s="2024">
        <f t="shared" si="17"/>
        <v>0</v>
      </c>
      <c r="AB6" s="2024">
        <f t="shared" si="17"/>
        <v>0</v>
      </c>
      <c r="AC6" s="2024">
        <f t="shared" si="17"/>
        <v>0</v>
      </c>
      <c r="AD6" s="2024">
        <f t="shared" ref="AD6:AD18" si="18">AA6</f>
        <v>0</v>
      </c>
    </row>
    <row r="7" spans="1:30" s="2912" customFormat="1" ht="13">
      <c r="A7" s="2903" t="s">
        <v>3373</v>
      </c>
      <c r="B7" s="2904">
        <v>2024</v>
      </c>
      <c r="C7" s="2905">
        <v>1</v>
      </c>
      <c r="D7" s="2906">
        <v>0.08</v>
      </c>
      <c r="E7" s="2906">
        <v>0.46</v>
      </c>
      <c r="F7" s="2906">
        <v>-0.16</v>
      </c>
      <c r="G7" s="2906">
        <v>0.26</v>
      </c>
      <c r="H7" s="2907">
        <v>0.59</v>
      </c>
      <c r="I7" s="2908">
        <v>0</v>
      </c>
      <c r="J7" s="2909"/>
      <c r="K7" s="2910">
        <f t="shared" ref="K7" si="19">D7/100</f>
        <v>8.0000000000000004E-4</v>
      </c>
      <c r="L7" s="2911">
        <f t="shared" ref="L7" si="20">E7/100</f>
        <v>4.5999999999999999E-3</v>
      </c>
      <c r="M7" s="2911">
        <f t="shared" ref="M7" si="21">F7/100</f>
        <v>-1.6000000000000001E-3</v>
      </c>
      <c r="N7" s="2911">
        <f t="shared" ref="N7" si="22">G7/100</f>
        <v>2.5999999999999999E-3</v>
      </c>
      <c r="O7" s="2911">
        <f t="shared" ref="O7" si="23">H7/100</f>
        <v>5.8999999999999999E-3</v>
      </c>
      <c r="P7" s="2911">
        <f t="shared" ref="P7" si="24">M7</f>
        <v>-1.6000000000000001E-3</v>
      </c>
      <c r="Q7" s="2909"/>
      <c r="R7" s="2909">
        <f>ROUND(IF(项目基本情况!$B$8="出让",SUMPRODUCT(PRODUCT(1+K7:$K$19)),SUMPRODUCT(PRODUCT(1+K7:$K$18))),4)</f>
        <v>1.0811999999999999</v>
      </c>
      <c r="S7" s="2909">
        <f>ROUND(IF(项目基本情况!$B$8="出让",SUMPRODUCT(PRODUCT(1+L7:$L$19)),SUMPRODUCT(PRODUCT(1+L7:$L$18))),4)</f>
        <v>1.052</v>
      </c>
      <c r="T7" s="2909">
        <f>ROUND(IF(项目基本情况!$B$8="出让",SUMPRODUCT(PRODUCT(1+M7:$M$19)),SUMPRODUCT(PRODUCT(1+M7:$M$18))),4)</f>
        <v>1.0249999999999999</v>
      </c>
      <c r="U7" s="2909">
        <f>ROUND(IF(项目基本情况!$B$8="出让",SUMPRODUCT(PRODUCT(1+N7:$N$19)),SUMPRODUCT(PRODUCT(1+N7:$N$18))),4)</f>
        <v>1.0888</v>
      </c>
      <c r="V7" s="2909">
        <f>ROUND(IF(项目基本情况!$B$8="出让",SUMPRODUCT(PRODUCT(1+O7:$O$19)),SUMPRODUCT(PRODUCT(1+O7:$O$18))),4)</f>
        <v>1.0804</v>
      </c>
      <c r="W7" s="2909">
        <f t="shared" ref="W7" si="25">T7</f>
        <v>1.0249999999999999</v>
      </c>
      <c r="X7" s="2909"/>
      <c r="Y7" s="2911"/>
      <c r="Z7" s="2911"/>
      <c r="AA7" s="2911"/>
      <c r="AB7" s="2911"/>
      <c r="AC7" s="2911"/>
      <c r="AD7" s="2911"/>
    </row>
    <row r="8" spans="1:30" s="2041" customFormat="1" ht="13">
      <c r="A8" s="2901" t="s">
        <v>3374</v>
      </c>
      <c r="B8" s="2027">
        <v>2023</v>
      </c>
      <c r="C8" s="2038">
        <v>4</v>
      </c>
      <c r="D8" s="2003">
        <v>0.19</v>
      </c>
      <c r="E8" s="2003">
        <v>0.24</v>
      </c>
      <c r="F8" s="2003">
        <v>-0.16</v>
      </c>
      <c r="G8" s="2003">
        <v>0.17</v>
      </c>
      <c r="H8" s="2913">
        <v>0.61</v>
      </c>
      <c r="I8" s="2004">
        <f>F8</f>
        <v>-0.16</v>
      </c>
      <c r="J8" s="2902"/>
      <c r="K8" s="2039">
        <f t="shared" si="16"/>
        <v>1.9E-3</v>
      </c>
      <c r="L8" s="2024">
        <f t="shared" si="16"/>
        <v>2.3999999999999998E-3</v>
      </c>
      <c r="M8" s="2024">
        <f t="shared" si="16"/>
        <v>-1.6000000000000001E-3</v>
      </c>
      <c r="N8" s="2024">
        <f t="shared" si="16"/>
        <v>1.7000000000000001E-3</v>
      </c>
      <c r="O8" s="2024">
        <f t="shared" si="16"/>
        <v>6.0999999999999995E-3</v>
      </c>
      <c r="P8" s="2024">
        <f t="shared" ref="P8" si="26">M8</f>
        <v>-1.6000000000000001E-3</v>
      </c>
      <c r="Q8" s="2902"/>
      <c r="R8" s="2023">
        <f>ROUND(IF(项目基本情况!$B$8="出让",SUMPRODUCT(PRODUCT(1+K8:$K$19)),SUMPRODUCT(PRODUCT(1+K8:$K$18))),4)</f>
        <v>1.0804</v>
      </c>
      <c r="S8" s="2023">
        <f>ROUND(IF(项目基本情况!$B$8="出让",SUMPRODUCT(PRODUCT(1+L8:$L$19)),SUMPRODUCT(PRODUCT(1+L8:$L$18))),4)</f>
        <v>1.0471999999999999</v>
      </c>
      <c r="T8" s="2023">
        <f>ROUND(IF(项目基本情况!$B$8="出让",SUMPRODUCT(PRODUCT(1+M8:$M$19)),SUMPRODUCT(PRODUCT(1+M8:$M$18))),4)</f>
        <v>1.0266</v>
      </c>
      <c r="U8" s="2023">
        <f>ROUND(IF(项目基本情况!$B$8="出让",SUMPRODUCT(PRODUCT(1+N8:$N$19)),SUMPRODUCT(PRODUCT(1+N8:$N$18))),4)</f>
        <v>1.0859000000000001</v>
      </c>
      <c r="V8" s="2023">
        <f>ROUND(IF(项目基本情况!$B$8="出让",SUMPRODUCT(PRODUCT(1+O8:$O$19)),SUMPRODUCT(PRODUCT(1+O8:$O$18))),4)</f>
        <v>1.0741000000000001</v>
      </c>
      <c r="W8" s="2023">
        <f t="shared" ref="W8" si="27">T8</f>
        <v>1.0266</v>
      </c>
      <c r="X8" s="2902"/>
      <c r="Y8" s="2024"/>
      <c r="Z8" s="2024"/>
      <c r="AA8" s="2024"/>
      <c r="AB8" s="2024"/>
      <c r="AC8" s="2024"/>
      <c r="AD8" s="2024"/>
    </row>
    <row r="9" spans="1:30" s="2041" customFormat="1" ht="13">
      <c r="A9" s="2901" t="s">
        <v>3372</v>
      </c>
      <c r="B9" s="2027">
        <v>2023</v>
      </c>
      <c r="C9" s="2038">
        <v>3</v>
      </c>
      <c r="D9" s="2003">
        <v>0.25</v>
      </c>
      <c r="E9" s="2003">
        <v>0.5</v>
      </c>
      <c r="F9" s="2003">
        <v>0.31</v>
      </c>
      <c r="G9" s="2003">
        <v>0.21</v>
      </c>
      <c r="H9" s="2913">
        <v>0.43</v>
      </c>
      <c r="I9" s="2004">
        <f t="shared" si="15"/>
        <v>0.31</v>
      </c>
      <c r="J9" s="2902"/>
      <c r="K9" s="2039">
        <f t="shared" ref="K9:K11" si="28">D9/100</f>
        <v>2.5000000000000001E-3</v>
      </c>
      <c r="L9" s="2024">
        <f t="shared" ref="L9:L11" si="29">E9/100</f>
        <v>5.0000000000000001E-3</v>
      </c>
      <c r="M9" s="2024">
        <f t="shared" ref="M9:M11" si="30">F9/100</f>
        <v>3.0999999999999999E-3</v>
      </c>
      <c r="N9" s="2024">
        <f t="shared" ref="N9:N11" si="31">G9/100</f>
        <v>2.0999999999999999E-3</v>
      </c>
      <c r="O9" s="2024">
        <f t="shared" ref="O9:O11" si="32">H9/100</f>
        <v>4.3E-3</v>
      </c>
      <c r="P9" s="2024">
        <f t="shared" ref="P9:P11" si="33">M9</f>
        <v>3.0999999999999999E-3</v>
      </c>
      <c r="Q9" s="2902"/>
      <c r="R9" s="2023">
        <f>ROUND(IF(项目基本情况!$B$8="出让",SUMPRODUCT(PRODUCT(1+K9:$K$19)),SUMPRODUCT(PRODUCT(1+K9:$K$18))),4)</f>
        <v>1.0783</v>
      </c>
      <c r="S9" s="2023">
        <f>ROUND(IF(项目基本情况!$B$8="出让",SUMPRODUCT(PRODUCT(1+L9:$L$19)),SUMPRODUCT(PRODUCT(1+L9:$L$18))),4)</f>
        <v>1.0447</v>
      </c>
      <c r="T9" s="2023">
        <f>ROUND(IF(项目基本情况!$B$8="出让",SUMPRODUCT(PRODUCT(1+M9:$M$19)),SUMPRODUCT(PRODUCT(1+M9:$M$18))),4)</f>
        <v>1.0282</v>
      </c>
      <c r="U9" s="2023">
        <f>ROUND(IF(项目基本情况!$B$8="出让",SUMPRODUCT(PRODUCT(1+N9:$N$19)),SUMPRODUCT(PRODUCT(1+N9:$N$18))),4)</f>
        <v>1.0841000000000001</v>
      </c>
      <c r="V9" s="2023">
        <f>ROUND(IF(项目基本情况!$B$8="出让",SUMPRODUCT(PRODUCT(1+O9:$O$19)),SUMPRODUCT(PRODUCT(1+O9:$O$18))),4)</f>
        <v>1.0674999999999999</v>
      </c>
      <c r="W9" s="2023">
        <f t="shared" ref="W9:W10" si="34">T9</f>
        <v>1.0282</v>
      </c>
      <c r="X9" s="2902"/>
      <c r="Y9" s="2024"/>
      <c r="Z9" s="2024"/>
      <c r="AA9" s="2024"/>
      <c r="AB9" s="2024"/>
      <c r="AC9" s="2024"/>
      <c r="AD9" s="2024"/>
    </row>
    <row r="10" spans="1:30" s="2041" customFormat="1" ht="13">
      <c r="A10" s="2901" t="s">
        <v>3367</v>
      </c>
      <c r="B10" s="2027">
        <v>2023</v>
      </c>
      <c r="C10" s="2038">
        <v>2</v>
      </c>
      <c r="D10" s="2003">
        <v>0.91</v>
      </c>
      <c r="E10" s="2003">
        <v>0.66</v>
      </c>
      <c r="F10" s="2003">
        <v>0.47</v>
      </c>
      <c r="G10" s="2003">
        <v>0.96</v>
      </c>
      <c r="H10" s="2913">
        <v>0.71</v>
      </c>
      <c r="I10" s="2004">
        <f t="shared" si="15"/>
        <v>0.47</v>
      </c>
      <c r="J10" s="2902"/>
      <c r="K10" s="2039">
        <f t="shared" si="28"/>
        <v>9.1000000000000004E-3</v>
      </c>
      <c r="L10" s="2024">
        <f t="shared" si="29"/>
        <v>6.6E-3</v>
      </c>
      <c r="M10" s="2024">
        <f t="shared" si="30"/>
        <v>4.6999999999999993E-3</v>
      </c>
      <c r="N10" s="2024">
        <f t="shared" si="31"/>
        <v>9.5999999999999992E-3</v>
      </c>
      <c r="O10" s="2024">
        <f t="shared" si="32"/>
        <v>7.0999999999999995E-3</v>
      </c>
      <c r="P10" s="2024">
        <f t="shared" si="33"/>
        <v>4.6999999999999993E-3</v>
      </c>
      <c r="Q10" s="2902"/>
      <c r="R10" s="2023">
        <f>ROUND(IF(项目基本情况!$B$8="出让",SUMPRODUCT(PRODUCT(1+K10:$K$19)),SUMPRODUCT(PRODUCT(1+K10:$K$18))),4)</f>
        <v>1.0755999999999999</v>
      </c>
      <c r="S10" s="2023">
        <f>ROUND(IF(项目基本情况!$B$8="出让",SUMPRODUCT(PRODUCT(1+L10:$L$19)),SUMPRODUCT(PRODUCT(1+L10:$L$18))),4)</f>
        <v>1.0395000000000001</v>
      </c>
      <c r="T10" s="2023">
        <f>ROUND(IF(项目基本情况!$B$8="出让",SUMPRODUCT(PRODUCT(1+M10:$M$19)),SUMPRODUCT(PRODUCT(1+M10:$M$18))),4)</f>
        <v>1.0250999999999999</v>
      </c>
      <c r="U10" s="2023">
        <f>ROUND(IF(项目基本情况!$B$8="出让",SUMPRODUCT(PRODUCT(1+N10:$N$19)),SUMPRODUCT(PRODUCT(1+N10:$N$18))),4)</f>
        <v>1.0818000000000001</v>
      </c>
      <c r="V10" s="2023">
        <f>ROUND(IF(项目基本情况!$B$8="出让",SUMPRODUCT(PRODUCT(1+O10:$O$19)),SUMPRODUCT(PRODUCT(1+O10:$O$18))),4)</f>
        <v>1.0629999999999999</v>
      </c>
      <c r="W10" s="2023">
        <f t="shared" si="34"/>
        <v>1.0250999999999999</v>
      </c>
      <c r="X10" s="2902"/>
      <c r="Y10" s="2024"/>
      <c r="Z10" s="2024"/>
      <c r="AA10" s="2024"/>
      <c r="AB10" s="2024"/>
      <c r="AC10" s="2024"/>
      <c r="AD10" s="2024"/>
    </row>
    <row r="11" spans="1:30" s="2041" customFormat="1" ht="13">
      <c r="A11" s="2901" t="s">
        <v>3366</v>
      </c>
      <c r="B11" s="2027">
        <v>2023</v>
      </c>
      <c r="C11" s="2038">
        <v>1</v>
      </c>
      <c r="D11" s="2003">
        <v>0.89</v>
      </c>
      <c r="E11" s="2003">
        <v>0.74</v>
      </c>
      <c r="F11" s="2003">
        <v>0.56999999999999995</v>
      </c>
      <c r="G11" s="2003">
        <v>0.92</v>
      </c>
      <c r="H11" s="2913">
        <v>0.5</v>
      </c>
      <c r="I11" s="2004">
        <f t="shared" si="15"/>
        <v>0.56999999999999995</v>
      </c>
      <c r="J11" s="2902"/>
      <c r="K11" s="2039">
        <f t="shared" si="28"/>
        <v>8.8999999999999999E-3</v>
      </c>
      <c r="L11" s="2024">
        <f t="shared" si="29"/>
        <v>7.4000000000000003E-3</v>
      </c>
      <c r="M11" s="2024">
        <f t="shared" si="30"/>
        <v>5.6999999999999993E-3</v>
      </c>
      <c r="N11" s="2024">
        <f t="shared" si="31"/>
        <v>9.1999999999999998E-3</v>
      </c>
      <c r="O11" s="2024">
        <f t="shared" si="32"/>
        <v>5.0000000000000001E-3</v>
      </c>
      <c r="P11" s="2024">
        <f t="shared" si="33"/>
        <v>5.6999999999999993E-3</v>
      </c>
      <c r="Q11" s="2902"/>
      <c r="R11" s="2023">
        <f>ROUND(IF(项目基本情况!$B$8="出让",SUMPRODUCT(PRODUCT(1+K11:$K$19)),SUMPRODUCT(PRODUCT(1+K11:$K$18))),4)</f>
        <v>1.0659000000000001</v>
      </c>
      <c r="S11" s="2023">
        <f>ROUND(IF(项目基本情况!$B$8="出让",SUMPRODUCT(PRODUCT(1+L11:$L$19)),SUMPRODUCT(PRODUCT(1+L11:$L$18))),4)</f>
        <v>1.0326</v>
      </c>
      <c r="T11" s="2023">
        <f>ROUND(IF(项目基本情况!$B$8="出让",SUMPRODUCT(PRODUCT(1+M11:$M$19)),SUMPRODUCT(PRODUCT(1+M11:$M$18))),4)</f>
        <v>1.0203</v>
      </c>
      <c r="U11" s="2023">
        <f>ROUND(IF(项目基本情况!$B$8="出让",SUMPRODUCT(PRODUCT(1+N11:$N$19)),SUMPRODUCT(PRODUCT(1+N11:$N$18))),4)</f>
        <v>1.0714999999999999</v>
      </c>
      <c r="V11" s="2023">
        <f>ROUND(IF(项目基本情况!$B$8="出让",SUMPRODUCT(PRODUCT(1+O11:$O$19)),SUMPRODUCT(PRODUCT(1+O11:$O$18))),4)</f>
        <v>1.0555000000000001</v>
      </c>
      <c r="W11" s="2023">
        <f t="shared" ref="W11:W18" si="35">T11</f>
        <v>1.0203</v>
      </c>
      <c r="X11" s="2902"/>
      <c r="Y11" s="2024"/>
      <c r="Z11" s="2024"/>
      <c r="AA11" s="2024"/>
      <c r="AB11" s="2024"/>
      <c r="AC11" s="2024"/>
      <c r="AD11" s="2024"/>
    </row>
    <row r="12" spans="1:30" s="2041" customFormat="1" ht="13">
      <c r="A12" s="2901" t="s">
        <v>3365</v>
      </c>
      <c r="B12" s="2027">
        <v>2022</v>
      </c>
      <c r="C12" s="2038">
        <v>4</v>
      </c>
      <c r="D12" s="2003">
        <v>0.62</v>
      </c>
      <c r="E12" s="2003">
        <v>0.2</v>
      </c>
      <c r="F12" s="2003">
        <v>0.11</v>
      </c>
      <c r="G12" s="2003">
        <v>0.69</v>
      </c>
      <c r="H12" s="2913">
        <v>0.53</v>
      </c>
      <c r="I12" s="2004">
        <f t="shared" si="15"/>
        <v>0.11</v>
      </c>
      <c r="J12" s="2902"/>
      <c r="K12" s="2039">
        <f t="shared" si="16"/>
        <v>6.1999999999999998E-3</v>
      </c>
      <c r="L12" s="2024">
        <f t="shared" si="16"/>
        <v>2E-3</v>
      </c>
      <c r="M12" s="2024">
        <f t="shared" si="16"/>
        <v>1.1000000000000001E-3</v>
      </c>
      <c r="N12" s="2024">
        <f t="shared" si="16"/>
        <v>6.8999999999999999E-3</v>
      </c>
      <c r="O12" s="2024">
        <f t="shared" si="16"/>
        <v>5.3E-3</v>
      </c>
      <c r="P12" s="2024">
        <f t="shared" ref="P12:P19" si="36">M12</f>
        <v>1.1000000000000001E-3</v>
      </c>
      <c r="Q12" s="2902"/>
      <c r="R12" s="2023">
        <f>ROUND(IF(项目基本情况!$B$8="出让",SUMPRODUCT(PRODUCT(1+K12:$K$19)),SUMPRODUCT(PRODUCT(1+K12:$K$18))),4)</f>
        <v>1.0565</v>
      </c>
      <c r="S12" s="2023">
        <f>ROUND(IF(项目基本情况!$B$8="出让",SUMPRODUCT(PRODUCT(1+L12:$L$19)),SUMPRODUCT(PRODUCT(1+L12:$L$18))),4)</f>
        <v>1.0250999999999999</v>
      </c>
      <c r="T12" s="2023">
        <f>ROUND(IF(项目基本情况!$B$8="出让",SUMPRODUCT(PRODUCT(1+M12:$M$19)),SUMPRODUCT(PRODUCT(1+M12:$M$18))),4)</f>
        <v>1.0145</v>
      </c>
      <c r="U12" s="2023">
        <f>ROUND(IF(项目基本情况!$B$8="出让",SUMPRODUCT(PRODUCT(1+N12:$N$19)),SUMPRODUCT(PRODUCT(1+N12:$N$18))),4)</f>
        <v>1.0618000000000001</v>
      </c>
      <c r="V12" s="2023">
        <f>ROUND(IF(项目基本情况!$B$8="出让",SUMPRODUCT(PRODUCT(1+O12:$O$19)),SUMPRODUCT(PRODUCT(1+O12:$O$18))),4)</f>
        <v>1.0502</v>
      </c>
      <c r="W12" s="2023">
        <f t="shared" si="35"/>
        <v>1.0145</v>
      </c>
      <c r="X12" s="2902"/>
      <c r="Y12" s="2024">
        <f>IF(D12=0,0,ROUND(AVERAGE(D12:D20)/100,4))</f>
        <v>8.0999999999999996E-3</v>
      </c>
      <c r="Z12" s="2024">
        <f t="shared" ref="Z12:AC12" si="37">IF(E12=0,0,ROUND(AVERAGE(E12:E19)/100,4))</f>
        <v>3.3E-3</v>
      </c>
      <c r="AA12" s="2024">
        <f t="shared" si="37"/>
        <v>1.5E-3</v>
      </c>
      <c r="AB12" s="2024">
        <f t="shared" si="37"/>
        <v>8.8999999999999999E-3</v>
      </c>
      <c r="AC12" s="2024">
        <f t="shared" si="37"/>
        <v>6.6E-3</v>
      </c>
      <c r="AD12" s="2024">
        <f t="shared" si="18"/>
        <v>1.5E-3</v>
      </c>
    </row>
    <row r="13" spans="1:30" s="2041" customFormat="1" ht="13">
      <c r="A13" s="2901" t="s">
        <v>3361</v>
      </c>
      <c r="B13" s="2027">
        <v>2022</v>
      </c>
      <c r="C13" s="2038">
        <v>3</v>
      </c>
      <c r="D13" s="2003">
        <v>0.66</v>
      </c>
      <c r="E13" s="2003">
        <v>0.32</v>
      </c>
      <c r="F13" s="2003">
        <v>0.23</v>
      </c>
      <c r="G13" s="2003">
        <v>0.72</v>
      </c>
      <c r="H13" s="2913">
        <v>0.63</v>
      </c>
      <c r="I13" s="2004">
        <f t="shared" si="15"/>
        <v>0.23</v>
      </c>
      <c r="J13" s="2902"/>
      <c r="K13" s="2039">
        <f t="shared" si="16"/>
        <v>6.6E-3</v>
      </c>
      <c r="L13" s="2024">
        <f t="shared" si="16"/>
        <v>3.2000000000000002E-3</v>
      </c>
      <c r="M13" s="2024">
        <f t="shared" si="16"/>
        <v>2.3E-3</v>
      </c>
      <c r="N13" s="2024">
        <f t="shared" si="16"/>
        <v>7.1999999999999998E-3</v>
      </c>
      <c r="O13" s="2024">
        <f t="shared" si="16"/>
        <v>6.3E-3</v>
      </c>
      <c r="P13" s="2024">
        <f t="shared" si="36"/>
        <v>2.3E-3</v>
      </c>
      <c r="Q13" s="2902"/>
      <c r="R13" s="2023">
        <f>ROUND(IF(项目基本情况!$B$8="出让",SUMPRODUCT(PRODUCT(1+K13:$K$19)),SUMPRODUCT(PRODUCT(1+K13:$K$18))),4)</f>
        <v>1.05</v>
      </c>
      <c r="S13" s="2023">
        <f>ROUND(IF(项目基本情况!$B$8="出让",SUMPRODUCT(PRODUCT(1+L13:$L$19)),SUMPRODUCT(PRODUCT(1+L13:$L$18))),4)</f>
        <v>1.0229999999999999</v>
      </c>
      <c r="T13" s="2023">
        <f>ROUND(IF(项目基本情况!$B$8="出让",SUMPRODUCT(PRODUCT(1+M13:$M$19)),SUMPRODUCT(PRODUCT(1+M13:$M$18))),4)</f>
        <v>1.0134000000000001</v>
      </c>
      <c r="U13" s="2023">
        <f>ROUND(IF(项目基本情况!$B$8="出让",SUMPRODUCT(PRODUCT(1+N13:$N$19)),SUMPRODUCT(PRODUCT(1+N13:$N$18))),4)</f>
        <v>1.0545</v>
      </c>
      <c r="V13" s="2023">
        <f>ROUND(IF(项目基本情况!$B$8="出让",SUMPRODUCT(PRODUCT(1+O13:$O$19)),SUMPRODUCT(PRODUCT(1+O13:$O$18))),4)</f>
        <v>1.0447</v>
      </c>
      <c r="W13" s="2023">
        <f t="shared" si="35"/>
        <v>1.0134000000000001</v>
      </c>
      <c r="X13" s="2902"/>
      <c r="Y13" s="2024">
        <f>IF(D13=0,0,ROUND(AVERAGE(D13:D19)/100,4))</f>
        <v>8.3999999999999995E-3</v>
      </c>
      <c r="Z13" s="2024">
        <f t="shared" ref="Z13:AC13" si="38">IF(E13=0,0,ROUND(AVERAGE(E13:E19)/100,4))</f>
        <v>3.5000000000000001E-3</v>
      </c>
      <c r="AA13" s="2024">
        <f t="shared" si="38"/>
        <v>1.5E-3</v>
      </c>
      <c r="AB13" s="2024">
        <f t="shared" si="38"/>
        <v>9.1999999999999998E-3</v>
      </c>
      <c r="AC13" s="2024">
        <f t="shared" si="38"/>
        <v>6.7999999999999996E-3</v>
      </c>
      <c r="AD13" s="2024">
        <f t="shared" si="18"/>
        <v>1.5E-3</v>
      </c>
    </row>
    <row r="14" spans="1:30" s="2041" customFormat="1" ht="13">
      <c r="A14" s="2901" t="s">
        <v>3352</v>
      </c>
      <c r="B14" s="2027">
        <v>2022</v>
      </c>
      <c r="C14" s="2038">
        <v>2</v>
      </c>
      <c r="D14" s="2003">
        <v>0.93</v>
      </c>
      <c r="E14" s="2003">
        <v>0.15</v>
      </c>
      <c r="F14" s="2003">
        <v>0.01</v>
      </c>
      <c r="G14" s="2003">
        <v>1.05</v>
      </c>
      <c r="H14" s="2913">
        <v>1.08</v>
      </c>
      <c r="I14" s="2004">
        <f t="shared" si="15"/>
        <v>0.01</v>
      </c>
      <c r="J14" s="2902"/>
      <c r="K14" s="2039">
        <f t="shared" si="16"/>
        <v>9.300000000000001E-3</v>
      </c>
      <c r="L14" s="2024">
        <f t="shared" si="16"/>
        <v>1.5E-3</v>
      </c>
      <c r="M14" s="2024">
        <f t="shared" si="16"/>
        <v>1E-4</v>
      </c>
      <c r="N14" s="2024">
        <f t="shared" si="16"/>
        <v>1.0500000000000001E-2</v>
      </c>
      <c r="O14" s="2024">
        <f t="shared" si="16"/>
        <v>1.0800000000000001E-2</v>
      </c>
      <c r="P14" s="2024">
        <f t="shared" si="36"/>
        <v>1E-4</v>
      </c>
      <c r="Q14" s="2902"/>
      <c r="R14" s="2023">
        <f>ROUND(IF(项目基本情况!$B$8="出让",SUMPRODUCT(PRODUCT(1+K14:$K$19)),SUMPRODUCT(PRODUCT(1+K14:$K$18))),4)</f>
        <v>1.0430999999999999</v>
      </c>
      <c r="S14" s="2023">
        <f>ROUND(IF(项目基本情况!$B$8="出让",SUMPRODUCT(PRODUCT(1+L14:$L$19)),SUMPRODUCT(PRODUCT(1+L14:$L$18))),4)</f>
        <v>1.0197000000000001</v>
      </c>
      <c r="T14" s="2023">
        <f>ROUND(IF(项目基本情况!$B$8="出让",SUMPRODUCT(PRODUCT(1+M14:$M$19)),SUMPRODUCT(PRODUCT(1+M14:$M$18))),4)</f>
        <v>1.0109999999999999</v>
      </c>
      <c r="U14" s="2023">
        <f>ROUND(IF(项目基本情况!$B$8="出让",SUMPRODUCT(PRODUCT(1+N14:$N$19)),SUMPRODUCT(PRODUCT(1+N14:$N$18))),4)</f>
        <v>1.0468999999999999</v>
      </c>
      <c r="V14" s="2023">
        <f>ROUND(IF(项目基本情况!$B$8="出让",SUMPRODUCT(PRODUCT(1+O14:$O$19)),SUMPRODUCT(PRODUCT(1+O14:$O$18))),4)</f>
        <v>1.0382</v>
      </c>
      <c r="W14" s="2023">
        <f t="shared" si="35"/>
        <v>1.0109999999999999</v>
      </c>
      <c r="X14" s="2902"/>
      <c r="Y14" s="2024">
        <f>IF(D14=0,0,ROUND(AVERAGE(D14:D19)/100,4))</f>
        <v>8.6999999999999994E-3</v>
      </c>
      <c r="Z14" s="2024">
        <f t="shared" ref="Z14:AC14" si="39">IF(E14=0,0,ROUND(AVERAGE(E14:E19)/100,4))</f>
        <v>3.5000000000000001E-3</v>
      </c>
      <c r="AA14" s="2024">
        <f t="shared" si="39"/>
        <v>1.4E-3</v>
      </c>
      <c r="AB14" s="2024">
        <f t="shared" si="39"/>
        <v>9.4999999999999998E-3</v>
      </c>
      <c r="AC14" s="2024">
        <f t="shared" si="39"/>
        <v>6.8999999999999999E-3</v>
      </c>
      <c r="AD14" s="2024">
        <f t="shared" si="18"/>
        <v>1.4E-3</v>
      </c>
    </row>
    <row r="15" spans="1:30" s="2041" customFormat="1" ht="13">
      <c r="A15" s="2901" t="s">
        <v>2818</v>
      </c>
      <c r="B15" s="2027">
        <v>2022</v>
      </c>
      <c r="C15" s="2038">
        <v>1</v>
      </c>
      <c r="D15" s="2003">
        <v>0.89</v>
      </c>
      <c r="E15" s="2003">
        <v>0.44</v>
      </c>
      <c r="F15" s="2003">
        <v>0.37</v>
      </c>
      <c r="G15" s="2003">
        <v>0.96</v>
      </c>
      <c r="H15" s="2913">
        <v>0.64</v>
      </c>
      <c r="I15" s="2004">
        <f t="shared" si="15"/>
        <v>0.37</v>
      </c>
      <c r="J15" s="2902"/>
      <c r="K15" s="2039">
        <f t="shared" si="16"/>
        <v>8.8999999999999999E-3</v>
      </c>
      <c r="L15" s="2024">
        <f t="shared" si="16"/>
        <v>4.4000000000000003E-3</v>
      </c>
      <c r="M15" s="2024">
        <f t="shared" si="16"/>
        <v>3.7000000000000002E-3</v>
      </c>
      <c r="N15" s="2024">
        <f t="shared" si="16"/>
        <v>9.5999999999999992E-3</v>
      </c>
      <c r="O15" s="2024">
        <f t="shared" si="16"/>
        <v>6.4000000000000003E-3</v>
      </c>
      <c r="P15" s="2024">
        <f t="shared" si="36"/>
        <v>3.7000000000000002E-3</v>
      </c>
      <c r="Q15" s="2902"/>
      <c r="R15" s="2023">
        <f>ROUND(IF(项目基本情况!$B$8="出让",SUMPRODUCT(PRODUCT(1+K15:$K$19)),SUMPRODUCT(PRODUCT(1+K15:$K$18))),4)</f>
        <v>1.0335000000000001</v>
      </c>
      <c r="S15" s="2023">
        <f>ROUND(IF(项目基本情况!$B$8="出让",SUMPRODUCT(PRODUCT(1+L15:$L$19)),SUMPRODUCT(PRODUCT(1+L15:$L$18))),4)</f>
        <v>1.0182</v>
      </c>
      <c r="T15" s="2023">
        <f>ROUND(IF(项目基本情况!$B$8="出让",SUMPRODUCT(PRODUCT(1+M15:$M$19)),SUMPRODUCT(PRODUCT(1+M15:$M$18))),4)</f>
        <v>1.0108999999999999</v>
      </c>
      <c r="U15" s="2023">
        <f>ROUND(IF(项目基本情况!$B$8="出让",SUMPRODUCT(PRODUCT(1+N15:$N$19)),SUMPRODUCT(PRODUCT(1+N15:$N$18))),4)</f>
        <v>1.0361</v>
      </c>
      <c r="V15" s="2023">
        <f>ROUND(IF(项目基本情况!$B$8="出让",SUMPRODUCT(PRODUCT(1+O15:$O$19)),SUMPRODUCT(PRODUCT(1+O15:$O$18))),4)</f>
        <v>1.0270999999999999</v>
      </c>
      <c r="W15" s="2023">
        <f t="shared" si="35"/>
        <v>1.0108999999999999</v>
      </c>
      <c r="X15" s="2902"/>
      <c r="Y15" s="2024">
        <f>IF(D15=0,0,ROUND(AVERAGE(D15:D19)/100,4))</f>
        <v>8.6E-3</v>
      </c>
      <c r="Z15" s="2024">
        <f t="shared" ref="Z15:AC15" si="40">IF(E15=0,0,ROUND(AVERAGE(E15:E19)/100,4))</f>
        <v>3.8999999999999998E-3</v>
      </c>
      <c r="AA15" s="2024">
        <f t="shared" si="40"/>
        <v>1.6999999999999999E-3</v>
      </c>
      <c r="AB15" s="2024">
        <f t="shared" si="40"/>
        <v>9.2999999999999992E-3</v>
      </c>
      <c r="AC15" s="2024">
        <f t="shared" si="40"/>
        <v>6.1000000000000004E-3</v>
      </c>
      <c r="AD15" s="2024">
        <f t="shared" si="18"/>
        <v>1.6999999999999999E-3</v>
      </c>
    </row>
    <row r="16" spans="1:30" s="2041" customFormat="1" ht="13">
      <c r="A16" s="2901" t="s">
        <v>2819</v>
      </c>
      <c r="B16" s="2027">
        <v>2021</v>
      </c>
      <c r="C16" s="2038">
        <v>4</v>
      </c>
      <c r="D16" s="2003">
        <v>1.03</v>
      </c>
      <c r="E16" s="2003">
        <v>0.24</v>
      </c>
      <c r="F16" s="2003">
        <v>7.0000000000000007E-2</v>
      </c>
      <c r="G16" s="2003">
        <v>1.17</v>
      </c>
      <c r="H16" s="2913">
        <v>0.55000000000000004</v>
      </c>
      <c r="I16" s="2004">
        <f t="shared" si="15"/>
        <v>7.0000000000000007E-2</v>
      </c>
      <c r="J16" s="2902"/>
      <c r="K16" s="2039">
        <f t="shared" si="16"/>
        <v>1.03E-2</v>
      </c>
      <c r="L16" s="2024">
        <f t="shared" si="16"/>
        <v>2.3999999999999998E-3</v>
      </c>
      <c r="M16" s="2024">
        <f t="shared" si="16"/>
        <v>7.000000000000001E-4</v>
      </c>
      <c r="N16" s="2024">
        <f t="shared" si="16"/>
        <v>1.1699999999999999E-2</v>
      </c>
      <c r="O16" s="2024">
        <f t="shared" si="16"/>
        <v>5.5000000000000005E-3</v>
      </c>
      <c r="P16" s="2024">
        <f t="shared" si="36"/>
        <v>7.000000000000001E-4</v>
      </c>
      <c r="Q16" s="2902"/>
      <c r="R16" s="2023">
        <f>ROUND(IF(项目基本情况!$B$8="出让",SUMPRODUCT(PRODUCT(1+K16:$K$19)),SUMPRODUCT(PRODUCT(1+K16:$K$18))),4)</f>
        <v>1.0244</v>
      </c>
      <c r="S16" s="2023">
        <f>ROUND(IF(项目基本情况!$B$8="出让",SUMPRODUCT(PRODUCT(1+L16:$L$19)),SUMPRODUCT(PRODUCT(1+L16:$L$18))),4)</f>
        <v>1.0138</v>
      </c>
      <c r="T16" s="2023">
        <f>ROUND(IF(项目基本情况!$B$8="出让",SUMPRODUCT(PRODUCT(1+M16:$M$19)),SUMPRODUCT(PRODUCT(1+M16:$M$18))),4)</f>
        <v>1.0072000000000001</v>
      </c>
      <c r="U16" s="2023">
        <f>ROUND(IF(项目基本情况!$B$8="出让",SUMPRODUCT(PRODUCT(1+N16:$N$19)),SUMPRODUCT(PRODUCT(1+N16:$N$18))),4)</f>
        <v>1.0262</v>
      </c>
      <c r="V16" s="2023">
        <f>ROUND(IF(项目基本情况!$B$8="出让",SUMPRODUCT(PRODUCT(1+O16:$O$19)),SUMPRODUCT(PRODUCT(1+O16:$O$18))),4)</f>
        <v>1.0205</v>
      </c>
      <c r="W16" s="2023">
        <f t="shared" si="35"/>
        <v>1.0072000000000001</v>
      </c>
      <c r="X16" s="2902"/>
      <c r="Y16" s="2024">
        <f>IF(D16=0,0,ROUND(AVERAGE(D16:D19)/100,4))</f>
        <v>8.5000000000000006E-3</v>
      </c>
      <c r="Z16" s="2024">
        <f t="shared" ref="Z16:AC16" si="41">IF(E16=0,0,ROUND(AVERAGE(E16:E19)/100,4))</f>
        <v>3.8E-3</v>
      </c>
      <c r="AA16" s="2024">
        <f t="shared" si="41"/>
        <v>1.1999999999999999E-3</v>
      </c>
      <c r="AB16" s="2024">
        <f t="shared" si="41"/>
        <v>9.2999999999999992E-3</v>
      </c>
      <c r="AC16" s="2024">
        <f t="shared" si="41"/>
        <v>6.0000000000000001E-3</v>
      </c>
      <c r="AD16" s="2024">
        <f t="shared" si="18"/>
        <v>1.1999999999999999E-3</v>
      </c>
    </row>
    <row r="17" spans="1:30" s="2041" customFormat="1" ht="13">
      <c r="A17" s="2901" t="s">
        <v>2820</v>
      </c>
      <c r="B17" s="2027">
        <v>2021</v>
      </c>
      <c r="C17" s="2038">
        <v>3</v>
      </c>
      <c r="D17" s="2003">
        <v>0.47</v>
      </c>
      <c r="E17" s="2003">
        <v>0.41</v>
      </c>
      <c r="F17" s="2003">
        <v>0.24</v>
      </c>
      <c r="G17" s="2003">
        <v>0.48</v>
      </c>
      <c r="H17" s="2913">
        <v>0.48</v>
      </c>
      <c r="I17" s="2004">
        <f t="shared" si="15"/>
        <v>0.24</v>
      </c>
      <c r="J17" s="2902"/>
      <c r="K17" s="2039">
        <f t="shared" si="16"/>
        <v>4.6999999999999993E-3</v>
      </c>
      <c r="L17" s="2024">
        <f t="shared" si="16"/>
        <v>4.0999999999999995E-3</v>
      </c>
      <c r="M17" s="2024">
        <f t="shared" si="16"/>
        <v>2.3999999999999998E-3</v>
      </c>
      <c r="N17" s="2024">
        <f t="shared" si="16"/>
        <v>4.7999999999999996E-3</v>
      </c>
      <c r="O17" s="2024">
        <f t="shared" si="16"/>
        <v>4.7999999999999996E-3</v>
      </c>
      <c r="P17" s="2024">
        <f t="shared" si="36"/>
        <v>2.3999999999999998E-3</v>
      </c>
      <c r="Q17" s="2902"/>
      <c r="R17" s="2023">
        <f>ROUND(IF(项目基本情况!$B$8="出让",SUMPRODUCT(PRODUCT(1+K17:$K$19)),SUMPRODUCT(PRODUCT(1+K17:$K$18))),4)</f>
        <v>1.0139</v>
      </c>
      <c r="S17" s="2023">
        <f>ROUND(IF(项目基本情况!$B$8="出让",SUMPRODUCT(PRODUCT(1+L17:$L$19)),SUMPRODUCT(PRODUCT(1+L17:$L$18))),4)</f>
        <v>1.0113000000000001</v>
      </c>
      <c r="T17" s="2023">
        <f>ROUND(IF(项目基本情况!$B$8="出让",SUMPRODUCT(PRODUCT(1+M17:$M$19)),SUMPRODUCT(PRODUCT(1+M17:$M$18))),4)</f>
        <v>1.0065</v>
      </c>
      <c r="U17" s="2023">
        <f>ROUND(IF(项目基本情况!$B$8="出让",SUMPRODUCT(PRODUCT(1+N17:$N$19)),SUMPRODUCT(PRODUCT(1+N17:$N$18))),4)</f>
        <v>1.0143</v>
      </c>
      <c r="V17" s="2023">
        <f>ROUND(IF(项目基本情况!$B$8="出让",SUMPRODUCT(PRODUCT(1+O17:$O$19)),SUMPRODUCT(PRODUCT(1+O17:$O$18))),4)</f>
        <v>1.0148999999999999</v>
      </c>
      <c r="W17" s="2023">
        <f t="shared" si="35"/>
        <v>1.0065</v>
      </c>
      <c r="X17" s="2902"/>
      <c r="Y17" s="2024">
        <f>IF(D17=0,0,ROUND(AVERAGE(D17:D19)/100,4))</f>
        <v>7.9000000000000008E-3</v>
      </c>
      <c r="Z17" s="2024">
        <f>IF(E17=0,0,ROUND(AVERAGE(E17:E19)/100,4))</f>
        <v>4.3E-3</v>
      </c>
      <c r="AA17" s="2024">
        <f>IF(F17=0,0,ROUND(AVERAGE(F17:F19)/100,4))</f>
        <v>1.2999999999999999E-3</v>
      </c>
      <c r="AB17" s="2024">
        <f>IF(G17=0,0,ROUND(AVERAGE(G17:G19)/100,4))</f>
        <v>8.5000000000000006E-3</v>
      </c>
      <c r="AC17" s="2024">
        <f>IF(H17=0,0,ROUND(AVERAGE(H17:H19)/100,4))</f>
        <v>6.1999999999999998E-3</v>
      </c>
      <c r="AD17" s="2024">
        <f t="shared" si="18"/>
        <v>1.2999999999999999E-3</v>
      </c>
    </row>
    <row r="18" spans="1:30" s="2041" customFormat="1" ht="13">
      <c r="A18" s="2901" t="s">
        <v>2821</v>
      </c>
      <c r="B18" s="2027">
        <v>2021</v>
      </c>
      <c r="C18" s="2038">
        <v>2</v>
      </c>
      <c r="D18" s="2003">
        <v>0.92</v>
      </c>
      <c r="E18" s="2003">
        <v>0.72</v>
      </c>
      <c r="F18" s="2003">
        <v>0.41</v>
      </c>
      <c r="G18" s="2003">
        <v>0.95</v>
      </c>
      <c r="H18" s="2913">
        <v>1.01</v>
      </c>
      <c r="I18" s="2004">
        <f t="shared" si="15"/>
        <v>0.41</v>
      </c>
      <c r="J18" s="2902"/>
      <c r="K18" s="2039">
        <f t="shared" si="16"/>
        <v>9.1999999999999998E-3</v>
      </c>
      <c r="L18" s="2024">
        <f t="shared" si="16"/>
        <v>7.1999999999999998E-3</v>
      </c>
      <c r="M18" s="2024">
        <f t="shared" si="16"/>
        <v>4.0999999999999995E-3</v>
      </c>
      <c r="N18" s="2024">
        <f t="shared" si="16"/>
        <v>9.4999999999999998E-3</v>
      </c>
      <c r="O18" s="2024">
        <f t="shared" si="16"/>
        <v>1.01E-2</v>
      </c>
      <c r="P18" s="2024">
        <f t="shared" si="36"/>
        <v>4.0999999999999995E-3</v>
      </c>
      <c r="Q18" s="2902"/>
      <c r="R18" s="2023">
        <f>ROUND(IF(项目基本情况!$B$8="出让",SUMPRODUCT(PRODUCT(1+K18:$K$19)),SUMPRODUCT(PRODUCT(1+K18:$K$18))),4)</f>
        <v>1.0092000000000001</v>
      </c>
      <c r="S18" s="2023">
        <f>ROUND(IF(项目基本情况!$B$8="出让",SUMPRODUCT(PRODUCT(1+L18:$L$19)),SUMPRODUCT(PRODUCT(1+L18:$L$18))),4)</f>
        <v>1.0072000000000001</v>
      </c>
      <c r="T18" s="2023">
        <f>ROUND(IF(项目基本情况!$B$8="出让",SUMPRODUCT(PRODUCT(1+M18:$M$19)),SUMPRODUCT(PRODUCT(1+M18:$M$18))),4)</f>
        <v>1.0041</v>
      </c>
      <c r="U18" s="2023">
        <f>ROUND(IF(项目基本情况!$B$8="出让",SUMPRODUCT(PRODUCT(1+N18:$N$19)),SUMPRODUCT(PRODUCT(1+N18:$N$18))),4)</f>
        <v>1.0095000000000001</v>
      </c>
      <c r="V18" s="2023">
        <f>ROUND(IF(项目基本情况!$B$8="出让",SUMPRODUCT(PRODUCT(1+O18:$O$19)),SUMPRODUCT(PRODUCT(1+O18:$O$18))),4)</f>
        <v>1.0101</v>
      </c>
      <c r="W18" s="2023">
        <f t="shared" si="35"/>
        <v>1.0041</v>
      </c>
      <c r="X18" s="2902"/>
      <c r="Y18" s="2024">
        <f>IF(D18=0,0,ROUND(AVERAGE(D18:D19)/100,4))</f>
        <v>9.4999999999999998E-3</v>
      </c>
      <c r="Z18" s="2024">
        <f>IF(E18=0,0,ROUND(AVERAGE(E18:E19)/100,4))</f>
        <v>4.4000000000000003E-3</v>
      </c>
      <c r="AA18" s="2024">
        <f>IF(F18=0,0,ROUND(AVERAGE(F18:F19)/100,4))</f>
        <v>8.0000000000000004E-4</v>
      </c>
      <c r="AB18" s="2024">
        <f>IF(G18=0,0,ROUND(AVERAGE(G18:G19)/100,4))</f>
        <v>1.03E-2</v>
      </c>
      <c r="AC18" s="2024">
        <f>IF(H18=0,0,ROUND(AVERAGE(H18:H19)/100,4))</f>
        <v>6.8999999999999999E-3</v>
      </c>
      <c r="AD18" s="2024">
        <f t="shared" si="18"/>
        <v>8.0000000000000004E-4</v>
      </c>
    </row>
    <row r="19" spans="1:30" s="2924" customFormat="1" ht="13.5" thickBot="1">
      <c r="A19" s="2914" t="s">
        <v>2822</v>
      </c>
      <c r="B19" s="2915">
        <v>2021</v>
      </c>
      <c r="C19" s="2916">
        <v>1</v>
      </c>
      <c r="D19" s="2917">
        <v>0.97</v>
      </c>
      <c r="E19" s="2917">
        <v>0.16</v>
      </c>
      <c r="F19" s="2917">
        <v>-0.25</v>
      </c>
      <c r="G19" s="2917">
        <v>1.1100000000000001</v>
      </c>
      <c r="H19" s="2918">
        <v>0.36</v>
      </c>
      <c r="I19" s="2919">
        <f t="shared" si="15"/>
        <v>-0.25</v>
      </c>
      <c r="J19" s="2920"/>
      <c r="K19" s="2921">
        <f t="shared" si="16"/>
        <v>9.7000000000000003E-3</v>
      </c>
      <c r="L19" s="2922">
        <f t="shared" si="16"/>
        <v>1.6000000000000001E-3</v>
      </c>
      <c r="M19" s="2922">
        <f>F19/100</f>
        <v>-2.5000000000000001E-3</v>
      </c>
      <c r="N19" s="2922">
        <f t="shared" si="16"/>
        <v>1.11E-2</v>
      </c>
      <c r="O19" s="2922">
        <f t="shared" si="16"/>
        <v>3.5999999999999999E-3</v>
      </c>
      <c r="P19" s="2922">
        <f t="shared" si="36"/>
        <v>-2.5000000000000001E-3</v>
      </c>
      <c r="Q19" s="2920"/>
      <c r="R19" s="2923">
        <v>1</v>
      </c>
      <c r="S19" s="2923">
        <v>1</v>
      </c>
      <c r="T19" s="2923">
        <v>1</v>
      </c>
      <c r="U19" s="2923">
        <v>1</v>
      </c>
      <c r="V19" s="2923">
        <v>1</v>
      </c>
      <c r="W19" s="2923">
        <f t="shared" ref="W19" si="42">T19</f>
        <v>1</v>
      </c>
      <c r="X19" s="2920"/>
      <c r="Y19" s="2922">
        <f>IF(D19=0,0,ROUND(AVERAGE(D19:D19)/100,4))</f>
        <v>9.7000000000000003E-3</v>
      </c>
      <c r="Z19" s="2922">
        <f>IF(E19=0,0,ROUND(AVERAGE(E19:E19)/100,4))</f>
        <v>1.6000000000000001E-3</v>
      </c>
      <c r="AA19" s="2922">
        <f>IF(F19=0,0,ROUND(AVERAGE(F19:F19)/100,4))</f>
        <v>-2.5000000000000001E-3</v>
      </c>
      <c r="AB19" s="2922">
        <f>IF(G19=0,0,ROUND(AVERAGE(G19:G19)/100,4))</f>
        <v>1.11E-2</v>
      </c>
      <c r="AC19" s="2922">
        <f>IF(H19=0,0,ROUND(AVERAGE(H19:H19)/100,4))</f>
        <v>3.5999999999999999E-3</v>
      </c>
      <c r="AD19" s="2922">
        <f>AA19</f>
        <v>-2.5000000000000001E-3</v>
      </c>
    </row>
    <row r="20" spans="1:30" ht="14.5" thickTop="1"/>
    <row r="21" spans="1:30">
      <c r="A21" s="3138" t="s">
        <v>3363</v>
      </c>
    </row>
    <row r="22" spans="1:30">
      <c r="I22" s="1401" t="s">
        <v>2823</v>
      </c>
    </row>
    <row r="24" spans="1:30" s="2005" customFormat="1" ht="13">
      <c r="B24" s="2925" t="s">
        <v>3369</v>
      </c>
      <c r="C24" s="2926"/>
      <c r="D24" s="2926"/>
      <c r="E24" s="2926"/>
      <c r="F24" s="2926"/>
      <c r="G24" s="2926"/>
      <c r="H24" s="2926"/>
      <c r="I24" s="2926"/>
      <c r="J24" s="2892"/>
      <c r="K24" s="2926" t="s">
        <v>2824</v>
      </c>
      <c r="L24" s="2926"/>
      <c r="M24" s="2926"/>
      <c r="N24" s="2926"/>
      <c r="O24" s="2926"/>
      <c r="P24" s="2926"/>
      <c r="Q24" s="2892"/>
      <c r="R24" s="3523" t="s">
        <v>2825</v>
      </c>
      <c r="S24" s="3524"/>
      <c r="T24" s="3524"/>
      <c r="U24" s="3524"/>
      <c r="V24" s="3524"/>
      <c r="W24" s="3524"/>
      <c r="X24" s="2892"/>
      <c r="Y24" s="3523" t="s">
        <v>2826</v>
      </c>
      <c r="Z24" s="3524"/>
      <c r="AA24" s="3524"/>
      <c r="AB24" s="3524"/>
      <c r="AC24" s="3524"/>
      <c r="AD24" s="3524"/>
    </row>
    <row r="25" spans="1:30" s="2006" customFormat="1" ht="14.5" thickBot="1">
      <c r="B25" s="2877"/>
      <c r="C25" s="2878"/>
      <c r="D25" s="2007" t="s">
        <v>2827</v>
      </c>
      <c r="E25" s="2008" t="s">
        <v>2828</v>
      </c>
      <c r="F25" s="2008" t="s">
        <v>2829</v>
      </c>
      <c r="G25" s="2008" t="s">
        <v>2830</v>
      </c>
      <c r="H25" s="2008"/>
      <c r="I25" s="2008" t="s">
        <v>2831</v>
      </c>
      <c r="J25" s="2879"/>
      <c r="K25" s="2007" t="s">
        <v>2827</v>
      </c>
      <c r="L25" s="2008" t="s">
        <v>2828</v>
      </c>
      <c r="M25" s="2008" t="s">
        <v>2829</v>
      </c>
      <c r="N25" s="2008" t="s">
        <v>2830</v>
      </c>
      <c r="O25" s="2008"/>
      <c r="P25" s="2008" t="s">
        <v>2831</v>
      </c>
      <c r="Q25" s="2879"/>
      <c r="R25" s="2007" t="s">
        <v>2827</v>
      </c>
      <c r="S25" s="2008" t="s">
        <v>2828</v>
      </c>
      <c r="T25" s="2008" t="s">
        <v>2829</v>
      </c>
      <c r="U25" s="2008" t="s">
        <v>2830</v>
      </c>
      <c r="V25" s="2008"/>
      <c r="W25" s="2008" t="s">
        <v>2831</v>
      </c>
      <c r="X25" s="2879"/>
      <c r="Y25" s="2007" t="s">
        <v>2827</v>
      </c>
      <c r="Z25" s="2008" t="s">
        <v>2828</v>
      </c>
      <c r="AA25" s="2008" t="s">
        <v>2829</v>
      </c>
      <c r="AB25" s="2008" t="s">
        <v>2830</v>
      </c>
      <c r="AC25" s="2008"/>
      <c r="AD25" s="2008" t="s">
        <v>2831</v>
      </c>
    </row>
    <row r="26" spans="1:30" s="2882" customFormat="1" ht="13">
      <c r="A26" s="2880" t="s">
        <v>2832</v>
      </c>
      <c r="B26" s="2881"/>
      <c r="E26" s="2882">
        <f t="shared" ref="E26:G26" si="43">ROUND(AVERAGEIF(E27:E42,"&lt;&gt;0"),2)</f>
        <v>0.38</v>
      </c>
      <c r="F26" s="2882">
        <f t="shared" si="43"/>
        <v>0.28999999999999998</v>
      </c>
      <c r="G26" s="2882">
        <f t="shared" si="43"/>
        <v>0.56999999999999995</v>
      </c>
      <c r="I26" s="2882">
        <f>F26</f>
        <v>0.28999999999999998</v>
      </c>
      <c r="J26" s="2883"/>
      <c r="K26" s="2884"/>
      <c r="L26" s="2885">
        <f t="shared" ref="L26:N26" si="44">ROUND(AVERAGEIF(L27:L42,"&lt;&gt;0"),4)</f>
        <v>3.8E-3</v>
      </c>
      <c r="M26" s="2885">
        <f t="shared" si="44"/>
        <v>2.8999999999999998E-3</v>
      </c>
      <c r="N26" s="2885">
        <f t="shared" si="44"/>
        <v>5.7000000000000002E-3</v>
      </c>
      <c r="O26" s="2885"/>
      <c r="P26" s="2885">
        <f>M26</f>
        <v>2.8999999999999998E-3</v>
      </c>
      <c r="Q26" s="2883"/>
      <c r="R26" s="2886"/>
      <c r="S26" s="2887">
        <f>ROUND(SUMPRODUCT(PRODUCT(1+L27:L42)),4)</f>
        <v>1.0502</v>
      </c>
      <c r="T26" s="2887">
        <f t="shared" ref="T26:U26" si="45">ROUND(SUMPRODUCT(PRODUCT(1+M27:M42)),4)</f>
        <v>1.0387999999999999</v>
      </c>
      <c r="U26" s="2887">
        <f t="shared" si="45"/>
        <v>1.0763</v>
      </c>
      <c r="V26" s="2887"/>
      <c r="W26" s="2886">
        <f>T26</f>
        <v>1.0387999999999999</v>
      </c>
      <c r="X26" s="2883"/>
      <c r="Y26" s="2888"/>
      <c r="Z26" s="2889">
        <f t="shared" ref="Z26:AB26" si="46">ROUND(AVERAGEIF(Z27:Z42,"&lt;&gt;0"),4)</f>
        <v>4.3E-3</v>
      </c>
      <c r="AA26" s="2890">
        <f t="shared" si="46"/>
        <v>3.5999999999999999E-3</v>
      </c>
      <c r="AB26" s="2888">
        <f t="shared" si="46"/>
        <v>8.8999999999999999E-3</v>
      </c>
      <c r="AC26" s="2891"/>
      <c r="AD26" s="2888">
        <f>AA26</f>
        <v>3.5999999999999999E-3</v>
      </c>
    </row>
    <row r="27" spans="1:30" s="2005" customFormat="1" ht="13">
      <c r="B27" s="2021"/>
      <c r="J27" s="2892"/>
      <c r="K27" s="2893"/>
      <c r="L27" s="2894"/>
      <c r="M27" s="2894"/>
      <c r="N27" s="2894"/>
      <c r="O27" s="2894"/>
      <c r="P27" s="2894"/>
      <c r="Q27" s="2892"/>
      <c r="R27" s="2023"/>
      <c r="S27" s="2895"/>
      <c r="T27" s="2896"/>
      <c r="U27" s="2023"/>
      <c r="V27" s="2897"/>
      <c r="W27" s="2023"/>
      <c r="X27" s="2892"/>
      <c r="Y27" s="2024"/>
      <c r="Z27" s="2898"/>
      <c r="AA27" s="2899"/>
      <c r="AB27" s="2024"/>
      <c r="AC27" s="2900"/>
      <c r="AD27" s="2024"/>
    </row>
    <row r="28" spans="1:30" s="2041" customFormat="1" ht="13">
      <c r="A28" s="2036" t="s">
        <v>3376</v>
      </c>
      <c r="B28" s="2027">
        <v>2024</v>
      </c>
      <c r="C28" s="2038">
        <v>3</v>
      </c>
      <c r="D28" s="2003"/>
      <c r="E28" s="2003">
        <v>0</v>
      </c>
      <c r="F28" s="2003">
        <v>0</v>
      </c>
      <c r="G28" s="2003">
        <v>0</v>
      </c>
      <c r="H28" s="2003"/>
      <c r="I28" s="2004">
        <f t="shared" ref="I28" si="47">F28</f>
        <v>0</v>
      </c>
      <c r="J28" s="2902"/>
      <c r="K28" s="2039"/>
      <c r="L28" s="2024">
        <f t="shared" ref="L28" si="48">E28/100</f>
        <v>0</v>
      </c>
      <c r="M28" s="2024">
        <f t="shared" ref="M28" si="49">F28/100</f>
        <v>0</v>
      </c>
      <c r="N28" s="2024">
        <f t="shared" ref="N28" si="50">G28/100</f>
        <v>0</v>
      </c>
      <c r="O28" s="2024"/>
      <c r="P28" s="2024">
        <f>M28</f>
        <v>0</v>
      </c>
      <c r="Q28" s="2902"/>
      <c r="R28" s="2023"/>
      <c r="S28" s="2023">
        <f>ROUND(IF(项目基本情况!$B$8="出让",SUMPRODUCT(PRODUCT(1+L28:L$42)),SUMPRODUCT(PRODUCT(1+L28:L$41))),4)</f>
        <v>1.0465</v>
      </c>
      <c r="T28" s="2023">
        <f>ROUND(IF(项目基本情况!$B$8="出让",SUMPRODUCT(PRODUCT(1+M28:M$42)),SUMPRODUCT(PRODUCT(1+M28:M$41))),4)</f>
        <v>1.0338000000000001</v>
      </c>
      <c r="U28" s="2023">
        <f>ROUND(IF(项目基本情况!$B$8="出让",SUMPRODUCT(PRODUCT(1+N28:N$42)),SUMPRODUCT(PRODUCT(1+N28:N$41))),4)</f>
        <v>1.0659000000000001</v>
      </c>
      <c r="V28" s="2023"/>
      <c r="W28" s="2023">
        <f>T28</f>
        <v>1.0338000000000001</v>
      </c>
      <c r="X28" s="2902"/>
      <c r="Y28" s="2024"/>
      <c r="Z28" s="2898">
        <f t="shared" ref="Z28:AB29" si="51">IF(E28=0,0,ROUND(AVERAGE(E28:E41)/100,4))</f>
        <v>0</v>
      </c>
      <c r="AA28" s="2898">
        <f t="shared" si="51"/>
        <v>0</v>
      </c>
      <c r="AB28" s="2898">
        <f t="shared" si="51"/>
        <v>0</v>
      </c>
      <c r="AC28" s="2900"/>
      <c r="AD28" s="2024">
        <f>IF(I28=0,0,ROUND(AVERAGE(I28:I41)/100,4))</f>
        <v>0</v>
      </c>
    </row>
    <row r="29" spans="1:30" s="2041" customFormat="1" ht="13">
      <c r="A29" s="2036" t="s">
        <v>3371</v>
      </c>
      <c r="B29" s="2027">
        <v>2024</v>
      </c>
      <c r="C29" s="2038">
        <v>2</v>
      </c>
      <c r="D29" s="2003"/>
      <c r="E29" s="2003">
        <v>0</v>
      </c>
      <c r="F29" s="2003">
        <v>0</v>
      </c>
      <c r="G29" s="2003">
        <v>0</v>
      </c>
      <c r="H29" s="2003"/>
      <c r="I29" s="2004">
        <f t="shared" ref="I29:I42" si="52">F29</f>
        <v>0</v>
      </c>
      <c r="J29" s="2902"/>
      <c r="K29" s="2039"/>
      <c r="L29" s="2024">
        <f t="shared" ref="L29:N42" si="53">E29/100</f>
        <v>0</v>
      </c>
      <c r="M29" s="2024">
        <f t="shared" si="53"/>
        <v>0</v>
      </c>
      <c r="N29" s="2024">
        <f t="shared" si="53"/>
        <v>0</v>
      </c>
      <c r="O29" s="2024"/>
      <c r="P29" s="2024">
        <f>M29</f>
        <v>0</v>
      </c>
      <c r="Q29" s="2902"/>
      <c r="R29" s="2023"/>
      <c r="S29" s="2023">
        <f>ROUND(IF(项目基本情况!$B$8="出让",SUMPRODUCT(PRODUCT(1+L29:L$42)),SUMPRODUCT(PRODUCT(1+L29:L$41))),4)</f>
        <v>1.0465</v>
      </c>
      <c r="T29" s="2023">
        <f>ROUND(IF(项目基本情况!$B$8="出让",SUMPRODUCT(PRODUCT(1+M29:M$42)),SUMPRODUCT(PRODUCT(1+M29:M$41))),4)</f>
        <v>1.0338000000000001</v>
      </c>
      <c r="U29" s="2023">
        <f>ROUND(IF(项目基本情况!$B$8="出让",SUMPRODUCT(PRODUCT(1+N29:N$42)),SUMPRODUCT(PRODUCT(1+N29:N$41))),4)</f>
        <v>1.0659000000000001</v>
      </c>
      <c r="V29" s="2023"/>
      <c r="W29" s="2023">
        <f>T29</f>
        <v>1.0338000000000001</v>
      </c>
      <c r="X29" s="2902"/>
      <c r="Y29" s="2024"/>
      <c r="Z29" s="2898">
        <f t="shared" si="51"/>
        <v>0</v>
      </c>
      <c r="AA29" s="2898">
        <f t="shared" si="51"/>
        <v>0</v>
      </c>
      <c r="AB29" s="2898">
        <f t="shared" si="51"/>
        <v>0</v>
      </c>
      <c r="AC29" s="2900"/>
      <c r="AD29" s="2024">
        <f>IF(I29=0,0,ROUND(AVERAGE(I29:I42)/100,4))</f>
        <v>0</v>
      </c>
    </row>
    <row r="30" spans="1:30" s="2912" customFormat="1" ht="13">
      <c r="A30" s="2903" t="s">
        <v>3373</v>
      </c>
      <c r="B30" s="2904">
        <v>2024</v>
      </c>
      <c r="C30" s="2905">
        <v>1</v>
      </c>
      <c r="D30" s="2906"/>
      <c r="E30" s="2906">
        <v>0.25</v>
      </c>
      <c r="F30" s="2906">
        <v>0.4</v>
      </c>
      <c r="G30" s="2906">
        <v>-0.63</v>
      </c>
      <c r="H30" s="2907"/>
      <c r="I30" s="2908">
        <f t="shared" ref="I30:I31" si="54">F30</f>
        <v>0.4</v>
      </c>
      <c r="J30" s="2909"/>
      <c r="K30" s="2910"/>
      <c r="L30" s="2911">
        <f t="shared" ref="L30" si="55">E30/100</f>
        <v>2.5000000000000001E-3</v>
      </c>
      <c r="M30" s="2911">
        <f t="shared" ref="M30" si="56">F30/100</f>
        <v>4.0000000000000001E-3</v>
      </c>
      <c r="N30" s="2911">
        <f t="shared" ref="N30" si="57">G30/100</f>
        <v>-6.3E-3</v>
      </c>
      <c r="O30" s="2911"/>
      <c r="P30" s="2911">
        <f t="shared" ref="P30" si="58">M30</f>
        <v>4.0000000000000001E-3</v>
      </c>
      <c r="Q30" s="2909"/>
      <c r="R30" s="2909"/>
      <c r="S30" s="2909">
        <f>ROUND(IF(项目基本情况!$B$8="出让",SUMPRODUCT(PRODUCT(1+L30:L$42)),SUMPRODUCT(PRODUCT(1+L30:L$41))),4)</f>
        <v>1.0465</v>
      </c>
      <c r="T30" s="2909">
        <f>ROUND(IF(项目基本情况!$B$8="出让",SUMPRODUCT(PRODUCT(1+M30:M$42)),SUMPRODUCT(PRODUCT(1+M30:M$41))),4)</f>
        <v>1.0338000000000001</v>
      </c>
      <c r="U30" s="2909">
        <f>ROUND(IF(项目基本情况!$B$8="出让",SUMPRODUCT(PRODUCT(1+N30:N$42)),SUMPRODUCT(PRODUCT(1+N30:N$41))),4)</f>
        <v>1.0659000000000001</v>
      </c>
      <c r="V30" s="2909"/>
      <c r="W30" s="2909">
        <f t="shared" ref="W30" si="59">T30</f>
        <v>1.0338000000000001</v>
      </c>
      <c r="X30" s="2909"/>
      <c r="Y30" s="2911"/>
      <c r="Z30" s="2927"/>
      <c r="AA30" s="2928"/>
      <c r="AB30" s="2911"/>
      <c r="AC30" s="2929"/>
      <c r="AD30" s="2911"/>
    </row>
    <row r="31" spans="1:30" s="2041" customFormat="1" ht="13">
      <c r="A31" s="2901" t="s">
        <v>3375</v>
      </c>
      <c r="B31" s="2027">
        <v>2023</v>
      </c>
      <c r="C31" s="2038">
        <v>4</v>
      </c>
      <c r="D31" s="2003"/>
      <c r="E31" s="2003">
        <v>7.0000000000000007E-2</v>
      </c>
      <c r="F31" s="2003">
        <v>0.09</v>
      </c>
      <c r="G31" s="2003">
        <v>0.03</v>
      </c>
      <c r="H31" s="2913"/>
      <c r="I31" s="2004">
        <f t="shared" si="54"/>
        <v>0.09</v>
      </c>
      <c r="J31" s="2902"/>
      <c r="K31" s="2039"/>
      <c r="L31" s="2024">
        <f t="shared" si="53"/>
        <v>7.000000000000001E-4</v>
      </c>
      <c r="M31" s="2024">
        <f t="shared" si="53"/>
        <v>8.9999999999999998E-4</v>
      </c>
      <c r="N31" s="2024">
        <f t="shared" si="53"/>
        <v>2.9999999999999997E-4</v>
      </c>
      <c r="O31" s="2024"/>
      <c r="P31" s="2024">
        <f t="shared" ref="P31" si="60">M31</f>
        <v>8.9999999999999998E-4</v>
      </c>
      <c r="Q31" s="2902"/>
      <c r="R31" s="2023"/>
      <c r="S31" s="2023">
        <f>ROUND(IF(项目基本情况!$B$8="出让",SUMPRODUCT(PRODUCT(1+L31:L$42)),SUMPRODUCT(PRODUCT(1+L31:L$41))),4)</f>
        <v>1.0439000000000001</v>
      </c>
      <c r="T31" s="2023">
        <f>ROUND(IF(项目基本情况!$B$8="出让",SUMPRODUCT(PRODUCT(1+M31:M$42)),SUMPRODUCT(PRODUCT(1+M31:M$41))),4)</f>
        <v>1.0297000000000001</v>
      </c>
      <c r="U31" s="2023">
        <f>ROUND(IF(项目基本情况!$B$8="出让",SUMPRODUCT(PRODUCT(1+N31:N$42)),SUMPRODUCT(PRODUCT(1+N31:N$41))),4)</f>
        <v>1.0727</v>
      </c>
      <c r="V31" s="2023"/>
      <c r="W31" s="2023">
        <f t="shared" ref="W31" si="61">T31</f>
        <v>1.0297000000000001</v>
      </c>
      <c r="X31" s="2902"/>
      <c r="Y31" s="2024"/>
      <c r="Z31" s="2898"/>
      <c r="AA31" s="2899"/>
      <c r="AB31" s="2024"/>
      <c r="AC31" s="2900"/>
      <c r="AD31" s="2024"/>
    </row>
    <row r="32" spans="1:30" s="2041" customFormat="1" ht="13">
      <c r="A32" s="2901" t="s">
        <v>3372</v>
      </c>
      <c r="B32" s="2027">
        <v>2023</v>
      </c>
      <c r="C32" s="2038">
        <v>3</v>
      </c>
      <c r="D32" s="2003"/>
      <c r="E32" s="2003">
        <v>0.35</v>
      </c>
      <c r="F32" s="2003">
        <v>0.17</v>
      </c>
      <c r="G32" s="2003">
        <v>0.52</v>
      </c>
      <c r="H32" s="2913"/>
      <c r="I32" s="2004">
        <f t="shared" si="52"/>
        <v>0.17</v>
      </c>
      <c r="J32" s="2902"/>
      <c r="K32" s="2039"/>
      <c r="L32" s="2024">
        <f t="shared" ref="L32:L34" si="62">E32/100</f>
        <v>3.4999999999999996E-3</v>
      </c>
      <c r="M32" s="2024">
        <f t="shared" ref="M32:M34" si="63">F32/100</f>
        <v>1.7000000000000001E-3</v>
      </c>
      <c r="N32" s="2024">
        <f t="shared" ref="N32:N34" si="64">G32/100</f>
        <v>5.1999999999999998E-3</v>
      </c>
      <c r="O32" s="2024"/>
      <c r="P32" s="2024">
        <f t="shared" ref="P32:P34" si="65">M32</f>
        <v>1.7000000000000001E-3</v>
      </c>
      <c r="Q32" s="2902"/>
      <c r="R32" s="2023"/>
      <c r="S32" s="2023">
        <f>ROUND(IF(项目基本情况!$B$8="出让",SUMPRODUCT(PRODUCT(1+L32:L$42)),SUMPRODUCT(PRODUCT(1+L32:L$41))),4)</f>
        <v>1.0431999999999999</v>
      </c>
      <c r="T32" s="2023">
        <f>ROUND(IF(项目基本情况!$B$8="出让",SUMPRODUCT(PRODUCT(1+M32:M$42)),SUMPRODUCT(PRODUCT(1+M32:M$41))),4)</f>
        <v>1.0286999999999999</v>
      </c>
      <c r="U32" s="2023">
        <f>ROUND(IF(项目基本情况!$B$8="出让",SUMPRODUCT(PRODUCT(1+N32:N$42)),SUMPRODUCT(PRODUCT(1+N32:N$41))),4)</f>
        <v>1.0723</v>
      </c>
      <c r="V32" s="2023"/>
      <c r="W32" s="2023">
        <f t="shared" ref="W32:W34" si="66">T32</f>
        <v>1.0286999999999999</v>
      </c>
      <c r="X32" s="2902"/>
      <c r="Y32" s="2024"/>
      <c r="Z32" s="2898"/>
      <c r="AA32" s="2899"/>
      <c r="AB32" s="2024"/>
      <c r="AC32" s="2900"/>
      <c r="AD32" s="2024"/>
    </row>
    <row r="33" spans="1:30" s="2041" customFormat="1" ht="13">
      <c r="A33" s="2901" t="s">
        <v>3370</v>
      </c>
      <c r="B33" s="2027">
        <v>2023</v>
      </c>
      <c r="C33" s="2038">
        <v>2</v>
      </c>
      <c r="D33" s="2003"/>
      <c r="E33" s="2003">
        <v>0.5</v>
      </c>
      <c r="F33" s="2003">
        <v>0.45</v>
      </c>
      <c r="G33" s="2003">
        <v>0.89</v>
      </c>
      <c r="H33" s="2913"/>
      <c r="I33" s="2004">
        <f t="shared" si="52"/>
        <v>0.45</v>
      </c>
      <c r="J33" s="2902"/>
      <c r="K33" s="2039"/>
      <c r="L33" s="2024">
        <f t="shared" si="62"/>
        <v>5.0000000000000001E-3</v>
      </c>
      <c r="M33" s="2024">
        <f t="shared" si="63"/>
        <v>4.5000000000000005E-3</v>
      </c>
      <c r="N33" s="2024">
        <f t="shared" si="64"/>
        <v>8.8999999999999999E-3</v>
      </c>
      <c r="O33" s="2024"/>
      <c r="P33" s="2024">
        <f t="shared" si="65"/>
        <v>4.5000000000000005E-3</v>
      </c>
      <c r="Q33" s="2902"/>
      <c r="R33" s="2023"/>
      <c r="S33" s="2023">
        <f>ROUND(IF(项目基本情况!$B$8="出让",SUMPRODUCT(PRODUCT(1+L33:L$42)),SUMPRODUCT(PRODUCT(1+L33:L$41))),4)</f>
        <v>1.0396000000000001</v>
      </c>
      <c r="T33" s="2023">
        <f>ROUND(IF(项目基本情况!$B$8="出让",SUMPRODUCT(PRODUCT(1+M33:M$42)),SUMPRODUCT(PRODUCT(1+M33:M$41))),4)</f>
        <v>1.0269999999999999</v>
      </c>
      <c r="U33" s="2023">
        <f>ROUND(IF(项目基本情况!$B$8="出让",SUMPRODUCT(PRODUCT(1+N33:N$42)),SUMPRODUCT(PRODUCT(1+N33:N$41))),4)</f>
        <v>1.0668</v>
      </c>
      <c r="V33" s="2023"/>
      <c r="W33" s="2023">
        <f t="shared" si="66"/>
        <v>1.0269999999999999</v>
      </c>
      <c r="X33" s="2902"/>
      <c r="Y33" s="2024"/>
      <c r="Z33" s="2898"/>
      <c r="AA33" s="2899"/>
      <c r="AB33" s="2024"/>
      <c r="AC33" s="2900"/>
      <c r="AD33" s="2024"/>
    </row>
    <row r="34" spans="1:30" s="2041" customFormat="1" ht="13">
      <c r="A34" s="2901" t="s">
        <v>3366</v>
      </c>
      <c r="B34" s="2027">
        <v>2023</v>
      </c>
      <c r="C34" s="2038">
        <v>1</v>
      </c>
      <c r="D34" s="2003"/>
      <c r="E34" s="2003">
        <v>0.55000000000000004</v>
      </c>
      <c r="F34" s="2003">
        <v>0.59</v>
      </c>
      <c r="G34" s="2003">
        <v>0.64</v>
      </c>
      <c r="H34" s="2913"/>
      <c r="I34" s="2004">
        <f t="shared" si="52"/>
        <v>0.59</v>
      </c>
      <c r="J34" s="2902"/>
      <c r="K34" s="2039"/>
      <c r="L34" s="2024">
        <f t="shared" si="62"/>
        <v>5.5000000000000005E-3</v>
      </c>
      <c r="M34" s="2024">
        <f t="shared" si="63"/>
        <v>5.8999999999999999E-3</v>
      </c>
      <c r="N34" s="2024">
        <f t="shared" si="64"/>
        <v>6.4000000000000003E-3</v>
      </c>
      <c r="O34" s="2024"/>
      <c r="P34" s="2024">
        <f t="shared" si="65"/>
        <v>5.8999999999999999E-3</v>
      </c>
      <c r="Q34" s="2902"/>
      <c r="R34" s="2023"/>
      <c r="S34" s="2023">
        <f>ROUND(IF(项目基本情况!$B$8="出让",SUMPRODUCT(PRODUCT(1+L34:L$42)),SUMPRODUCT(PRODUCT(1+L34:L$41))),4)</f>
        <v>1.0344</v>
      </c>
      <c r="T34" s="2023">
        <f>ROUND(IF(项目基本情况!$B$8="出让",SUMPRODUCT(PRODUCT(1+M34:M$42)),SUMPRODUCT(PRODUCT(1+M34:M$41))),4)</f>
        <v>1.0224</v>
      </c>
      <c r="U34" s="2023">
        <f>ROUND(IF(项目基本情况!$B$8="出让",SUMPRODUCT(PRODUCT(1+N34:N$42)),SUMPRODUCT(PRODUCT(1+N34:N$41))),4)</f>
        <v>1.0573999999999999</v>
      </c>
      <c r="V34" s="2023"/>
      <c r="W34" s="2023">
        <f t="shared" si="66"/>
        <v>1.0224</v>
      </c>
      <c r="X34" s="2902"/>
      <c r="Y34" s="2024"/>
      <c r="Z34" s="2898"/>
      <c r="AA34" s="2899"/>
      <c r="AB34" s="2024"/>
      <c r="AC34" s="2900"/>
      <c r="AD34" s="2024"/>
    </row>
    <row r="35" spans="1:30" s="2041" customFormat="1" ht="13">
      <c r="A35" s="2901" t="s">
        <v>3365</v>
      </c>
      <c r="B35" s="2027">
        <v>2022</v>
      </c>
      <c r="C35" s="2038">
        <v>4</v>
      </c>
      <c r="D35" s="2003"/>
      <c r="E35" s="2003">
        <v>0.45</v>
      </c>
      <c r="F35" s="2003">
        <v>0.2</v>
      </c>
      <c r="G35" s="2003">
        <v>0.38</v>
      </c>
      <c r="H35" s="2913"/>
      <c r="I35" s="2004">
        <f t="shared" si="52"/>
        <v>0.2</v>
      </c>
      <c r="J35" s="2902"/>
      <c r="K35" s="2039"/>
      <c r="L35" s="2024">
        <f t="shared" si="53"/>
        <v>4.5000000000000005E-3</v>
      </c>
      <c r="M35" s="2024">
        <f t="shared" si="53"/>
        <v>2E-3</v>
      </c>
      <c r="N35" s="2024">
        <f t="shared" si="53"/>
        <v>3.8E-3</v>
      </c>
      <c r="O35" s="2024"/>
      <c r="P35" s="2024">
        <f t="shared" ref="P35:P42" si="67">M35</f>
        <v>2E-3</v>
      </c>
      <c r="Q35" s="2902"/>
      <c r="R35" s="2023"/>
      <c r="S35" s="2023">
        <f>ROUND(IF(项目基本情况!$B$8="出让",SUMPRODUCT(PRODUCT(1+L35:L$42)),SUMPRODUCT(PRODUCT(1+L35:L$41))),4)</f>
        <v>1.0286999999999999</v>
      </c>
      <c r="T35" s="2023">
        <f>ROUND(IF(项目基本情况!$B$8="出让",SUMPRODUCT(PRODUCT(1+M35:M$42)),SUMPRODUCT(PRODUCT(1+M35:M$41))),4)</f>
        <v>1.0164</v>
      </c>
      <c r="U35" s="2023">
        <f>ROUND(IF(项目基本情况!$B$8="出让",SUMPRODUCT(PRODUCT(1+N35:N$42)),SUMPRODUCT(PRODUCT(1+N35:N$41))),4)</f>
        <v>1.0506</v>
      </c>
      <c r="V35" s="2023"/>
      <c r="W35" s="2023">
        <f t="shared" ref="W35:W42" si="68">T35</f>
        <v>1.0164</v>
      </c>
      <c r="X35" s="2902"/>
      <c r="Y35" s="2024"/>
      <c r="Z35" s="2898">
        <f t="shared" ref="Z35:AD42" si="69">IF(E35=0,0,ROUND(AVERAGE(E35:E43)/100,4))</f>
        <v>4.0000000000000001E-3</v>
      </c>
      <c r="AA35" s="2899">
        <f t="shared" si="69"/>
        <v>2.5999999999999999E-3</v>
      </c>
      <c r="AB35" s="2024">
        <f t="shared" si="69"/>
        <v>7.4000000000000003E-3</v>
      </c>
      <c r="AC35" s="2900"/>
      <c r="AD35" s="2024">
        <f t="shared" si="69"/>
        <v>2.5999999999999999E-3</v>
      </c>
    </row>
    <row r="36" spans="1:30" s="2041" customFormat="1" ht="13">
      <c r="A36" s="2901" t="s">
        <v>3362</v>
      </c>
      <c r="B36" s="2027">
        <v>2022</v>
      </c>
      <c r="C36" s="2038">
        <v>3</v>
      </c>
      <c r="D36" s="2003"/>
      <c r="E36" s="2003">
        <v>0.3</v>
      </c>
      <c r="F36" s="2003">
        <v>0.28999999999999998</v>
      </c>
      <c r="G36" s="2003">
        <v>0.83</v>
      </c>
      <c r="H36" s="2913"/>
      <c r="I36" s="2004">
        <f t="shared" si="52"/>
        <v>0.28999999999999998</v>
      </c>
      <c r="J36" s="2902"/>
      <c r="K36" s="2039"/>
      <c r="L36" s="2024">
        <f t="shared" si="53"/>
        <v>3.0000000000000001E-3</v>
      </c>
      <c r="M36" s="2024">
        <f t="shared" si="53"/>
        <v>2.8999999999999998E-3</v>
      </c>
      <c r="N36" s="2024">
        <f t="shared" si="53"/>
        <v>8.3000000000000001E-3</v>
      </c>
      <c r="O36" s="2024"/>
      <c r="P36" s="2024">
        <f t="shared" si="67"/>
        <v>2.8999999999999998E-3</v>
      </c>
      <c r="Q36" s="2902"/>
      <c r="R36" s="2023"/>
      <c r="S36" s="2023">
        <f>ROUND(IF(项目基本情况!$B$8="出让",SUMPRODUCT(PRODUCT(1+L36:L$42)),SUMPRODUCT(PRODUCT(1+L36:L$41))),4)</f>
        <v>1.0241</v>
      </c>
      <c r="T36" s="2023">
        <f>ROUND(IF(项目基本情况!$B$8="出让",SUMPRODUCT(PRODUCT(1+M36:M$42)),SUMPRODUCT(PRODUCT(1+M36:M$41))),4)</f>
        <v>1.0144</v>
      </c>
      <c r="U36" s="2023">
        <f>ROUND(IF(项目基本情况!$B$8="出让",SUMPRODUCT(PRODUCT(1+N36:N$42)),SUMPRODUCT(PRODUCT(1+N36:N$41))),4)</f>
        <v>1.0467</v>
      </c>
      <c r="V36" s="2023"/>
      <c r="W36" s="2023">
        <f t="shared" si="68"/>
        <v>1.0144</v>
      </c>
      <c r="X36" s="2902"/>
      <c r="Y36" s="2024"/>
      <c r="Z36" s="2898">
        <f t="shared" si="69"/>
        <v>3.8999999999999998E-3</v>
      </c>
      <c r="AA36" s="2899">
        <f t="shared" si="69"/>
        <v>2.7000000000000001E-3</v>
      </c>
      <c r="AB36" s="2024">
        <f t="shared" si="69"/>
        <v>7.9000000000000008E-3</v>
      </c>
      <c r="AC36" s="2900"/>
      <c r="AD36" s="2024">
        <f t="shared" si="69"/>
        <v>2.7000000000000001E-3</v>
      </c>
    </row>
    <row r="37" spans="1:30" s="2041" customFormat="1" ht="13">
      <c r="A37" s="2901" t="s">
        <v>3352</v>
      </c>
      <c r="B37" s="2027">
        <v>2022</v>
      </c>
      <c r="C37" s="2038">
        <v>2</v>
      </c>
      <c r="D37" s="2003"/>
      <c r="E37" s="2003">
        <v>-0.11</v>
      </c>
      <c r="F37" s="2003">
        <v>-0.13</v>
      </c>
      <c r="G37" s="2003">
        <v>0.53</v>
      </c>
      <c r="H37" s="2913"/>
      <c r="I37" s="2004">
        <f t="shared" si="52"/>
        <v>-0.13</v>
      </c>
      <c r="J37" s="2902"/>
      <c r="K37" s="2039"/>
      <c r="L37" s="2024">
        <f t="shared" si="53"/>
        <v>-1.1000000000000001E-3</v>
      </c>
      <c r="M37" s="2024">
        <f t="shared" si="53"/>
        <v>-1.2999999999999999E-3</v>
      </c>
      <c r="N37" s="2024">
        <f t="shared" si="53"/>
        <v>5.3E-3</v>
      </c>
      <c r="O37" s="2024"/>
      <c r="P37" s="2024">
        <f t="shared" si="67"/>
        <v>-1.2999999999999999E-3</v>
      </c>
      <c r="Q37" s="2902"/>
      <c r="R37" s="2023"/>
      <c r="S37" s="2023">
        <f>ROUND(IF(项目基本情况!$B$8="出让",SUMPRODUCT(PRODUCT(1+L37:L$42)),SUMPRODUCT(PRODUCT(1+L37:L$41))),4)</f>
        <v>1.0210999999999999</v>
      </c>
      <c r="T37" s="2023">
        <f>ROUND(IF(项目基本情况!$B$8="出让",SUMPRODUCT(PRODUCT(1+M37:M$42)),SUMPRODUCT(PRODUCT(1+M37:M$41))),4)</f>
        <v>1.0114000000000001</v>
      </c>
      <c r="U37" s="2023">
        <f>ROUND(IF(项目基本情况!$B$8="出让",SUMPRODUCT(PRODUCT(1+N37:N$42)),SUMPRODUCT(PRODUCT(1+N37:N$41))),4)</f>
        <v>1.0381</v>
      </c>
      <c r="V37" s="2023"/>
      <c r="W37" s="2023">
        <f t="shared" si="68"/>
        <v>1.0114000000000001</v>
      </c>
      <c r="X37" s="2902"/>
      <c r="Y37" s="2024"/>
      <c r="Z37" s="2898">
        <f t="shared" si="69"/>
        <v>4.1000000000000003E-3</v>
      </c>
      <c r="AA37" s="2899">
        <f t="shared" si="69"/>
        <v>2.7000000000000001E-3</v>
      </c>
      <c r="AB37" s="2024">
        <f t="shared" si="69"/>
        <v>7.9000000000000008E-3</v>
      </c>
      <c r="AC37" s="2900"/>
      <c r="AD37" s="2024">
        <f t="shared" si="69"/>
        <v>2.7000000000000001E-3</v>
      </c>
    </row>
    <row r="38" spans="1:30" s="2041" customFormat="1" ht="13">
      <c r="A38" s="2901" t="s">
        <v>2833</v>
      </c>
      <c r="B38" s="2027">
        <v>2022</v>
      </c>
      <c r="C38" s="2038">
        <v>1</v>
      </c>
      <c r="D38" s="2003"/>
      <c r="E38" s="2003">
        <v>0.6</v>
      </c>
      <c r="F38" s="2003">
        <v>0.45</v>
      </c>
      <c r="G38" s="2003">
        <v>0.53</v>
      </c>
      <c r="H38" s="2913"/>
      <c r="I38" s="2004">
        <f t="shared" si="52"/>
        <v>0.45</v>
      </c>
      <c r="J38" s="2902"/>
      <c r="K38" s="2039"/>
      <c r="L38" s="2024">
        <f t="shared" si="53"/>
        <v>6.0000000000000001E-3</v>
      </c>
      <c r="M38" s="2024">
        <f t="shared" si="53"/>
        <v>4.5000000000000005E-3</v>
      </c>
      <c r="N38" s="2024">
        <f t="shared" si="53"/>
        <v>5.3E-3</v>
      </c>
      <c r="O38" s="2024"/>
      <c r="P38" s="2024">
        <f t="shared" si="67"/>
        <v>4.5000000000000005E-3</v>
      </c>
      <c r="Q38" s="2902"/>
      <c r="R38" s="2023"/>
      <c r="S38" s="2023">
        <f>ROUND(IF(项目基本情况!$B$8="出让",SUMPRODUCT(PRODUCT(1+L38:L$42)),SUMPRODUCT(PRODUCT(1+L38:L$41))),4)</f>
        <v>1.0222</v>
      </c>
      <c r="T38" s="2023">
        <f>ROUND(IF(项目基本情况!$B$8="出让",SUMPRODUCT(PRODUCT(1+M38:M$42)),SUMPRODUCT(PRODUCT(1+M38:M$41))),4)</f>
        <v>1.0127999999999999</v>
      </c>
      <c r="U38" s="2023">
        <f>ROUND(IF(项目基本情况!$B$8="出让",SUMPRODUCT(PRODUCT(1+N38:N$42)),SUMPRODUCT(PRODUCT(1+N38:N$41))),4)</f>
        <v>1.0326</v>
      </c>
      <c r="V38" s="2023"/>
      <c r="W38" s="2023">
        <f t="shared" si="68"/>
        <v>1.0127999999999999</v>
      </c>
      <c r="X38" s="2902"/>
      <c r="Y38" s="2024"/>
      <c r="Z38" s="2898">
        <f t="shared" si="69"/>
        <v>5.1000000000000004E-3</v>
      </c>
      <c r="AA38" s="2899">
        <f t="shared" si="69"/>
        <v>3.5000000000000001E-3</v>
      </c>
      <c r="AB38" s="2024">
        <f t="shared" si="69"/>
        <v>8.3999999999999995E-3</v>
      </c>
      <c r="AC38" s="2900"/>
      <c r="AD38" s="2024">
        <f t="shared" si="69"/>
        <v>3.5000000000000001E-3</v>
      </c>
    </row>
    <row r="39" spans="1:30" s="2041" customFormat="1" ht="13">
      <c r="A39" s="2901" t="s">
        <v>2834</v>
      </c>
      <c r="B39" s="2027">
        <v>2021</v>
      </c>
      <c r="C39" s="2038">
        <v>4</v>
      </c>
      <c r="D39" s="2003"/>
      <c r="E39" s="2003">
        <v>0.57999999999999996</v>
      </c>
      <c r="F39" s="2003">
        <v>0.08</v>
      </c>
      <c r="G39" s="2003">
        <v>0.68</v>
      </c>
      <c r="H39" s="2913"/>
      <c r="I39" s="2004">
        <f t="shared" si="52"/>
        <v>0.08</v>
      </c>
      <c r="J39" s="2902"/>
      <c r="K39" s="2039"/>
      <c r="L39" s="2024">
        <f t="shared" si="53"/>
        <v>5.7999999999999996E-3</v>
      </c>
      <c r="M39" s="2024">
        <f t="shared" si="53"/>
        <v>8.0000000000000004E-4</v>
      </c>
      <c r="N39" s="2024">
        <f t="shared" si="53"/>
        <v>6.8000000000000005E-3</v>
      </c>
      <c r="O39" s="2024"/>
      <c r="P39" s="2024">
        <f t="shared" si="67"/>
        <v>8.0000000000000004E-4</v>
      </c>
      <c r="Q39" s="2902"/>
      <c r="R39" s="2023"/>
      <c r="S39" s="2023">
        <f>ROUND(IF(项目基本情况!$B$8="出让",SUMPRODUCT(PRODUCT(1+L39:L$42)),SUMPRODUCT(PRODUCT(1+L39:L$41))),4)</f>
        <v>1.0161</v>
      </c>
      <c r="T39" s="2023">
        <f>ROUND(IF(项目基本情况!$B$8="出让",SUMPRODUCT(PRODUCT(1+M39:M$42)),SUMPRODUCT(PRODUCT(1+M39:M$41))),4)</f>
        <v>1.0082</v>
      </c>
      <c r="U39" s="2023">
        <f>ROUND(IF(项目基本情况!$B$8="出让",SUMPRODUCT(PRODUCT(1+N39:N$42)),SUMPRODUCT(PRODUCT(1+N39:N$41))),4)</f>
        <v>1.0270999999999999</v>
      </c>
      <c r="V39" s="2023"/>
      <c r="W39" s="2023">
        <f t="shared" si="68"/>
        <v>1.0082</v>
      </c>
      <c r="X39" s="2902"/>
      <c r="Y39" s="2024"/>
      <c r="Z39" s="2898">
        <f t="shared" si="69"/>
        <v>4.8999999999999998E-3</v>
      </c>
      <c r="AA39" s="2899">
        <f t="shared" si="69"/>
        <v>3.3E-3</v>
      </c>
      <c r="AB39" s="2024">
        <f t="shared" si="69"/>
        <v>9.1999999999999998E-3</v>
      </c>
      <c r="AC39" s="2900"/>
      <c r="AD39" s="2024">
        <f t="shared" si="69"/>
        <v>3.3E-3</v>
      </c>
    </row>
    <row r="40" spans="1:30" s="2041" customFormat="1" ht="13">
      <c r="A40" s="2901" t="s">
        <v>2835</v>
      </c>
      <c r="B40" s="2027">
        <v>2021</v>
      </c>
      <c r="C40" s="2038">
        <v>3</v>
      </c>
      <c r="D40" s="2003"/>
      <c r="E40" s="2003">
        <v>0.47</v>
      </c>
      <c r="F40" s="2003">
        <v>0.28000000000000003</v>
      </c>
      <c r="G40" s="2003">
        <v>0.91</v>
      </c>
      <c r="H40" s="2913"/>
      <c r="I40" s="2004">
        <f t="shared" si="52"/>
        <v>0.28000000000000003</v>
      </c>
      <c r="J40" s="2902"/>
      <c r="K40" s="2039"/>
      <c r="L40" s="2024">
        <f t="shared" si="53"/>
        <v>4.6999999999999993E-3</v>
      </c>
      <c r="M40" s="2024">
        <f t="shared" si="53"/>
        <v>2.8000000000000004E-3</v>
      </c>
      <c r="N40" s="2024">
        <f t="shared" si="53"/>
        <v>9.1000000000000004E-3</v>
      </c>
      <c r="O40" s="2024"/>
      <c r="P40" s="2024">
        <f t="shared" si="67"/>
        <v>2.8000000000000004E-3</v>
      </c>
      <c r="Q40" s="2902"/>
      <c r="R40" s="2023"/>
      <c r="S40" s="2023">
        <f>ROUND(IF(项目基本情况!$B$8="出让",SUMPRODUCT(PRODUCT(1+L40:L$42)),SUMPRODUCT(PRODUCT(1+L40:L$41))),4)</f>
        <v>1.0102</v>
      </c>
      <c r="T40" s="2023">
        <f>ROUND(IF(项目基本情况!$B$8="出让",SUMPRODUCT(PRODUCT(1+M40:M$42)),SUMPRODUCT(PRODUCT(1+M40:M$41))),4)</f>
        <v>1.0074000000000001</v>
      </c>
      <c r="U40" s="2023">
        <f>ROUND(IF(项目基本情况!$B$8="出让",SUMPRODUCT(PRODUCT(1+N40:N$42)),SUMPRODUCT(PRODUCT(1+N40:N$41))),4)</f>
        <v>1.0202</v>
      </c>
      <c r="V40" s="2023"/>
      <c r="W40" s="2023">
        <f t="shared" si="68"/>
        <v>1.0074000000000001</v>
      </c>
      <c r="X40" s="2902"/>
      <c r="Y40" s="2024"/>
      <c r="Z40" s="2898">
        <f t="shared" si="69"/>
        <v>4.5999999999999999E-3</v>
      </c>
      <c r="AA40" s="2899">
        <f t="shared" si="69"/>
        <v>4.1000000000000003E-3</v>
      </c>
      <c r="AB40" s="2024">
        <f t="shared" si="69"/>
        <v>0.01</v>
      </c>
      <c r="AC40" s="2900"/>
      <c r="AD40" s="2024">
        <f t="shared" si="69"/>
        <v>4.1000000000000003E-3</v>
      </c>
    </row>
    <row r="41" spans="1:30" s="2041" customFormat="1" ht="13">
      <c r="A41" s="2901" t="s">
        <v>2836</v>
      </c>
      <c r="B41" s="2027">
        <v>2021</v>
      </c>
      <c r="C41" s="2038">
        <v>2</v>
      </c>
      <c r="D41" s="2003"/>
      <c r="E41" s="2003">
        <v>0.55000000000000004</v>
      </c>
      <c r="F41" s="2003">
        <v>0.46</v>
      </c>
      <c r="G41" s="2003">
        <v>1.1000000000000001</v>
      </c>
      <c r="H41" s="2913"/>
      <c r="I41" s="2004">
        <f t="shared" si="52"/>
        <v>0.46</v>
      </c>
      <c r="J41" s="2902"/>
      <c r="K41" s="2039"/>
      <c r="L41" s="2024">
        <f t="shared" si="53"/>
        <v>5.5000000000000005E-3</v>
      </c>
      <c r="M41" s="2024">
        <f t="shared" si="53"/>
        <v>4.5999999999999999E-3</v>
      </c>
      <c r="N41" s="2024">
        <f t="shared" si="53"/>
        <v>1.1000000000000001E-2</v>
      </c>
      <c r="O41" s="2024"/>
      <c r="P41" s="2024">
        <f t="shared" si="67"/>
        <v>4.5999999999999999E-3</v>
      </c>
      <c r="Q41" s="2902"/>
      <c r="R41" s="2023"/>
      <c r="S41" s="2023">
        <f>ROUND(IF(项目基本情况!$B$8="出让",SUMPRODUCT(PRODUCT(1+L41:L$42)),SUMPRODUCT(PRODUCT(1+L41:L$41))),4)</f>
        <v>1.0055000000000001</v>
      </c>
      <c r="T41" s="2023">
        <f>ROUND(IF(项目基本情况!$B$8="出让",SUMPRODUCT(PRODUCT(1+M41:M$42)),SUMPRODUCT(PRODUCT(1+M41:M$41))),4)</f>
        <v>1.0045999999999999</v>
      </c>
      <c r="U41" s="2023">
        <f>ROUND(IF(项目基本情况!$B$8="出让",SUMPRODUCT(PRODUCT(1+N41:N$42)),SUMPRODUCT(PRODUCT(1+N41:N$41))),4)</f>
        <v>1.0109999999999999</v>
      </c>
      <c r="V41" s="2023"/>
      <c r="W41" s="2023">
        <f t="shared" si="68"/>
        <v>1.0045999999999999</v>
      </c>
      <c r="X41" s="2902"/>
      <c r="Y41" s="2024"/>
      <c r="Z41" s="2898">
        <f t="shared" si="69"/>
        <v>4.4999999999999997E-3</v>
      </c>
      <c r="AA41" s="2899">
        <f t="shared" si="69"/>
        <v>4.7000000000000002E-3</v>
      </c>
      <c r="AB41" s="2024">
        <f t="shared" si="69"/>
        <v>1.04E-2</v>
      </c>
      <c r="AC41" s="2900"/>
      <c r="AD41" s="2024">
        <f t="shared" si="69"/>
        <v>4.7000000000000002E-3</v>
      </c>
    </row>
    <row r="42" spans="1:30" s="2924" customFormat="1" ht="13.5" thickBot="1">
      <c r="A42" s="2914" t="s">
        <v>2822</v>
      </c>
      <c r="B42" s="2915">
        <v>2021</v>
      </c>
      <c r="C42" s="2916">
        <v>1</v>
      </c>
      <c r="D42" s="2917"/>
      <c r="E42" s="2917">
        <v>0.35</v>
      </c>
      <c r="F42" s="2917">
        <v>0.48</v>
      </c>
      <c r="G42" s="2917">
        <v>0.98</v>
      </c>
      <c r="H42" s="2918"/>
      <c r="I42" s="2919">
        <f t="shared" si="52"/>
        <v>0.48</v>
      </c>
      <c r="J42" s="2920"/>
      <c r="K42" s="2921"/>
      <c r="L42" s="2922">
        <f t="shared" si="53"/>
        <v>3.4999999999999996E-3</v>
      </c>
      <c r="M42" s="2922">
        <f>F42/100</f>
        <v>4.7999999999999996E-3</v>
      </c>
      <c r="N42" s="2922">
        <f t="shared" si="53"/>
        <v>9.7999999999999997E-3</v>
      </c>
      <c r="O42" s="2922"/>
      <c r="P42" s="2922">
        <f t="shared" si="67"/>
        <v>4.7999999999999996E-3</v>
      </c>
      <c r="Q42" s="2920"/>
      <c r="R42" s="2923"/>
      <c r="S42" s="2923">
        <v>1</v>
      </c>
      <c r="T42" s="2923">
        <v>1</v>
      </c>
      <c r="U42" s="2923">
        <v>1</v>
      </c>
      <c r="V42" s="2923"/>
      <c r="W42" s="2923">
        <f t="shared" si="68"/>
        <v>1</v>
      </c>
      <c r="X42" s="2920"/>
      <c r="Y42" s="2922"/>
      <c r="Z42" s="2930">
        <f t="shared" si="69"/>
        <v>3.5000000000000001E-3</v>
      </c>
      <c r="AA42" s="2931">
        <f t="shared" si="69"/>
        <v>4.7999999999999996E-3</v>
      </c>
      <c r="AB42" s="2922">
        <f t="shared" si="69"/>
        <v>9.7999999999999997E-3</v>
      </c>
      <c r="AC42" s="2932"/>
      <c r="AD42" s="2922">
        <f t="shared" si="69"/>
        <v>4.7999999999999996E-3</v>
      </c>
    </row>
    <row r="43" spans="1:30" ht="14.5" thickTop="1"/>
    <row r="44" spans="1:30">
      <c r="A44" s="3138" t="s">
        <v>3364</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5"/>
  <cols>
    <col min="1" max="1" width="9" style="2023"/>
    <col min="2" max="6" width="9" style="2023" customWidth="1"/>
    <col min="7" max="7" width="9" style="2057"/>
    <col min="8" max="8" width="9" style="2023"/>
    <col min="9" max="12" width="9" style="2023" customWidth="1"/>
    <col min="13" max="13" width="2.26953125" style="2023" customWidth="1"/>
    <col min="14" max="14" width="9" style="2057" customWidth="1"/>
    <col min="15" max="17" width="9" style="2023" customWidth="1"/>
    <col min="18" max="18" width="2.36328125" style="2023" customWidth="1"/>
    <col min="19" max="19" width="7.08984375" style="2057" customWidth="1"/>
    <col min="20" max="22" width="7.08984375" style="2023" customWidth="1"/>
    <col min="23" max="23" width="24.26953125" style="2023" customWidth="1"/>
    <col min="24" max="25" width="9" style="2023"/>
    <col min="26" max="27" width="11.6328125" style="2023" customWidth="1"/>
    <col min="28" max="28" width="9" style="2023"/>
    <col min="29" max="29" width="2" style="2023" customWidth="1"/>
    <col min="30" max="16384" width="9" style="2023"/>
  </cols>
  <sheetData>
    <row r="1" spans="1:34" s="2005" customFormat="1" ht="13">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06" customFormat="1" ht="14.5" thickBot="1">
      <c r="B2" s="2007" t="s">
        <v>458</v>
      </c>
      <c r="C2" s="2007" t="s">
        <v>459</v>
      </c>
      <c r="D2" s="2008" t="s">
        <v>460</v>
      </c>
      <c r="E2" s="2008" t="s">
        <v>461</v>
      </c>
      <c r="F2" s="2007" t="s">
        <v>462</v>
      </c>
      <c r="G2" s="2009"/>
      <c r="I2" s="2007" t="s">
        <v>458</v>
      </c>
      <c r="J2" s="2008" t="s">
        <v>674</v>
      </c>
      <c r="K2" s="2008" t="s">
        <v>308</v>
      </c>
      <c r="L2" s="2007" t="s">
        <v>462</v>
      </c>
      <c r="N2" s="2007" t="s">
        <v>458</v>
      </c>
      <c r="O2" s="2008" t="s">
        <v>674</v>
      </c>
      <c r="P2" s="2008" t="s">
        <v>308</v>
      </c>
      <c r="Q2" s="2007" t="s">
        <v>462</v>
      </c>
      <c r="S2" s="2007" t="s">
        <v>458</v>
      </c>
      <c r="T2" s="2008" t="s">
        <v>674</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ht="13">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ht="13">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ht="13">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ht="13">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ht="13">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ht="13">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ht="13">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ht="13">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ht="13">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ht="13">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ht="13">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ht="13">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ht="13">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ht="13">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ht="13">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26">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5"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26"/>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5"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26"/>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3"/>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ht="13">
      <c r="A25" s="2036" t="s">
        <v>2109</v>
      </c>
      <c r="B25" s="2045">
        <v>439</v>
      </c>
      <c r="C25" s="2045">
        <v>327</v>
      </c>
      <c r="D25" s="2045">
        <f>C25</f>
        <v>327</v>
      </c>
      <c r="E25" s="2045">
        <v>627</v>
      </c>
      <c r="F25" s="2046">
        <v>283</v>
      </c>
      <c r="G25" s="3529">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5"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26"/>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5" customHeight="1">
      <c r="A27" s="2036" t="s">
        <v>675</v>
      </c>
      <c r="B27" s="2037">
        <f t="shared" si="232"/>
        <v>419.31181600000002</v>
      </c>
      <c r="C27" s="2037">
        <f t="shared" si="233"/>
        <v>313.95436800000004</v>
      </c>
      <c r="D27" s="2037">
        <f t="shared" si="234"/>
        <v>313.95436800000004</v>
      </c>
      <c r="E27" s="2037">
        <f t="shared" si="235"/>
        <v>596.63028431999999</v>
      </c>
      <c r="F27" s="2037">
        <f t="shared" si="236"/>
        <v>274.74220703999998</v>
      </c>
      <c r="G27" s="3526"/>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3"/>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ht="13">
      <c r="A29" s="2036" t="s">
        <v>127</v>
      </c>
      <c r="B29" s="2045">
        <v>392</v>
      </c>
      <c r="C29" s="2045">
        <v>302</v>
      </c>
      <c r="D29" s="2045">
        <f>C29</f>
        <v>302</v>
      </c>
      <c r="E29" s="2045">
        <v>553</v>
      </c>
      <c r="F29" s="2046">
        <v>266</v>
      </c>
      <c r="G29" s="3529">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26"/>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26"/>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27"/>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25">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26"/>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26"/>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27"/>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25">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26"/>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26"/>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27"/>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0">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1"/>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ht="13">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1"/>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2"/>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25">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26"/>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26"/>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 thickBot="1">
      <c r="A48" s="2036" t="s">
        <v>472</v>
      </c>
      <c r="B48" s="2037">
        <f>B47/(1+N47)</f>
        <v>275.19025476197027</v>
      </c>
      <c r="C48" s="2081">
        <v>232</v>
      </c>
      <c r="D48" s="2081">
        <f t="shared" si="246"/>
        <v>232</v>
      </c>
      <c r="E48" s="2037">
        <f t="shared" si="257"/>
        <v>375.65990977608692</v>
      </c>
      <c r="F48" s="2037">
        <f t="shared" si="257"/>
        <v>214.12518283971252</v>
      </c>
      <c r="G48" s="3527"/>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25">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26">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26">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27">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25">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26">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26">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27">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25">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26">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26">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27">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25">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26">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26">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27">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25">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26">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26">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27">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25">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26">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26">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27">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25">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26">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26">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27">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25">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26">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26">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27">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25">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26">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26">
        <v>2003</v>
      </c>
      <c r="H83" s="2047">
        <v>2</v>
      </c>
      <c r="I83" s="2101"/>
      <c r="J83" s="2101"/>
      <c r="K83" s="2101"/>
      <c r="L83" s="2101"/>
      <c r="X83" s="2093"/>
      <c r="Y83" s="2093"/>
      <c r="Z83" s="2093"/>
    </row>
    <row r="84" spans="1:26" ht="13" thickBot="1">
      <c r="A84" s="2036" t="s">
        <v>508</v>
      </c>
      <c r="B84" s="2103">
        <f t="shared" si="282"/>
        <v>107.25</v>
      </c>
      <c r="C84" s="2103">
        <f t="shared" si="282"/>
        <v>108.75</v>
      </c>
      <c r="D84" s="2103">
        <f t="shared" si="246"/>
        <v>108.75</v>
      </c>
      <c r="E84" s="2103">
        <f t="shared" si="283"/>
        <v>105.75</v>
      </c>
      <c r="F84" s="2103">
        <f t="shared" si="283"/>
        <v>102.5</v>
      </c>
      <c r="G84" s="3527">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25">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26">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26">
        <v>2002</v>
      </c>
      <c r="H87" s="2047">
        <v>2</v>
      </c>
      <c r="I87" s="2101"/>
      <c r="J87" s="2101"/>
      <c r="K87" s="2101"/>
      <c r="L87" s="2101"/>
      <c r="X87" s="2093"/>
      <c r="Y87" s="2093"/>
      <c r="Z87" s="2093"/>
    </row>
    <row r="88" spans="1:26" s="2068" customFormat="1" ht="13" thickBot="1">
      <c r="A88" s="2064" t="s">
        <v>512</v>
      </c>
      <c r="B88" s="2071">
        <f t="shared" si="284"/>
        <v>103</v>
      </c>
      <c r="C88" s="2071">
        <f t="shared" si="284"/>
        <v>104</v>
      </c>
      <c r="D88" s="2071">
        <f t="shared" si="246"/>
        <v>104</v>
      </c>
      <c r="E88" s="2071">
        <f t="shared" si="285"/>
        <v>103.5</v>
      </c>
      <c r="F88" s="2071">
        <f t="shared" si="285"/>
        <v>100.5</v>
      </c>
      <c r="G88" s="3527">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ht="13">
      <c r="A91" s="2114" t="s">
        <v>513</v>
      </c>
      <c r="G91" s="2116"/>
      <c r="N91" s="2116"/>
      <c r="S91" s="2116"/>
    </row>
    <row r="92" spans="1:26" s="2115" customFormat="1" ht="13">
      <c r="A92" s="2115" t="s">
        <v>514</v>
      </c>
      <c r="G92" s="2116"/>
      <c r="N92" s="2116"/>
      <c r="S92" s="2116"/>
    </row>
    <row r="93" spans="1:26" s="2115" customFormat="1" ht="13">
      <c r="A93" s="2115" t="s">
        <v>515</v>
      </c>
      <c r="G93" s="2116"/>
      <c r="I93" s="2117"/>
      <c r="J93" s="2117"/>
      <c r="K93" s="2117"/>
      <c r="L93" s="2117"/>
      <c r="N93" s="2118"/>
      <c r="O93" s="2117"/>
      <c r="P93" s="2117"/>
      <c r="Q93" s="2117"/>
      <c r="S93" s="2118"/>
      <c r="T93" s="2117"/>
      <c r="U93" s="2117"/>
      <c r="V93" s="2117"/>
    </row>
    <row r="94" spans="1:26" s="2115" customFormat="1" ht="13">
      <c r="A94" s="2115" t="s">
        <v>516</v>
      </c>
      <c r="G94" s="2116"/>
      <c r="N94" s="2116"/>
      <c r="S94" s="2116"/>
    </row>
    <row r="101" spans="7:22" ht="13" thickBot="1"/>
    <row r="102" spans="7:22" ht="13">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4"/>
  <cols>
    <col min="1" max="1" width="4.90625" style="1155" customWidth="1"/>
    <col min="2" max="2" width="13.26953125" style="1161" customWidth="1"/>
    <col min="3" max="3" width="15.6328125" style="1161" customWidth="1"/>
    <col min="4" max="4" width="9.36328125" style="1161" bestFit="1" customWidth="1"/>
    <col min="5" max="5" width="13.453125" style="1161" customWidth="1"/>
    <col min="6" max="6" width="9" style="1161"/>
    <col min="7" max="7" width="9.36328125" style="1161" bestFit="1" customWidth="1"/>
    <col min="8" max="8" width="12.26953125" style="1161" customWidth="1"/>
    <col min="9" max="9" width="9" style="1161"/>
    <col min="10" max="10" width="9.36328125" style="1161" bestFit="1" customWidth="1"/>
    <col min="11" max="11" width="4" style="1155" customWidth="1"/>
    <col min="12" max="12" width="5.08984375" style="1161" customWidth="1"/>
    <col min="13" max="13" width="13.7265625" style="1161" customWidth="1"/>
    <col min="14" max="256" width="9" style="1161"/>
    <col min="257" max="257" width="4.90625" style="1152" customWidth="1"/>
    <col min="258" max="258" width="13.26953125" style="1152" customWidth="1"/>
    <col min="259" max="259" width="15.6328125" style="1152" customWidth="1"/>
    <col min="260" max="260" width="9.36328125" style="1152" bestFit="1" customWidth="1"/>
    <col min="261" max="261" width="13.453125" style="1152" customWidth="1"/>
    <col min="262" max="262" width="9" style="1152"/>
    <col min="263" max="263" width="9.36328125" style="1152" bestFit="1" customWidth="1"/>
    <col min="264" max="265" width="9" style="1152"/>
    <col min="266" max="266" width="9.36328125" style="1152" bestFit="1" customWidth="1"/>
    <col min="267" max="267" width="4" style="1152" customWidth="1"/>
    <col min="268" max="268" width="5.08984375" style="1152" customWidth="1"/>
    <col min="269" max="269" width="13.7265625" style="1152" customWidth="1"/>
    <col min="270" max="512" width="9" style="1152"/>
    <col min="513" max="513" width="4.90625" style="1152" customWidth="1"/>
    <col min="514" max="514" width="13.26953125" style="1152" customWidth="1"/>
    <col min="515" max="515" width="15.6328125" style="1152" customWidth="1"/>
    <col min="516" max="516" width="9.36328125" style="1152" bestFit="1" customWidth="1"/>
    <col min="517" max="517" width="13.453125" style="1152" customWidth="1"/>
    <col min="518" max="518" width="9" style="1152"/>
    <col min="519" max="519" width="9.36328125" style="1152" bestFit="1" customWidth="1"/>
    <col min="520" max="521" width="9" style="1152"/>
    <col min="522" max="522" width="9.36328125" style="1152" bestFit="1" customWidth="1"/>
    <col min="523" max="523" width="4" style="1152" customWidth="1"/>
    <col min="524" max="524" width="5.08984375" style="1152" customWidth="1"/>
    <col min="525" max="525" width="13.7265625" style="1152" customWidth="1"/>
    <col min="526" max="768" width="9" style="1152"/>
    <col min="769" max="769" width="4.90625" style="1152" customWidth="1"/>
    <col min="770" max="770" width="13.26953125" style="1152" customWidth="1"/>
    <col min="771" max="771" width="15.6328125" style="1152" customWidth="1"/>
    <col min="772" max="772" width="9.36328125" style="1152" bestFit="1" customWidth="1"/>
    <col min="773" max="773" width="13.453125" style="1152" customWidth="1"/>
    <col min="774" max="774" width="9" style="1152"/>
    <col min="775" max="775" width="9.36328125" style="1152" bestFit="1" customWidth="1"/>
    <col min="776" max="777" width="9" style="1152"/>
    <col min="778" max="778" width="9.36328125" style="1152" bestFit="1" customWidth="1"/>
    <col min="779" max="779" width="4" style="1152" customWidth="1"/>
    <col min="780" max="780" width="5.08984375" style="1152" customWidth="1"/>
    <col min="781" max="781" width="13.7265625" style="1152" customWidth="1"/>
    <col min="782" max="1024" width="9" style="1152"/>
    <col min="1025" max="1025" width="4.90625" style="1152" customWidth="1"/>
    <col min="1026" max="1026" width="13.26953125" style="1152" customWidth="1"/>
    <col min="1027" max="1027" width="15.6328125" style="1152" customWidth="1"/>
    <col min="1028" max="1028" width="9.36328125" style="1152" bestFit="1" customWidth="1"/>
    <col min="1029" max="1029" width="13.453125" style="1152" customWidth="1"/>
    <col min="1030" max="1030" width="9" style="1152"/>
    <col min="1031" max="1031" width="9.36328125" style="1152" bestFit="1" customWidth="1"/>
    <col min="1032" max="1033" width="9" style="1152"/>
    <col min="1034" max="1034" width="9.36328125" style="1152" bestFit="1" customWidth="1"/>
    <col min="1035" max="1035" width="4" style="1152" customWidth="1"/>
    <col min="1036" max="1036" width="5.08984375" style="1152" customWidth="1"/>
    <col min="1037" max="1037" width="13.7265625" style="1152" customWidth="1"/>
    <col min="1038" max="1280" width="9" style="1152"/>
    <col min="1281" max="1281" width="4.90625" style="1152" customWidth="1"/>
    <col min="1282" max="1282" width="13.26953125" style="1152" customWidth="1"/>
    <col min="1283" max="1283" width="15.6328125" style="1152" customWidth="1"/>
    <col min="1284" max="1284" width="9.36328125" style="1152" bestFit="1" customWidth="1"/>
    <col min="1285" max="1285" width="13.453125" style="1152" customWidth="1"/>
    <col min="1286" max="1286" width="9" style="1152"/>
    <col min="1287" max="1287" width="9.36328125" style="1152" bestFit="1" customWidth="1"/>
    <col min="1288" max="1289" width="9" style="1152"/>
    <col min="1290" max="1290" width="9.36328125" style="1152" bestFit="1" customWidth="1"/>
    <col min="1291" max="1291" width="4" style="1152" customWidth="1"/>
    <col min="1292" max="1292" width="5.08984375" style="1152" customWidth="1"/>
    <col min="1293" max="1293" width="13.7265625" style="1152" customWidth="1"/>
    <col min="1294" max="1536" width="9" style="1152"/>
    <col min="1537" max="1537" width="4.90625" style="1152" customWidth="1"/>
    <col min="1538" max="1538" width="13.26953125" style="1152" customWidth="1"/>
    <col min="1539" max="1539" width="15.6328125" style="1152" customWidth="1"/>
    <col min="1540" max="1540" width="9.36328125" style="1152" bestFit="1" customWidth="1"/>
    <col min="1541" max="1541" width="13.453125" style="1152" customWidth="1"/>
    <col min="1542" max="1542" width="9" style="1152"/>
    <col min="1543" max="1543" width="9.36328125" style="1152" bestFit="1" customWidth="1"/>
    <col min="1544" max="1545" width="9" style="1152"/>
    <col min="1546" max="1546" width="9.36328125" style="1152" bestFit="1" customWidth="1"/>
    <col min="1547" max="1547" width="4" style="1152" customWidth="1"/>
    <col min="1548" max="1548" width="5.08984375" style="1152" customWidth="1"/>
    <col min="1549" max="1549" width="13.7265625" style="1152" customWidth="1"/>
    <col min="1550" max="1792" width="9" style="1152"/>
    <col min="1793" max="1793" width="4.90625" style="1152" customWidth="1"/>
    <col min="1794" max="1794" width="13.26953125" style="1152" customWidth="1"/>
    <col min="1795" max="1795" width="15.6328125" style="1152" customWidth="1"/>
    <col min="1796" max="1796" width="9.36328125" style="1152" bestFit="1" customWidth="1"/>
    <col min="1797" max="1797" width="13.453125" style="1152" customWidth="1"/>
    <col min="1798" max="1798" width="9" style="1152"/>
    <col min="1799" max="1799" width="9.36328125" style="1152" bestFit="1" customWidth="1"/>
    <col min="1800" max="1801" width="9" style="1152"/>
    <col min="1802" max="1802" width="9.36328125" style="1152" bestFit="1" customWidth="1"/>
    <col min="1803" max="1803" width="4" style="1152" customWidth="1"/>
    <col min="1804" max="1804" width="5.08984375" style="1152" customWidth="1"/>
    <col min="1805" max="1805" width="13.7265625" style="1152" customWidth="1"/>
    <col min="1806" max="2048" width="9" style="1152"/>
    <col min="2049" max="2049" width="4.90625" style="1152" customWidth="1"/>
    <col min="2050" max="2050" width="13.26953125" style="1152" customWidth="1"/>
    <col min="2051" max="2051" width="15.6328125" style="1152" customWidth="1"/>
    <col min="2052" max="2052" width="9.36328125" style="1152" bestFit="1" customWidth="1"/>
    <col min="2053" max="2053" width="13.453125" style="1152" customWidth="1"/>
    <col min="2054" max="2054" width="9" style="1152"/>
    <col min="2055" max="2055" width="9.36328125" style="1152" bestFit="1" customWidth="1"/>
    <col min="2056" max="2057" width="9" style="1152"/>
    <col min="2058" max="2058" width="9.36328125" style="1152" bestFit="1" customWidth="1"/>
    <col min="2059" max="2059" width="4" style="1152" customWidth="1"/>
    <col min="2060" max="2060" width="5.08984375" style="1152" customWidth="1"/>
    <col min="2061" max="2061" width="13.7265625" style="1152" customWidth="1"/>
    <col min="2062" max="2304" width="9" style="1152"/>
    <col min="2305" max="2305" width="4.90625" style="1152" customWidth="1"/>
    <col min="2306" max="2306" width="13.26953125" style="1152" customWidth="1"/>
    <col min="2307" max="2307" width="15.6328125" style="1152" customWidth="1"/>
    <col min="2308" max="2308" width="9.36328125" style="1152" bestFit="1" customWidth="1"/>
    <col min="2309" max="2309" width="13.453125" style="1152" customWidth="1"/>
    <col min="2310" max="2310" width="9" style="1152"/>
    <col min="2311" max="2311" width="9.36328125" style="1152" bestFit="1" customWidth="1"/>
    <col min="2312" max="2313" width="9" style="1152"/>
    <col min="2314" max="2314" width="9.36328125" style="1152" bestFit="1" customWidth="1"/>
    <col min="2315" max="2315" width="4" style="1152" customWidth="1"/>
    <col min="2316" max="2316" width="5.08984375" style="1152" customWidth="1"/>
    <col min="2317" max="2317" width="13.7265625" style="1152" customWidth="1"/>
    <col min="2318" max="2560" width="9" style="1152"/>
    <col min="2561" max="2561" width="4.90625" style="1152" customWidth="1"/>
    <col min="2562" max="2562" width="13.26953125" style="1152" customWidth="1"/>
    <col min="2563" max="2563" width="15.6328125" style="1152" customWidth="1"/>
    <col min="2564" max="2564" width="9.36328125" style="1152" bestFit="1" customWidth="1"/>
    <col min="2565" max="2565" width="13.453125" style="1152" customWidth="1"/>
    <col min="2566" max="2566" width="9" style="1152"/>
    <col min="2567" max="2567" width="9.36328125" style="1152" bestFit="1" customWidth="1"/>
    <col min="2568" max="2569" width="9" style="1152"/>
    <col min="2570" max="2570" width="9.36328125" style="1152" bestFit="1" customWidth="1"/>
    <col min="2571" max="2571" width="4" style="1152" customWidth="1"/>
    <col min="2572" max="2572" width="5.08984375" style="1152" customWidth="1"/>
    <col min="2573" max="2573" width="13.7265625" style="1152" customWidth="1"/>
    <col min="2574" max="2816" width="9" style="1152"/>
    <col min="2817" max="2817" width="4.90625" style="1152" customWidth="1"/>
    <col min="2818" max="2818" width="13.26953125" style="1152" customWidth="1"/>
    <col min="2819" max="2819" width="15.6328125" style="1152" customWidth="1"/>
    <col min="2820" max="2820" width="9.36328125" style="1152" bestFit="1" customWidth="1"/>
    <col min="2821" max="2821" width="13.453125" style="1152" customWidth="1"/>
    <col min="2822" max="2822" width="9" style="1152"/>
    <col min="2823" max="2823" width="9.36328125" style="1152" bestFit="1" customWidth="1"/>
    <col min="2824" max="2825" width="9" style="1152"/>
    <col min="2826" max="2826" width="9.36328125" style="1152" bestFit="1" customWidth="1"/>
    <col min="2827" max="2827" width="4" style="1152" customWidth="1"/>
    <col min="2828" max="2828" width="5.08984375" style="1152" customWidth="1"/>
    <col min="2829" max="2829" width="13.7265625" style="1152" customWidth="1"/>
    <col min="2830" max="3072" width="9" style="1152"/>
    <col min="3073" max="3073" width="4.90625" style="1152" customWidth="1"/>
    <col min="3074" max="3074" width="13.26953125" style="1152" customWidth="1"/>
    <col min="3075" max="3075" width="15.6328125" style="1152" customWidth="1"/>
    <col min="3076" max="3076" width="9.36328125" style="1152" bestFit="1" customWidth="1"/>
    <col min="3077" max="3077" width="13.453125" style="1152" customWidth="1"/>
    <col min="3078" max="3078" width="9" style="1152"/>
    <col min="3079" max="3079" width="9.36328125" style="1152" bestFit="1" customWidth="1"/>
    <col min="3080" max="3081" width="9" style="1152"/>
    <col min="3082" max="3082" width="9.36328125" style="1152" bestFit="1" customWidth="1"/>
    <col min="3083" max="3083" width="4" style="1152" customWidth="1"/>
    <col min="3084" max="3084" width="5.08984375" style="1152" customWidth="1"/>
    <col min="3085" max="3085" width="13.7265625" style="1152" customWidth="1"/>
    <col min="3086" max="3328" width="9" style="1152"/>
    <col min="3329" max="3329" width="4.90625" style="1152" customWidth="1"/>
    <col min="3330" max="3330" width="13.26953125" style="1152" customWidth="1"/>
    <col min="3331" max="3331" width="15.6328125" style="1152" customWidth="1"/>
    <col min="3332" max="3332" width="9.36328125" style="1152" bestFit="1" customWidth="1"/>
    <col min="3333" max="3333" width="13.453125" style="1152" customWidth="1"/>
    <col min="3334" max="3334" width="9" style="1152"/>
    <col min="3335" max="3335" width="9.36328125" style="1152" bestFit="1" customWidth="1"/>
    <col min="3336" max="3337" width="9" style="1152"/>
    <col min="3338" max="3338" width="9.36328125" style="1152" bestFit="1" customWidth="1"/>
    <col min="3339" max="3339" width="4" style="1152" customWidth="1"/>
    <col min="3340" max="3340" width="5.08984375" style="1152" customWidth="1"/>
    <col min="3341" max="3341" width="13.7265625" style="1152" customWidth="1"/>
    <col min="3342" max="3584" width="9" style="1152"/>
    <col min="3585" max="3585" width="4.90625" style="1152" customWidth="1"/>
    <col min="3586" max="3586" width="13.26953125" style="1152" customWidth="1"/>
    <col min="3587" max="3587" width="15.6328125" style="1152" customWidth="1"/>
    <col min="3588" max="3588" width="9.36328125" style="1152" bestFit="1" customWidth="1"/>
    <col min="3589" max="3589" width="13.453125" style="1152" customWidth="1"/>
    <col min="3590" max="3590" width="9" style="1152"/>
    <col min="3591" max="3591" width="9.36328125" style="1152" bestFit="1" customWidth="1"/>
    <col min="3592" max="3593" width="9" style="1152"/>
    <col min="3594" max="3594" width="9.36328125" style="1152" bestFit="1" customWidth="1"/>
    <col min="3595" max="3595" width="4" style="1152" customWidth="1"/>
    <col min="3596" max="3596" width="5.08984375" style="1152" customWidth="1"/>
    <col min="3597" max="3597" width="13.7265625" style="1152" customWidth="1"/>
    <col min="3598" max="3840" width="9" style="1152"/>
    <col min="3841" max="3841" width="4.90625" style="1152" customWidth="1"/>
    <col min="3842" max="3842" width="13.26953125" style="1152" customWidth="1"/>
    <col min="3843" max="3843" width="15.6328125" style="1152" customWidth="1"/>
    <col min="3844" max="3844" width="9.36328125" style="1152" bestFit="1" customWidth="1"/>
    <col min="3845" max="3845" width="13.453125" style="1152" customWidth="1"/>
    <col min="3846" max="3846" width="9" style="1152"/>
    <col min="3847" max="3847" width="9.36328125" style="1152" bestFit="1" customWidth="1"/>
    <col min="3848" max="3849" width="9" style="1152"/>
    <col min="3850" max="3850" width="9.36328125" style="1152" bestFit="1" customWidth="1"/>
    <col min="3851" max="3851" width="4" style="1152" customWidth="1"/>
    <col min="3852" max="3852" width="5.08984375" style="1152" customWidth="1"/>
    <col min="3853" max="3853" width="13.7265625" style="1152" customWidth="1"/>
    <col min="3854" max="4096" width="9" style="1152"/>
    <col min="4097" max="4097" width="4.90625" style="1152" customWidth="1"/>
    <col min="4098" max="4098" width="13.26953125" style="1152" customWidth="1"/>
    <col min="4099" max="4099" width="15.6328125" style="1152" customWidth="1"/>
    <col min="4100" max="4100" width="9.36328125" style="1152" bestFit="1" customWidth="1"/>
    <col min="4101" max="4101" width="13.453125" style="1152" customWidth="1"/>
    <col min="4102" max="4102" width="9" style="1152"/>
    <col min="4103" max="4103" width="9.36328125" style="1152" bestFit="1" customWidth="1"/>
    <col min="4104" max="4105" width="9" style="1152"/>
    <col min="4106" max="4106" width="9.36328125" style="1152" bestFit="1" customWidth="1"/>
    <col min="4107" max="4107" width="4" style="1152" customWidth="1"/>
    <col min="4108" max="4108" width="5.08984375" style="1152" customWidth="1"/>
    <col min="4109" max="4109" width="13.7265625" style="1152" customWidth="1"/>
    <col min="4110" max="4352" width="9" style="1152"/>
    <col min="4353" max="4353" width="4.90625" style="1152" customWidth="1"/>
    <col min="4354" max="4354" width="13.26953125" style="1152" customWidth="1"/>
    <col min="4355" max="4355" width="15.6328125" style="1152" customWidth="1"/>
    <col min="4356" max="4356" width="9.36328125" style="1152" bestFit="1" customWidth="1"/>
    <col min="4357" max="4357" width="13.453125" style="1152" customWidth="1"/>
    <col min="4358" max="4358" width="9" style="1152"/>
    <col min="4359" max="4359" width="9.36328125" style="1152" bestFit="1" customWidth="1"/>
    <col min="4360" max="4361" width="9" style="1152"/>
    <col min="4362" max="4362" width="9.36328125" style="1152" bestFit="1" customWidth="1"/>
    <col min="4363" max="4363" width="4" style="1152" customWidth="1"/>
    <col min="4364" max="4364" width="5.08984375" style="1152" customWidth="1"/>
    <col min="4365" max="4365" width="13.7265625" style="1152" customWidth="1"/>
    <col min="4366" max="4608" width="9" style="1152"/>
    <col min="4609" max="4609" width="4.90625" style="1152" customWidth="1"/>
    <col min="4610" max="4610" width="13.26953125" style="1152" customWidth="1"/>
    <col min="4611" max="4611" width="15.6328125" style="1152" customWidth="1"/>
    <col min="4612" max="4612" width="9.36328125" style="1152" bestFit="1" customWidth="1"/>
    <col min="4613" max="4613" width="13.453125" style="1152" customWidth="1"/>
    <col min="4614" max="4614" width="9" style="1152"/>
    <col min="4615" max="4615" width="9.36328125" style="1152" bestFit="1" customWidth="1"/>
    <col min="4616" max="4617" width="9" style="1152"/>
    <col min="4618" max="4618" width="9.36328125" style="1152" bestFit="1" customWidth="1"/>
    <col min="4619" max="4619" width="4" style="1152" customWidth="1"/>
    <col min="4620" max="4620" width="5.08984375" style="1152" customWidth="1"/>
    <col min="4621" max="4621" width="13.7265625" style="1152" customWidth="1"/>
    <col min="4622" max="4864" width="9" style="1152"/>
    <col min="4865" max="4865" width="4.90625" style="1152" customWidth="1"/>
    <col min="4866" max="4866" width="13.26953125" style="1152" customWidth="1"/>
    <col min="4867" max="4867" width="15.6328125" style="1152" customWidth="1"/>
    <col min="4868" max="4868" width="9.36328125" style="1152" bestFit="1" customWidth="1"/>
    <col min="4869" max="4869" width="13.453125" style="1152" customWidth="1"/>
    <col min="4870" max="4870" width="9" style="1152"/>
    <col min="4871" max="4871" width="9.36328125" style="1152" bestFit="1" customWidth="1"/>
    <col min="4872" max="4873" width="9" style="1152"/>
    <col min="4874" max="4874" width="9.36328125" style="1152" bestFit="1" customWidth="1"/>
    <col min="4875" max="4875" width="4" style="1152" customWidth="1"/>
    <col min="4876" max="4876" width="5.08984375" style="1152" customWidth="1"/>
    <col min="4877" max="4877" width="13.7265625" style="1152" customWidth="1"/>
    <col min="4878" max="5120" width="9" style="1152"/>
    <col min="5121" max="5121" width="4.90625" style="1152" customWidth="1"/>
    <col min="5122" max="5122" width="13.26953125" style="1152" customWidth="1"/>
    <col min="5123" max="5123" width="15.6328125" style="1152" customWidth="1"/>
    <col min="5124" max="5124" width="9.36328125" style="1152" bestFit="1" customWidth="1"/>
    <col min="5125" max="5125" width="13.453125" style="1152" customWidth="1"/>
    <col min="5126" max="5126" width="9" style="1152"/>
    <col min="5127" max="5127" width="9.36328125" style="1152" bestFit="1" customWidth="1"/>
    <col min="5128" max="5129" width="9" style="1152"/>
    <col min="5130" max="5130" width="9.36328125" style="1152" bestFit="1" customWidth="1"/>
    <col min="5131" max="5131" width="4" style="1152" customWidth="1"/>
    <col min="5132" max="5132" width="5.08984375" style="1152" customWidth="1"/>
    <col min="5133" max="5133" width="13.7265625" style="1152" customWidth="1"/>
    <col min="5134" max="5376" width="9" style="1152"/>
    <col min="5377" max="5377" width="4.90625" style="1152" customWidth="1"/>
    <col min="5378" max="5378" width="13.26953125" style="1152" customWidth="1"/>
    <col min="5379" max="5379" width="15.6328125" style="1152" customWidth="1"/>
    <col min="5380" max="5380" width="9.36328125" style="1152" bestFit="1" customWidth="1"/>
    <col min="5381" max="5381" width="13.453125" style="1152" customWidth="1"/>
    <col min="5382" max="5382" width="9" style="1152"/>
    <col min="5383" max="5383" width="9.36328125" style="1152" bestFit="1" customWidth="1"/>
    <col min="5384" max="5385" width="9" style="1152"/>
    <col min="5386" max="5386" width="9.36328125" style="1152" bestFit="1" customWidth="1"/>
    <col min="5387" max="5387" width="4" style="1152" customWidth="1"/>
    <col min="5388" max="5388" width="5.08984375" style="1152" customWidth="1"/>
    <col min="5389" max="5389" width="13.7265625" style="1152" customWidth="1"/>
    <col min="5390" max="5632" width="9" style="1152"/>
    <col min="5633" max="5633" width="4.90625" style="1152" customWidth="1"/>
    <col min="5634" max="5634" width="13.26953125" style="1152" customWidth="1"/>
    <col min="5635" max="5635" width="15.6328125" style="1152" customWidth="1"/>
    <col min="5636" max="5636" width="9.36328125" style="1152" bestFit="1" customWidth="1"/>
    <col min="5637" max="5637" width="13.453125" style="1152" customWidth="1"/>
    <col min="5638" max="5638" width="9" style="1152"/>
    <col min="5639" max="5639" width="9.36328125" style="1152" bestFit="1" customWidth="1"/>
    <col min="5640" max="5641" width="9" style="1152"/>
    <col min="5642" max="5642" width="9.36328125" style="1152" bestFit="1" customWidth="1"/>
    <col min="5643" max="5643" width="4" style="1152" customWidth="1"/>
    <col min="5644" max="5644" width="5.08984375" style="1152" customWidth="1"/>
    <col min="5645" max="5645" width="13.7265625" style="1152" customWidth="1"/>
    <col min="5646" max="5888" width="9" style="1152"/>
    <col min="5889" max="5889" width="4.90625" style="1152" customWidth="1"/>
    <col min="5890" max="5890" width="13.26953125" style="1152" customWidth="1"/>
    <col min="5891" max="5891" width="15.6328125" style="1152" customWidth="1"/>
    <col min="5892" max="5892" width="9.36328125" style="1152" bestFit="1" customWidth="1"/>
    <col min="5893" max="5893" width="13.453125" style="1152" customWidth="1"/>
    <col min="5894" max="5894" width="9" style="1152"/>
    <col min="5895" max="5895" width="9.36328125" style="1152" bestFit="1" customWidth="1"/>
    <col min="5896" max="5897" width="9" style="1152"/>
    <col min="5898" max="5898" width="9.36328125" style="1152" bestFit="1" customWidth="1"/>
    <col min="5899" max="5899" width="4" style="1152" customWidth="1"/>
    <col min="5900" max="5900" width="5.08984375" style="1152" customWidth="1"/>
    <col min="5901" max="5901" width="13.7265625" style="1152" customWidth="1"/>
    <col min="5902" max="6144" width="9" style="1152"/>
    <col min="6145" max="6145" width="4.90625" style="1152" customWidth="1"/>
    <col min="6146" max="6146" width="13.26953125" style="1152" customWidth="1"/>
    <col min="6147" max="6147" width="15.6328125" style="1152" customWidth="1"/>
    <col min="6148" max="6148" width="9.36328125" style="1152" bestFit="1" customWidth="1"/>
    <col min="6149" max="6149" width="13.453125" style="1152" customWidth="1"/>
    <col min="6150" max="6150" width="9" style="1152"/>
    <col min="6151" max="6151" width="9.36328125" style="1152" bestFit="1" customWidth="1"/>
    <col min="6152" max="6153" width="9" style="1152"/>
    <col min="6154" max="6154" width="9.36328125" style="1152" bestFit="1" customWidth="1"/>
    <col min="6155" max="6155" width="4" style="1152" customWidth="1"/>
    <col min="6156" max="6156" width="5.08984375" style="1152" customWidth="1"/>
    <col min="6157" max="6157" width="13.7265625" style="1152" customWidth="1"/>
    <col min="6158" max="6400" width="9" style="1152"/>
    <col min="6401" max="6401" width="4.90625" style="1152" customWidth="1"/>
    <col min="6402" max="6402" width="13.26953125" style="1152" customWidth="1"/>
    <col min="6403" max="6403" width="15.6328125" style="1152" customWidth="1"/>
    <col min="6404" max="6404" width="9.36328125" style="1152" bestFit="1" customWidth="1"/>
    <col min="6405" max="6405" width="13.453125" style="1152" customWidth="1"/>
    <col min="6406" max="6406" width="9" style="1152"/>
    <col min="6407" max="6407" width="9.36328125" style="1152" bestFit="1" customWidth="1"/>
    <col min="6408" max="6409" width="9" style="1152"/>
    <col min="6410" max="6410" width="9.36328125" style="1152" bestFit="1" customWidth="1"/>
    <col min="6411" max="6411" width="4" style="1152" customWidth="1"/>
    <col min="6412" max="6412" width="5.08984375" style="1152" customWidth="1"/>
    <col min="6413" max="6413" width="13.7265625" style="1152" customWidth="1"/>
    <col min="6414" max="6656" width="9" style="1152"/>
    <col min="6657" max="6657" width="4.90625" style="1152" customWidth="1"/>
    <col min="6658" max="6658" width="13.26953125" style="1152" customWidth="1"/>
    <col min="6659" max="6659" width="15.6328125" style="1152" customWidth="1"/>
    <col min="6660" max="6660" width="9.36328125" style="1152" bestFit="1" customWidth="1"/>
    <col min="6661" max="6661" width="13.453125" style="1152" customWidth="1"/>
    <col min="6662" max="6662" width="9" style="1152"/>
    <col min="6663" max="6663" width="9.36328125" style="1152" bestFit="1" customWidth="1"/>
    <col min="6664" max="6665" width="9" style="1152"/>
    <col min="6666" max="6666" width="9.36328125" style="1152" bestFit="1" customWidth="1"/>
    <col min="6667" max="6667" width="4" style="1152" customWidth="1"/>
    <col min="6668" max="6668" width="5.08984375" style="1152" customWidth="1"/>
    <col min="6669" max="6669" width="13.7265625" style="1152" customWidth="1"/>
    <col min="6670" max="6912" width="9" style="1152"/>
    <col min="6913" max="6913" width="4.90625" style="1152" customWidth="1"/>
    <col min="6914" max="6914" width="13.26953125" style="1152" customWidth="1"/>
    <col min="6915" max="6915" width="15.6328125" style="1152" customWidth="1"/>
    <col min="6916" max="6916" width="9.36328125" style="1152" bestFit="1" customWidth="1"/>
    <col min="6917" max="6917" width="13.453125" style="1152" customWidth="1"/>
    <col min="6918" max="6918" width="9" style="1152"/>
    <col min="6919" max="6919" width="9.36328125" style="1152" bestFit="1" customWidth="1"/>
    <col min="6920" max="6921" width="9" style="1152"/>
    <col min="6922" max="6922" width="9.36328125" style="1152" bestFit="1" customWidth="1"/>
    <col min="6923" max="6923" width="4" style="1152" customWidth="1"/>
    <col min="6924" max="6924" width="5.08984375" style="1152" customWidth="1"/>
    <col min="6925" max="6925" width="13.7265625" style="1152" customWidth="1"/>
    <col min="6926" max="7168" width="9" style="1152"/>
    <col min="7169" max="7169" width="4.90625" style="1152" customWidth="1"/>
    <col min="7170" max="7170" width="13.26953125" style="1152" customWidth="1"/>
    <col min="7171" max="7171" width="15.6328125" style="1152" customWidth="1"/>
    <col min="7172" max="7172" width="9.36328125" style="1152" bestFit="1" customWidth="1"/>
    <col min="7173" max="7173" width="13.453125" style="1152" customWidth="1"/>
    <col min="7174" max="7174" width="9" style="1152"/>
    <col min="7175" max="7175" width="9.36328125" style="1152" bestFit="1" customWidth="1"/>
    <col min="7176" max="7177" width="9" style="1152"/>
    <col min="7178" max="7178" width="9.36328125" style="1152" bestFit="1" customWidth="1"/>
    <col min="7179" max="7179" width="4" style="1152" customWidth="1"/>
    <col min="7180" max="7180" width="5.08984375" style="1152" customWidth="1"/>
    <col min="7181" max="7181" width="13.7265625" style="1152" customWidth="1"/>
    <col min="7182" max="7424" width="9" style="1152"/>
    <col min="7425" max="7425" width="4.90625" style="1152" customWidth="1"/>
    <col min="7426" max="7426" width="13.26953125" style="1152" customWidth="1"/>
    <col min="7427" max="7427" width="15.6328125" style="1152" customWidth="1"/>
    <col min="7428" max="7428" width="9.36328125" style="1152" bestFit="1" customWidth="1"/>
    <col min="7429" max="7429" width="13.453125" style="1152" customWidth="1"/>
    <col min="7430" max="7430" width="9" style="1152"/>
    <col min="7431" max="7431" width="9.36328125" style="1152" bestFit="1" customWidth="1"/>
    <col min="7432" max="7433" width="9" style="1152"/>
    <col min="7434" max="7434" width="9.36328125" style="1152" bestFit="1" customWidth="1"/>
    <col min="7435" max="7435" width="4" style="1152" customWidth="1"/>
    <col min="7436" max="7436" width="5.08984375" style="1152" customWidth="1"/>
    <col min="7437" max="7437" width="13.7265625" style="1152" customWidth="1"/>
    <col min="7438" max="7680" width="9" style="1152"/>
    <col min="7681" max="7681" width="4.90625" style="1152" customWidth="1"/>
    <col min="7682" max="7682" width="13.26953125" style="1152" customWidth="1"/>
    <col min="7683" max="7683" width="15.6328125" style="1152" customWidth="1"/>
    <col min="7684" max="7684" width="9.36328125" style="1152" bestFit="1" customWidth="1"/>
    <col min="7685" max="7685" width="13.453125" style="1152" customWidth="1"/>
    <col min="7686" max="7686" width="9" style="1152"/>
    <col min="7687" max="7687" width="9.36328125" style="1152" bestFit="1" customWidth="1"/>
    <col min="7688" max="7689" width="9" style="1152"/>
    <col min="7690" max="7690" width="9.36328125" style="1152" bestFit="1" customWidth="1"/>
    <col min="7691" max="7691" width="4" style="1152" customWidth="1"/>
    <col min="7692" max="7692" width="5.08984375" style="1152" customWidth="1"/>
    <col min="7693" max="7693" width="13.7265625" style="1152" customWidth="1"/>
    <col min="7694" max="7936" width="9" style="1152"/>
    <col min="7937" max="7937" width="4.90625" style="1152" customWidth="1"/>
    <col min="7938" max="7938" width="13.26953125" style="1152" customWidth="1"/>
    <col min="7939" max="7939" width="15.6328125" style="1152" customWidth="1"/>
    <col min="7940" max="7940" width="9.36328125" style="1152" bestFit="1" customWidth="1"/>
    <col min="7941" max="7941" width="13.453125" style="1152" customWidth="1"/>
    <col min="7942" max="7942" width="9" style="1152"/>
    <col min="7943" max="7943" width="9.36328125" style="1152" bestFit="1" customWidth="1"/>
    <col min="7944" max="7945" width="9" style="1152"/>
    <col min="7946" max="7946" width="9.36328125" style="1152" bestFit="1" customWidth="1"/>
    <col min="7947" max="7947" width="4" style="1152" customWidth="1"/>
    <col min="7948" max="7948" width="5.08984375" style="1152" customWidth="1"/>
    <col min="7949" max="7949" width="13.7265625" style="1152" customWidth="1"/>
    <col min="7950" max="8192" width="9" style="1152"/>
    <col min="8193" max="8193" width="4.90625" style="1152" customWidth="1"/>
    <col min="8194" max="8194" width="13.26953125" style="1152" customWidth="1"/>
    <col min="8195" max="8195" width="15.6328125" style="1152" customWidth="1"/>
    <col min="8196" max="8196" width="9.36328125" style="1152" bestFit="1" customWidth="1"/>
    <col min="8197" max="8197" width="13.453125" style="1152" customWidth="1"/>
    <col min="8198" max="8198" width="9" style="1152"/>
    <col min="8199" max="8199" width="9.36328125" style="1152" bestFit="1" customWidth="1"/>
    <col min="8200" max="8201" width="9" style="1152"/>
    <col min="8202" max="8202" width="9.36328125" style="1152" bestFit="1" customWidth="1"/>
    <col min="8203" max="8203" width="4" style="1152" customWidth="1"/>
    <col min="8204" max="8204" width="5.08984375" style="1152" customWidth="1"/>
    <col min="8205" max="8205" width="13.7265625" style="1152" customWidth="1"/>
    <col min="8206" max="8448" width="9" style="1152"/>
    <col min="8449" max="8449" width="4.90625" style="1152" customWidth="1"/>
    <col min="8450" max="8450" width="13.26953125" style="1152" customWidth="1"/>
    <col min="8451" max="8451" width="15.6328125" style="1152" customWidth="1"/>
    <col min="8452" max="8452" width="9.36328125" style="1152" bestFit="1" customWidth="1"/>
    <col min="8453" max="8453" width="13.453125" style="1152" customWidth="1"/>
    <col min="8454" max="8454" width="9" style="1152"/>
    <col min="8455" max="8455" width="9.36328125" style="1152" bestFit="1" customWidth="1"/>
    <col min="8456" max="8457" width="9" style="1152"/>
    <col min="8458" max="8458" width="9.36328125" style="1152" bestFit="1" customWidth="1"/>
    <col min="8459" max="8459" width="4" style="1152" customWidth="1"/>
    <col min="8460" max="8460" width="5.08984375" style="1152" customWidth="1"/>
    <col min="8461" max="8461" width="13.7265625" style="1152" customWidth="1"/>
    <col min="8462" max="8704" width="9" style="1152"/>
    <col min="8705" max="8705" width="4.90625" style="1152" customWidth="1"/>
    <col min="8706" max="8706" width="13.26953125" style="1152" customWidth="1"/>
    <col min="8707" max="8707" width="15.6328125" style="1152" customWidth="1"/>
    <col min="8708" max="8708" width="9.36328125" style="1152" bestFit="1" customWidth="1"/>
    <col min="8709" max="8709" width="13.453125" style="1152" customWidth="1"/>
    <col min="8710" max="8710" width="9" style="1152"/>
    <col min="8711" max="8711" width="9.36328125" style="1152" bestFit="1" customWidth="1"/>
    <col min="8712" max="8713" width="9" style="1152"/>
    <col min="8714" max="8714" width="9.36328125" style="1152" bestFit="1" customWidth="1"/>
    <col min="8715" max="8715" width="4" style="1152" customWidth="1"/>
    <col min="8716" max="8716" width="5.08984375" style="1152" customWidth="1"/>
    <col min="8717" max="8717" width="13.7265625" style="1152" customWidth="1"/>
    <col min="8718" max="8960" width="9" style="1152"/>
    <col min="8961" max="8961" width="4.90625" style="1152" customWidth="1"/>
    <col min="8962" max="8962" width="13.26953125" style="1152" customWidth="1"/>
    <col min="8963" max="8963" width="15.6328125" style="1152" customWidth="1"/>
    <col min="8964" max="8964" width="9.36328125" style="1152" bestFit="1" customWidth="1"/>
    <col min="8965" max="8965" width="13.453125" style="1152" customWidth="1"/>
    <col min="8966" max="8966" width="9" style="1152"/>
    <col min="8967" max="8967" width="9.36328125" style="1152" bestFit="1" customWidth="1"/>
    <col min="8968" max="8969" width="9" style="1152"/>
    <col min="8970" max="8970" width="9.36328125" style="1152" bestFit="1" customWidth="1"/>
    <col min="8971" max="8971" width="4" style="1152" customWidth="1"/>
    <col min="8972" max="8972" width="5.08984375" style="1152" customWidth="1"/>
    <col min="8973" max="8973" width="13.7265625" style="1152" customWidth="1"/>
    <col min="8974" max="9216" width="9" style="1152"/>
    <col min="9217" max="9217" width="4.90625" style="1152" customWidth="1"/>
    <col min="9218" max="9218" width="13.26953125" style="1152" customWidth="1"/>
    <col min="9219" max="9219" width="15.6328125" style="1152" customWidth="1"/>
    <col min="9220" max="9220" width="9.36328125" style="1152" bestFit="1" customWidth="1"/>
    <col min="9221" max="9221" width="13.453125" style="1152" customWidth="1"/>
    <col min="9222" max="9222" width="9" style="1152"/>
    <col min="9223" max="9223" width="9.36328125" style="1152" bestFit="1" customWidth="1"/>
    <col min="9224" max="9225" width="9" style="1152"/>
    <col min="9226" max="9226" width="9.36328125" style="1152" bestFit="1" customWidth="1"/>
    <col min="9227" max="9227" width="4" style="1152" customWidth="1"/>
    <col min="9228" max="9228" width="5.08984375" style="1152" customWidth="1"/>
    <col min="9229" max="9229" width="13.7265625" style="1152" customWidth="1"/>
    <col min="9230" max="9472" width="9" style="1152"/>
    <col min="9473" max="9473" width="4.90625" style="1152" customWidth="1"/>
    <col min="9474" max="9474" width="13.26953125" style="1152" customWidth="1"/>
    <col min="9475" max="9475" width="15.6328125" style="1152" customWidth="1"/>
    <col min="9476" max="9476" width="9.36328125" style="1152" bestFit="1" customWidth="1"/>
    <col min="9477" max="9477" width="13.453125" style="1152" customWidth="1"/>
    <col min="9478" max="9478" width="9" style="1152"/>
    <col min="9479" max="9479" width="9.36328125" style="1152" bestFit="1" customWidth="1"/>
    <col min="9480" max="9481" width="9" style="1152"/>
    <col min="9482" max="9482" width="9.36328125" style="1152" bestFit="1" customWidth="1"/>
    <col min="9483" max="9483" width="4" style="1152" customWidth="1"/>
    <col min="9484" max="9484" width="5.08984375" style="1152" customWidth="1"/>
    <col min="9485" max="9485" width="13.7265625" style="1152" customWidth="1"/>
    <col min="9486" max="9728" width="9" style="1152"/>
    <col min="9729" max="9729" width="4.90625" style="1152" customWidth="1"/>
    <col min="9730" max="9730" width="13.26953125" style="1152" customWidth="1"/>
    <col min="9731" max="9731" width="15.6328125" style="1152" customWidth="1"/>
    <col min="9732" max="9732" width="9.36328125" style="1152" bestFit="1" customWidth="1"/>
    <col min="9733" max="9733" width="13.453125" style="1152" customWidth="1"/>
    <col min="9734" max="9734" width="9" style="1152"/>
    <col min="9735" max="9735" width="9.36328125" style="1152" bestFit="1" customWidth="1"/>
    <col min="9736" max="9737" width="9" style="1152"/>
    <col min="9738" max="9738" width="9.36328125" style="1152" bestFit="1" customWidth="1"/>
    <col min="9739" max="9739" width="4" style="1152" customWidth="1"/>
    <col min="9740" max="9740" width="5.08984375" style="1152" customWidth="1"/>
    <col min="9741" max="9741" width="13.7265625" style="1152" customWidth="1"/>
    <col min="9742" max="9984" width="9" style="1152"/>
    <col min="9985" max="9985" width="4.90625" style="1152" customWidth="1"/>
    <col min="9986" max="9986" width="13.26953125" style="1152" customWidth="1"/>
    <col min="9987" max="9987" width="15.6328125" style="1152" customWidth="1"/>
    <col min="9988" max="9988" width="9.36328125" style="1152" bestFit="1" customWidth="1"/>
    <col min="9989" max="9989" width="13.453125" style="1152" customWidth="1"/>
    <col min="9990" max="9990" width="9" style="1152"/>
    <col min="9991" max="9991" width="9.36328125" style="1152" bestFit="1" customWidth="1"/>
    <col min="9992" max="9993" width="9" style="1152"/>
    <col min="9994" max="9994" width="9.36328125" style="1152" bestFit="1" customWidth="1"/>
    <col min="9995" max="9995" width="4" style="1152" customWidth="1"/>
    <col min="9996" max="9996" width="5.08984375" style="1152" customWidth="1"/>
    <col min="9997" max="9997" width="13.7265625" style="1152" customWidth="1"/>
    <col min="9998" max="10240" width="9" style="1152"/>
    <col min="10241" max="10241" width="4.90625" style="1152" customWidth="1"/>
    <col min="10242" max="10242" width="13.26953125" style="1152" customWidth="1"/>
    <col min="10243" max="10243" width="15.6328125" style="1152" customWidth="1"/>
    <col min="10244" max="10244" width="9.36328125" style="1152" bestFit="1" customWidth="1"/>
    <col min="10245" max="10245" width="13.453125" style="1152" customWidth="1"/>
    <col min="10246" max="10246" width="9" style="1152"/>
    <col min="10247" max="10247" width="9.36328125" style="1152" bestFit="1" customWidth="1"/>
    <col min="10248" max="10249" width="9" style="1152"/>
    <col min="10250" max="10250" width="9.36328125" style="1152" bestFit="1" customWidth="1"/>
    <col min="10251" max="10251" width="4" style="1152" customWidth="1"/>
    <col min="10252" max="10252" width="5.08984375" style="1152" customWidth="1"/>
    <col min="10253" max="10253" width="13.7265625" style="1152" customWidth="1"/>
    <col min="10254" max="10496" width="9" style="1152"/>
    <col min="10497" max="10497" width="4.90625" style="1152" customWidth="1"/>
    <col min="10498" max="10498" width="13.26953125" style="1152" customWidth="1"/>
    <col min="10499" max="10499" width="15.6328125" style="1152" customWidth="1"/>
    <col min="10500" max="10500" width="9.36328125" style="1152" bestFit="1" customWidth="1"/>
    <col min="10501" max="10501" width="13.453125" style="1152" customWidth="1"/>
    <col min="10502" max="10502" width="9" style="1152"/>
    <col min="10503" max="10503" width="9.36328125" style="1152" bestFit="1" customWidth="1"/>
    <col min="10504" max="10505" width="9" style="1152"/>
    <col min="10506" max="10506" width="9.36328125" style="1152" bestFit="1" customWidth="1"/>
    <col min="10507" max="10507" width="4" style="1152" customWidth="1"/>
    <col min="10508" max="10508" width="5.08984375" style="1152" customWidth="1"/>
    <col min="10509" max="10509" width="13.7265625" style="1152" customWidth="1"/>
    <col min="10510" max="10752" width="9" style="1152"/>
    <col min="10753" max="10753" width="4.90625" style="1152" customWidth="1"/>
    <col min="10754" max="10754" width="13.26953125" style="1152" customWidth="1"/>
    <col min="10755" max="10755" width="15.6328125" style="1152" customWidth="1"/>
    <col min="10756" max="10756" width="9.36328125" style="1152" bestFit="1" customWidth="1"/>
    <col min="10757" max="10757" width="13.453125" style="1152" customWidth="1"/>
    <col min="10758" max="10758" width="9" style="1152"/>
    <col min="10759" max="10759" width="9.36328125" style="1152" bestFit="1" customWidth="1"/>
    <col min="10760" max="10761" width="9" style="1152"/>
    <col min="10762" max="10762" width="9.36328125" style="1152" bestFit="1" customWidth="1"/>
    <col min="10763" max="10763" width="4" style="1152" customWidth="1"/>
    <col min="10764" max="10764" width="5.08984375" style="1152" customWidth="1"/>
    <col min="10765" max="10765" width="13.7265625" style="1152" customWidth="1"/>
    <col min="10766" max="11008" width="9" style="1152"/>
    <col min="11009" max="11009" width="4.90625" style="1152" customWidth="1"/>
    <col min="11010" max="11010" width="13.26953125" style="1152" customWidth="1"/>
    <col min="11011" max="11011" width="15.6328125" style="1152" customWidth="1"/>
    <col min="11012" max="11012" width="9.36328125" style="1152" bestFit="1" customWidth="1"/>
    <col min="11013" max="11013" width="13.453125" style="1152" customWidth="1"/>
    <col min="11014" max="11014" width="9" style="1152"/>
    <col min="11015" max="11015" width="9.36328125" style="1152" bestFit="1" customWidth="1"/>
    <col min="11016" max="11017" width="9" style="1152"/>
    <col min="11018" max="11018" width="9.36328125" style="1152" bestFit="1" customWidth="1"/>
    <col min="11019" max="11019" width="4" style="1152" customWidth="1"/>
    <col min="11020" max="11020" width="5.08984375" style="1152" customWidth="1"/>
    <col min="11021" max="11021" width="13.7265625" style="1152" customWidth="1"/>
    <col min="11022" max="11264" width="9" style="1152"/>
    <col min="11265" max="11265" width="4.90625" style="1152" customWidth="1"/>
    <col min="11266" max="11266" width="13.26953125" style="1152" customWidth="1"/>
    <col min="11267" max="11267" width="15.6328125" style="1152" customWidth="1"/>
    <col min="11268" max="11268" width="9.36328125" style="1152" bestFit="1" customWidth="1"/>
    <col min="11269" max="11269" width="13.453125" style="1152" customWidth="1"/>
    <col min="11270" max="11270" width="9" style="1152"/>
    <col min="11271" max="11271" width="9.36328125" style="1152" bestFit="1" customWidth="1"/>
    <col min="11272" max="11273" width="9" style="1152"/>
    <col min="11274" max="11274" width="9.36328125" style="1152" bestFit="1" customWidth="1"/>
    <col min="11275" max="11275" width="4" style="1152" customWidth="1"/>
    <col min="11276" max="11276" width="5.08984375" style="1152" customWidth="1"/>
    <col min="11277" max="11277" width="13.7265625" style="1152" customWidth="1"/>
    <col min="11278" max="11520" width="9" style="1152"/>
    <col min="11521" max="11521" width="4.90625" style="1152" customWidth="1"/>
    <col min="11522" max="11522" width="13.26953125" style="1152" customWidth="1"/>
    <col min="11523" max="11523" width="15.6328125" style="1152" customWidth="1"/>
    <col min="11524" max="11524" width="9.36328125" style="1152" bestFit="1" customWidth="1"/>
    <col min="11525" max="11525" width="13.453125" style="1152" customWidth="1"/>
    <col min="11526" max="11526" width="9" style="1152"/>
    <col min="11527" max="11527" width="9.36328125" style="1152" bestFit="1" customWidth="1"/>
    <col min="11528" max="11529" width="9" style="1152"/>
    <col min="11530" max="11530" width="9.36328125" style="1152" bestFit="1" customWidth="1"/>
    <col min="11531" max="11531" width="4" style="1152" customWidth="1"/>
    <col min="11532" max="11532" width="5.08984375" style="1152" customWidth="1"/>
    <col min="11533" max="11533" width="13.7265625" style="1152" customWidth="1"/>
    <col min="11534" max="11776" width="9" style="1152"/>
    <col min="11777" max="11777" width="4.90625" style="1152" customWidth="1"/>
    <col min="11778" max="11778" width="13.26953125" style="1152" customWidth="1"/>
    <col min="11779" max="11779" width="15.6328125" style="1152" customWidth="1"/>
    <col min="11780" max="11780" width="9.36328125" style="1152" bestFit="1" customWidth="1"/>
    <col min="11781" max="11781" width="13.453125" style="1152" customWidth="1"/>
    <col min="11782" max="11782" width="9" style="1152"/>
    <col min="11783" max="11783" width="9.36328125" style="1152" bestFit="1" customWidth="1"/>
    <col min="11784" max="11785" width="9" style="1152"/>
    <col min="11786" max="11786" width="9.36328125" style="1152" bestFit="1" customWidth="1"/>
    <col min="11787" max="11787" width="4" style="1152" customWidth="1"/>
    <col min="11788" max="11788" width="5.08984375" style="1152" customWidth="1"/>
    <col min="11789" max="11789" width="13.7265625" style="1152" customWidth="1"/>
    <col min="11790" max="12032" width="9" style="1152"/>
    <col min="12033" max="12033" width="4.90625" style="1152" customWidth="1"/>
    <col min="12034" max="12034" width="13.26953125" style="1152" customWidth="1"/>
    <col min="12035" max="12035" width="15.6328125" style="1152" customWidth="1"/>
    <col min="12036" max="12036" width="9.36328125" style="1152" bestFit="1" customWidth="1"/>
    <col min="12037" max="12037" width="13.453125" style="1152" customWidth="1"/>
    <col min="12038" max="12038" width="9" style="1152"/>
    <col min="12039" max="12039" width="9.36328125" style="1152" bestFit="1" customWidth="1"/>
    <col min="12040" max="12041" width="9" style="1152"/>
    <col min="12042" max="12042" width="9.36328125" style="1152" bestFit="1" customWidth="1"/>
    <col min="12043" max="12043" width="4" style="1152" customWidth="1"/>
    <col min="12044" max="12044" width="5.08984375" style="1152" customWidth="1"/>
    <col min="12045" max="12045" width="13.7265625" style="1152" customWidth="1"/>
    <col min="12046" max="12288" width="9" style="1152"/>
    <col min="12289" max="12289" width="4.90625" style="1152" customWidth="1"/>
    <col min="12290" max="12290" width="13.26953125" style="1152" customWidth="1"/>
    <col min="12291" max="12291" width="15.6328125" style="1152" customWidth="1"/>
    <col min="12292" max="12292" width="9.36328125" style="1152" bestFit="1" customWidth="1"/>
    <col min="12293" max="12293" width="13.453125" style="1152" customWidth="1"/>
    <col min="12294" max="12294" width="9" style="1152"/>
    <col min="12295" max="12295" width="9.36328125" style="1152" bestFit="1" customWidth="1"/>
    <col min="12296" max="12297" width="9" style="1152"/>
    <col min="12298" max="12298" width="9.36328125" style="1152" bestFit="1" customWidth="1"/>
    <col min="12299" max="12299" width="4" style="1152" customWidth="1"/>
    <col min="12300" max="12300" width="5.08984375" style="1152" customWidth="1"/>
    <col min="12301" max="12301" width="13.7265625" style="1152" customWidth="1"/>
    <col min="12302" max="12544" width="9" style="1152"/>
    <col min="12545" max="12545" width="4.90625" style="1152" customWidth="1"/>
    <col min="12546" max="12546" width="13.26953125" style="1152" customWidth="1"/>
    <col min="12547" max="12547" width="15.6328125" style="1152" customWidth="1"/>
    <col min="12548" max="12548" width="9.36328125" style="1152" bestFit="1" customWidth="1"/>
    <col min="12549" max="12549" width="13.453125" style="1152" customWidth="1"/>
    <col min="12550" max="12550" width="9" style="1152"/>
    <col min="12551" max="12551" width="9.36328125" style="1152" bestFit="1" customWidth="1"/>
    <col min="12552" max="12553" width="9" style="1152"/>
    <col min="12554" max="12554" width="9.36328125" style="1152" bestFit="1" customWidth="1"/>
    <col min="12555" max="12555" width="4" style="1152" customWidth="1"/>
    <col min="12556" max="12556" width="5.08984375" style="1152" customWidth="1"/>
    <col min="12557" max="12557" width="13.7265625" style="1152" customWidth="1"/>
    <col min="12558" max="12800" width="9" style="1152"/>
    <col min="12801" max="12801" width="4.90625" style="1152" customWidth="1"/>
    <col min="12802" max="12802" width="13.26953125" style="1152" customWidth="1"/>
    <col min="12803" max="12803" width="15.6328125" style="1152" customWidth="1"/>
    <col min="12804" max="12804" width="9.36328125" style="1152" bestFit="1" customWidth="1"/>
    <col min="12805" max="12805" width="13.453125" style="1152" customWidth="1"/>
    <col min="12806" max="12806" width="9" style="1152"/>
    <col min="12807" max="12807" width="9.36328125" style="1152" bestFit="1" customWidth="1"/>
    <col min="12808" max="12809" width="9" style="1152"/>
    <col min="12810" max="12810" width="9.36328125" style="1152" bestFit="1" customWidth="1"/>
    <col min="12811" max="12811" width="4" style="1152" customWidth="1"/>
    <col min="12812" max="12812" width="5.08984375" style="1152" customWidth="1"/>
    <col min="12813" max="12813" width="13.7265625" style="1152" customWidth="1"/>
    <col min="12814" max="13056" width="9" style="1152"/>
    <col min="13057" max="13057" width="4.90625" style="1152" customWidth="1"/>
    <col min="13058" max="13058" width="13.26953125" style="1152" customWidth="1"/>
    <col min="13059" max="13059" width="15.6328125" style="1152" customWidth="1"/>
    <col min="13060" max="13060" width="9.36328125" style="1152" bestFit="1" customWidth="1"/>
    <col min="13061" max="13061" width="13.453125" style="1152" customWidth="1"/>
    <col min="13062" max="13062" width="9" style="1152"/>
    <col min="13063" max="13063" width="9.36328125" style="1152" bestFit="1" customWidth="1"/>
    <col min="13064" max="13065" width="9" style="1152"/>
    <col min="13066" max="13066" width="9.36328125" style="1152" bestFit="1" customWidth="1"/>
    <col min="13067" max="13067" width="4" style="1152" customWidth="1"/>
    <col min="13068" max="13068" width="5.08984375" style="1152" customWidth="1"/>
    <col min="13069" max="13069" width="13.7265625" style="1152" customWidth="1"/>
    <col min="13070" max="13312" width="9" style="1152"/>
    <col min="13313" max="13313" width="4.90625" style="1152" customWidth="1"/>
    <col min="13314" max="13314" width="13.26953125" style="1152" customWidth="1"/>
    <col min="13315" max="13315" width="15.6328125" style="1152" customWidth="1"/>
    <col min="13316" max="13316" width="9.36328125" style="1152" bestFit="1" customWidth="1"/>
    <col min="13317" max="13317" width="13.453125" style="1152" customWidth="1"/>
    <col min="13318" max="13318" width="9" style="1152"/>
    <col min="13319" max="13319" width="9.36328125" style="1152" bestFit="1" customWidth="1"/>
    <col min="13320" max="13321" width="9" style="1152"/>
    <col min="13322" max="13322" width="9.36328125" style="1152" bestFit="1" customWidth="1"/>
    <col min="13323" max="13323" width="4" style="1152" customWidth="1"/>
    <col min="13324" max="13324" width="5.08984375" style="1152" customWidth="1"/>
    <col min="13325" max="13325" width="13.7265625" style="1152" customWidth="1"/>
    <col min="13326" max="13568" width="9" style="1152"/>
    <col min="13569" max="13569" width="4.90625" style="1152" customWidth="1"/>
    <col min="13570" max="13570" width="13.26953125" style="1152" customWidth="1"/>
    <col min="13571" max="13571" width="15.6328125" style="1152" customWidth="1"/>
    <col min="13572" max="13572" width="9.36328125" style="1152" bestFit="1" customWidth="1"/>
    <col min="13573" max="13573" width="13.453125" style="1152" customWidth="1"/>
    <col min="13574" max="13574" width="9" style="1152"/>
    <col min="13575" max="13575" width="9.36328125" style="1152" bestFit="1" customWidth="1"/>
    <col min="13576" max="13577" width="9" style="1152"/>
    <col min="13578" max="13578" width="9.36328125" style="1152" bestFit="1" customWidth="1"/>
    <col min="13579" max="13579" width="4" style="1152" customWidth="1"/>
    <col min="13580" max="13580" width="5.08984375" style="1152" customWidth="1"/>
    <col min="13581" max="13581" width="13.7265625" style="1152" customWidth="1"/>
    <col min="13582" max="13824" width="9" style="1152"/>
    <col min="13825" max="13825" width="4.90625" style="1152" customWidth="1"/>
    <col min="13826" max="13826" width="13.26953125" style="1152" customWidth="1"/>
    <col min="13827" max="13827" width="15.6328125" style="1152" customWidth="1"/>
    <col min="13828" max="13828" width="9.36328125" style="1152" bestFit="1" customWidth="1"/>
    <col min="13829" max="13829" width="13.453125" style="1152" customWidth="1"/>
    <col min="13830" max="13830" width="9" style="1152"/>
    <col min="13831" max="13831" width="9.36328125" style="1152" bestFit="1" customWidth="1"/>
    <col min="13832" max="13833" width="9" style="1152"/>
    <col min="13834" max="13834" width="9.36328125" style="1152" bestFit="1" customWidth="1"/>
    <col min="13835" max="13835" width="4" style="1152" customWidth="1"/>
    <col min="13836" max="13836" width="5.08984375" style="1152" customWidth="1"/>
    <col min="13837" max="13837" width="13.7265625" style="1152" customWidth="1"/>
    <col min="13838" max="14080" width="9" style="1152"/>
    <col min="14081" max="14081" width="4.90625" style="1152" customWidth="1"/>
    <col min="14082" max="14082" width="13.26953125" style="1152" customWidth="1"/>
    <col min="14083" max="14083" width="15.6328125" style="1152" customWidth="1"/>
    <col min="14084" max="14084" width="9.36328125" style="1152" bestFit="1" customWidth="1"/>
    <col min="14085" max="14085" width="13.453125" style="1152" customWidth="1"/>
    <col min="14086" max="14086" width="9" style="1152"/>
    <col min="14087" max="14087" width="9.36328125" style="1152" bestFit="1" customWidth="1"/>
    <col min="14088" max="14089" width="9" style="1152"/>
    <col min="14090" max="14090" width="9.36328125" style="1152" bestFit="1" customWidth="1"/>
    <col min="14091" max="14091" width="4" style="1152" customWidth="1"/>
    <col min="14092" max="14092" width="5.08984375" style="1152" customWidth="1"/>
    <col min="14093" max="14093" width="13.7265625" style="1152" customWidth="1"/>
    <col min="14094" max="14336" width="9" style="1152"/>
    <col min="14337" max="14337" width="4.90625" style="1152" customWidth="1"/>
    <col min="14338" max="14338" width="13.26953125" style="1152" customWidth="1"/>
    <col min="14339" max="14339" width="15.6328125" style="1152" customWidth="1"/>
    <col min="14340" max="14340" width="9.36328125" style="1152" bestFit="1" customWidth="1"/>
    <col min="14341" max="14341" width="13.453125" style="1152" customWidth="1"/>
    <col min="14342" max="14342" width="9" style="1152"/>
    <col min="14343" max="14343" width="9.36328125" style="1152" bestFit="1" customWidth="1"/>
    <col min="14344" max="14345" width="9" style="1152"/>
    <col min="14346" max="14346" width="9.36328125" style="1152" bestFit="1" customWidth="1"/>
    <col min="14347" max="14347" width="4" style="1152" customWidth="1"/>
    <col min="14348" max="14348" width="5.08984375" style="1152" customWidth="1"/>
    <col min="14349" max="14349" width="13.7265625" style="1152" customWidth="1"/>
    <col min="14350" max="14592" width="9" style="1152"/>
    <col min="14593" max="14593" width="4.90625" style="1152" customWidth="1"/>
    <col min="14594" max="14594" width="13.26953125" style="1152" customWidth="1"/>
    <col min="14595" max="14595" width="15.6328125" style="1152" customWidth="1"/>
    <col min="14596" max="14596" width="9.36328125" style="1152" bestFit="1" customWidth="1"/>
    <col min="14597" max="14597" width="13.453125" style="1152" customWidth="1"/>
    <col min="14598" max="14598" width="9" style="1152"/>
    <col min="14599" max="14599" width="9.36328125" style="1152" bestFit="1" customWidth="1"/>
    <col min="14600" max="14601" width="9" style="1152"/>
    <col min="14602" max="14602" width="9.36328125" style="1152" bestFit="1" customWidth="1"/>
    <col min="14603" max="14603" width="4" style="1152" customWidth="1"/>
    <col min="14604" max="14604" width="5.08984375" style="1152" customWidth="1"/>
    <col min="14605" max="14605" width="13.7265625" style="1152" customWidth="1"/>
    <col min="14606" max="14848" width="9" style="1152"/>
    <col min="14849" max="14849" width="4.90625" style="1152" customWidth="1"/>
    <col min="14850" max="14850" width="13.26953125" style="1152" customWidth="1"/>
    <col min="14851" max="14851" width="15.6328125" style="1152" customWidth="1"/>
    <col min="14852" max="14852" width="9.36328125" style="1152" bestFit="1" customWidth="1"/>
    <col min="14853" max="14853" width="13.453125" style="1152" customWidth="1"/>
    <col min="14854" max="14854" width="9" style="1152"/>
    <col min="14855" max="14855" width="9.36328125" style="1152" bestFit="1" customWidth="1"/>
    <col min="14856" max="14857" width="9" style="1152"/>
    <col min="14858" max="14858" width="9.36328125" style="1152" bestFit="1" customWidth="1"/>
    <col min="14859" max="14859" width="4" style="1152" customWidth="1"/>
    <col min="14860" max="14860" width="5.08984375" style="1152" customWidth="1"/>
    <col min="14861" max="14861" width="13.7265625" style="1152" customWidth="1"/>
    <col min="14862" max="15104" width="9" style="1152"/>
    <col min="15105" max="15105" width="4.90625" style="1152" customWidth="1"/>
    <col min="15106" max="15106" width="13.26953125" style="1152" customWidth="1"/>
    <col min="15107" max="15107" width="15.6328125" style="1152" customWidth="1"/>
    <col min="15108" max="15108" width="9.36328125" style="1152" bestFit="1" customWidth="1"/>
    <col min="15109" max="15109" width="13.453125" style="1152" customWidth="1"/>
    <col min="15110" max="15110" width="9" style="1152"/>
    <col min="15111" max="15111" width="9.36328125" style="1152" bestFit="1" customWidth="1"/>
    <col min="15112" max="15113" width="9" style="1152"/>
    <col min="15114" max="15114" width="9.36328125" style="1152" bestFit="1" customWidth="1"/>
    <col min="15115" max="15115" width="4" style="1152" customWidth="1"/>
    <col min="15116" max="15116" width="5.08984375" style="1152" customWidth="1"/>
    <col min="15117" max="15117" width="13.7265625" style="1152" customWidth="1"/>
    <col min="15118" max="15360" width="9" style="1152"/>
    <col min="15361" max="15361" width="4.90625" style="1152" customWidth="1"/>
    <col min="15362" max="15362" width="13.26953125" style="1152" customWidth="1"/>
    <col min="15363" max="15363" width="15.6328125" style="1152" customWidth="1"/>
    <col min="15364" max="15364" width="9.36328125" style="1152" bestFit="1" customWidth="1"/>
    <col min="15365" max="15365" width="13.453125" style="1152" customWidth="1"/>
    <col min="15366" max="15366" width="9" style="1152"/>
    <col min="15367" max="15367" width="9.36328125" style="1152" bestFit="1" customWidth="1"/>
    <col min="15368" max="15369" width="9" style="1152"/>
    <col min="15370" max="15370" width="9.36328125" style="1152" bestFit="1" customWidth="1"/>
    <col min="15371" max="15371" width="4" style="1152" customWidth="1"/>
    <col min="15372" max="15372" width="5.08984375" style="1152" customWidth="1"/>
    <col min="15373" max="15373" width="13.7265625" style="1152" customWidth="1"/>
    <col min="15374" max="15616" width="9" style="1152"/>
    <col min="15617" max="15617" width="4.90625" style="1152" customWidth="1"/>
    <col min="15618" max="15618" width="13.26953125" style="1152" customWidth="1"/>
    <col min="15619" max="15619" width="15.6328125" style="1152" customWidth="1"/>
    <col min="15620" max="15620" width="9.36328125" style="1152" bestFit="1" customWidth="1"/>
    <col min="15621" max="15621" width="13.453125" style="1152" customWidth="1"/>
    <col min="15622" max="15622" width="9" style="1152"/>
    <col min="15623" max="15623" width="9.36328125" style="1152" bestFit="1" customWidth="1"/>
    <col min="15624" max="15625" width="9" style="1152"/>
    <col min="15626" max="15626" width="9.36328125" style="1152" bestFit="1" customWidth="1"/>
    <col min="15627" max="15627" width="4" style="1152" customWidth="1"/>
    <col min="15628" max="15628" width="5.08984375" style="1152" customWidth="1"/>
    <col min="15629" max="15629" width="13.7265625" style="1152" customWidth="1"/>
    <col min="15630" max="15872" width="9" style="1152"/>
    <col min="15873" max="15873" width="4.90625" style="1152" customWidth="1"/>
    <col min="15874" max="15874" width="13.26953125" style="1152" customWidth="1"/>
    <col min="15875" max="15875" width="15.6328125" style="1152" customWidth="1"/>
    <col min="15876" max="15876" width="9.36328125" style="1152" bestFit="1" customWidth="1"/>
    <col min="15877" max="15877" width="13.453125" style="1152" customWidth="1"/>
    <col min="15878" max="15878" width="9" style="1152"/>
    <col min="15879" max="15879" width="9.36328125" style="1152" bestFit="1" customWidth="1"/>
    <col min="15880" max="15881" width="9" style="1152"/>
    <col min="15882" max="15882" width="9.36328125" style="1152" bestFit="1" customWidth="1"/>
    <col min="15883" max="15883" width="4" style="1152" customWidth="1"/>
    <col min="15884" max="15884" width="5.08984375" style="1152" customWidth="1"/>
    <col min="15885" max="15885" width="13.7265625" style="1152" customWidth="1"/>
    <col min="15886" max="16128" width="9" style="1152"/>
    <col min="16129" max="16129" width="4.90625" style="1152" customWidth="1"/>
    <col min="16130" max="16130" width="13.26953125" style="1152" customWidth="1"/>
    <col min="16131" max="16131" width="15.6328125" style="1152" customWidth="1"/>
    <col min="16132" max="16132" width="9.36328125" style="1152" bestFit="1" customWidth="1"/>
    <col min="16133" max="16133" width="13.453125" style="1152" customWidth="1"/>
    <col min="16134" max="16134" width="9" style="1152"/>
    <col min="16135" max="16135" width="9.36328125" style="1152" bestFit="1" customWidth="1"/>
    <col min="16136" max="16137" width="9" style="1152"/>
    <col min="16138" max="16138" width="9.36328125" style="1152" bestFit="1" customWidth="1"/>
    <col min="16139" max="16139" width="4" style="1152" customWidth="1"/>
    <col min="16140" max="16140" width="5.08984375" style="1152" customWidth="1"/>
    <col min="16141" max="16141" width="13.7265625" style="1152" customWidth="1"/>
    <col min="16142" max="16384" width="9" style="1152"/>
  </cols>
  <sheetData>
    <row r="1" spans="1:257" s="1212" customFormat="1" ht="14.5" thickBot="1">
      <c r="A1" s="1206"/>
      <c r="B1" s="1213" t="s">
        <v>602</v>
      </c>
      <c r="C1" s="1207">
        <f>项目基本情况!D3</f>
        <v>45478</v>
      </c>
      <c r="D1" s="1213" t="s">
        <v>603</v>
      </c>
      <c r="E1" s="1208">
        <f>'数据-取费表'!B22</f>
        <v>3</v>
      </c>
      <c r="F1" s="1213" t="s">
        <v>604</v>
      </c>
      <c r="G1" s="1209">
        <f ca="1">INDIRECT("d"&amp;$K$1)/100</f>
        <v>3.4500000000000003E-2</v>
      </c>
      <c r="H1" s="1213" t="s">
        <v>634</v>
      </c>
      <c r="I1" s="1209">
        <f ca="1">F4/100</f>
        <v>1.4999999999999999E-2</v>
      </c>
      <c r="J1" s="1214">
        <f>IF(C1&gt;C13,0,MATCH(C1,C$13:C$111,-1))+IF(SUMIF(C13:C111,C1,D13:D111)=0,13,12)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5" thickBot="1">
      <c r="B7" s="1167" t="s">
        <v>611</v>
      </c>
      <c r="C7" s="1168">
        <v>5</v>
      </c>
      <c r="D7" s="1169">
        <f ca="1">INDIRECT("h"&amp;$J$1)</f>
        <v>4.2</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1">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3">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0">
      <c r="A13" s="1195"/>
      <c r="B13" s="1196" t="s">
        <v>632</v>
      </c>
      <c r="C13" s="2571">
        <v>45159</v>
      </c>
      <c r="D13" s="1197">
        <v>3.45</v>
      </c>
      <c r="E13" s="1197">
        <f>D13</f>
        <v>3.45</v>
      </c>
      <c r="F13" s="1197">
        <f>D13</f>
        <v>3.45</v>
      </c>
      <c r="G13" s="1197">
        <f>D13</f>
        <v>3.45</v>
      </c>
      <c r="H13" s="1197">
        <v>4.2</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
      <c r="A14" s="1195"/>
      <c r="B14" s="1196"/>
      <c r="C14" s="1202">
        <v>45097</v>
      </c>
      <c r="D14" s="1201">
        <v>3.55</v>
      </c>
      <c r="E14" s="1201">
        <f>D14</f>
        <v>3.55</v>
      </c>
      <c r="F14" s="1201">
        <f>D14</f>
        <v>3.55</v>
      </c>
      <c r="G14" s="1201">
        <f>D14</f>
        <v>3.55</v>
      </c>
      <c r="H14" s="1201">
        <v>4.2</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
      <c r="A15" s="1195"/>
      <c r="B15" s="1196"/>
      <c r="C15" s="1202">
        <v>44795</v>
      </c>
      <c r="D15" s="1201">
        <v>3.65</v>
      </c>
      <c r="E15" s="1201">
        <v>3.65</v>
      </c>
      <c r="F15" s="1201">
        <v>3.65</v>
      </c>
      <c r="G15" s="1201">
        <v>3.65</v>
      </c>
      <c r="H15" s="1201">
        <v>4.3</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
      <c r="A16" s="1195"/>
      <c r="B16" s="1196"/>
      <c r="C16" s="1202">
        <v>44701</v>
      </c>
      <c r="D16" s="1201">
        <v>3.7</v>
      </c>
      <c r="E16" s="1201">
        <f>D16</f>
        <v>3.7</v>
      </c>
      <c r="F16" s="1201">
        <f>D16</f>
        <v>3.7</v>
      </c>
      <c r="G16" s="1201">
        <f>D16</f>
        <v>3.7</v>
      </c>
      <c r="H16" s="1201">
        <v>4.45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
      <c r="A17" s="1195"/>
      <c r="B17" s="1196"/>
      <c r="C17" s="1202">
        <v>44581</v>
      </c>
      <c r="D17" s="1201">
        <v>3.7</v>
      </c>
      <c r="E17" s="1201">
        <f>D17</f>
        <v>3.7</v>
      </c>
      <c r="F17" s="1201">
        <f>D17</f>
        <v>3.7</v>
      </c>
      <c r="G17" s="1201">
        <f>D17</f>
        <v>3.7</v>
      </c>
      <c r="H17" s="1201">
        <v>4.5999999999999996</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5">
      <c r="A18" s="1195"/>
      <c r="B18" s="1201"/>
      <c r="C18" s="1202">
        <v>44550</v>
      </c>
      <c r="D18" s="1201">
        <v>3.8</v>
      </c>
      <c r="E18" s="1201">
        <f>D18</f>
        <v>3.8</v>
      </c>
      <c r="F18" s="1201">
        <f>D18</f>
        <v>3.8</v>
      </c>
      <c r="G18" s="1201">
        <f>D18</f>
        <v>3.8</v>
      </c>
      <c r="H18" s="1201">
        <v>4.6500000000000004</v>
      </c>
      <c r="I18" s="1201"/>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
      <c r="A19" s="1195"/>
      <c r="B19" s="1201"/>
      <c r="C19" s="1202">
        <v>43941</v>
      </c>
      <c r="D19" s="1201">
        <v>3.85</v>
      </c>
      <c r="E19" s="1201">
        <v>3.85</v>
      </c>
      <c r="F19" s="1201">
        <v>3.85</v>
      </c>
      <c r="G19" s="1201">
        <v>3.85</v>
      </c>
      <c r="H19" s="1201">
        <v>4.6500000000000004</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
      <c r="A20" s="1195"/>
      <c r="B20" s="1201"/>
      <c r="C20" s="1202">
        <v>43881</v>
      </c>
      <c r="D20" s="1201">
        <v>4.05</v>
      </c>
      <c r="E20" s="1201">
        <v>4.05</v>
      </c>
      <c r="F20" s="1201">
        <v>4.05</v>
      </c>
      <c r="G20" s="1201">
        <v>4.05</v>
      </c>
      <c r="H20" s="1201">
        <v>4.75</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
      <c r="A21" s="1195"/>
      <c r="B21" s="1201"/>
      <c r="C21" s="1202">
        <v>43789</v>
      </c>
      <c r="D21" s="1201">
        <v>4.1500000000000004</v>
      </c>
      <c r="E21" s="1201">
        <v>4.1500000000000004</v>
      </c>
      <c r="F21" s="1201">
        <v>4.1500000000000004</v>
      </c>
      <c r="G21" s="1201">
        <v>4.1500000000000004</v>
      </c>
      <c r="H21" s="1201">
        <v>4.8</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
      <c r="A22" s="1195"/>
      <c r="B22" s="1201"/>
      <c r="C22" s="1202">
        <v>43728</v>
      </c>
      <c r="D22" s="1201">
        <v>4.2</v>
      </c>
      <c r="E22" s="1201">
        <v>4.2</v>
      </c>
      <c r="F22" s="1201">
        <v>4.2</v>
      </c>
      <c r="G22" s="1201">
        <v>4.2</v>
      </c>
      <c r="H22" s="1201">
        <v>4.8499999999999996</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
      <c r="A23" s="2572"/>
      <c r="B23" s="1196" t="s">
        <v>2307</v>
      </c>
      <c r="C23" s="1203">
        <v>43697</v>
      </c>
      <c r="D23" s="2570">
        <v>4.25</v>
      </c>
      <c r="E23" s="2570">
        <v>4.25</v>
      </c>
      <c r="F23" s="2570">
        <v>4.25</v>
      </c>
      <c r="G23" s="2570">
        <v>4.25</v>
      </c>
      <c r="H23" s="2570">
        <v>4.8499999999999996</v>
      </c>
      <c r="I23" s="2570"/>
      <c r="J23" s="2570"/>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ht="15">
      <c r="B24" s="2573"/>
      <c r="C24" s="2574">
        <v>42301</v>
      </c>
      <c r="D24" s="2575">
        <v>4.3499999999999996</v>
      </c>
      <c r="E24" s="2575">
        <v>4.3499999999999996</v>
      </c>
      <c r="F24" s="2575">
        <v>4.75</v>
      </c>
      <c r="G24" s="2575">
        <v>4.75</v>
      </c>
      <c r="H24" s="2575">
        <v>4.9000000000000004</v>
      </c>
      <c r="I24" s="2575"/>
      <c r="J24" s="2575"/>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42242</v>
      </c>
      <c r="D25" s="1201">
        <v>4.5999999999999996</v>
      </c>
      <c r="E25" s="1201">
        <v>4.5999999999999996</v>
      </c>
      <c r="F25" s="1201">
        <v>5</v>
      </c>
      <c r="G25" s="1201">
        <v>5</v>
      </c>
      <c r="H25" s="1201">
        <v>5.15</v>
      </c>
      <c r="I25" s="1201">
        <v>2.75</v>
      </c>
      <c r="J25" s="1201">
        <v>3.25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42183</v>
      </c>
      <c r="D26" s="1201">
        <v>4.8499999999999996</v>
      </c>
      <c r="E26" s="1201">
        <v>4.8499999999999996</v>
      </c>
      <c r="F26" s="1201">
        <v>5.25</v>
      </c>
      <c r="G26" s="1201">
        <v>5.25</v>
      </c>
      <c r="H26" s="1201">
        <v>5.4</v>
      </c>
      <c r="I26" s="1201">
        <v>3</v>
      </c>
      <c r="J26" s="1201">
        <v>3.5</v>
      </c>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42135</v>
      </c>
      <c r="D27" s="1201">
        <v>5.0999999999999996</v>
      </c>
      <c r="E27" s="1201">
        <v>5.0999999999999996</v>
      </c>
      <c r="F27" s="1201">
        <v>5.5</v>
      </c>
      <c r="G27" s="1201">
        <v>5.5</v>
      </c>
      <c r="H27" s="1201">
        <v>5.65</v>
      </c>
      <c r="I27" s="1201">
        <v>3.25</v>
      </c>
      <c r="J27" s="1201">
        <v>3.75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42064</v>
      </c>
      <c r="D28" s="1201">
        <v>5.35</v>
      </c>
      <c r="E28" s="1201">
        <v>5.35</v>
      </c>
      <c r="F28" s="1201">
        <v>5.75</v>
      </c>
      <c r="G28" s="1201">
        <v>5.75</v>
      </c>
      <c r="H28" s="1201">
        <v>5.9</v>
      </c>
      <c r="I28" s="1201"/>
      <c r="J28" s="1201"/>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41965</v>
      </c>
      <c r="D29" s="1201">
        <v>5.6</v>
      </c>
      <c r="E29" s="1201">
        <v>5.6</v>
      </c>
      <c r="F29" s="1201">
        <v>6</v>
      </c>
      <c r="G29" s="1201">
        <v>6</v>
      </c>
      <c r="H29" s="1201">
        <v>6.15</v>
      </c>
      <c r="I29" s="1201"/>
      <c r="J29" s="1201"/>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41096</v>
      </c>
      <c r="D30" s="1201">
        <v>5.6</v>
      </c>
      <c r="E30" s="1201">
        <v>6</v>
      </c>
      <c r="F30" s="1201">
        <v>6.15</v>
      </c>
      <c r="G30" s="1201">
        <v>6.4</v>
      </c>
      <c r="H30" s="1201">
        <v>6.55</v>
      </c>
      <c r="I30" s="1201">
        <v>4</v>
      </c>
      <c r="J30" s="1201">
        <v>4.5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41068</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40731</v>
      </c>
      <c r="D32" s="1201">
        <v>6.1</v>
      </c>
      <c r="E32" s="1201">
        <v>6.56</v>
      </c>
      <c r="F32" s="1201">
        <v>6.65</v>
      </c>
      <c r="G32" s="1201">
        <v>6.9</v>
      </c>
      <c r="H32" s="1201">
        <v>7.05</v>
      </c>
      <c r="I32" s="1201">
        <v>4.45</v>
      </c>
      <c r="J32" s="1201">
        <v>4.9000000000000004</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40639</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40583</v>
      </c>
      <c r="D34" s="1201">
        <v>5.6</v>
      </c>
      <c r="E34" s="1201">
        <v>6.06</v>
      </c>
      <c r="F34" s="1201">
        <v>6.1</v>
      </c>
      <c r="G34" s="1201">
        <v>6.45</v>
      </c>
      <c r="H34" s="1201">
        <v>6.6</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40538</v>
      </c>
      <c r="D35" s="1201">
        <v>5.35</v>
      </c>
      <c r="E35" s="1201">
        <v>5.81</v>
      </c>
      <c r="F35" s="1201">
        <v>5.85</v>
      </c>
      <c r="G35" s="1201">
        <v>6.22</v>
      </c>
      <c r="H35" s="1201">
        <v>6.4</v>
      </c>
      <c r="I35" s="1201">
        <v>3.75</v>
      </c>
      <c r="J35" s="1201">
        <v>4.3</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40471</v>
      </c>
      <c r="D36" s="1201">
        <v>5.0999999999999996</v>
      </c>
      <c r="E36" s="1201">
        <v>5.56</v>
      </c>
      <c r="F36" s="1201">
        <v>5.6</v>
      </c>
      <c r="G36" s="1201">
        <v>5.96</v>
      </c>
      <c r="H36" s="1201">
        <v>6.14</v>
      </c>
      <c r="I36" s="1201">
        <v>3.5</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39805</v>
      </c>
      <c r="D37" s="1201">
        <v>4.8600000000000003</v>
      </c>
      <c r="E37" s="1201">
        <v>5.31</v>
      </c>
      <c r="F37" s="1201">
        <v>5.4</v>
      </c>
      <c r="G37" s="1201">
        <v>5.76</v>
      </c>
      <c r="H37" s="1201">
        <v>5.94</v>
      </c>
      <c r="I37" s="1201">
        <v>3.33</v>
      </c>
      <c r="J37" s="1201">
        <v>3.87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39779</v>
      </c>
      <c r="D38" s="1201">
        <v>5.04</v>
      </c>
      <c r="E38" s="1201">
        <v>5.58</v>
      </c>
      <c r="F38" s="1201">
        <v>5.67</v>
      </c>
      <c r="G38" s="1201">
        <v>5.94</v>
      </c>
      <c r="H38" s="1201">
        <v>6.12</v>
      </c>
      <c r="I38" s="1201">
        <v>3.51</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39751</v>
      </c>
      <c r="D39" s="1201">
        <v>6.03</v>
      </c>
      <c r="E39" s="1201">
        <v>6.66</v>
      </c>
      <c r="F39" s="1201">
        <v>6.75</v>
      </c>
      <c r="G39" s="1201">
        <v>7.02</v>
      </c>
      <c r="H39" s="1201">
        <v>7.2</v>
      </c>
      <c r="I39" s="1201">
        <v>4.05</v>
      </c>
      <c r="J39" s="1201">
        <v>4.59</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3">
        <v>39748</v>
      </c>
      <c r="D40" s="1201">
        <v>6.12</v>
      </c>
      <c r="E40" s="1201">
        <v>6.93</v>
      </c>
      <c r="F40" s="1201">
        <v>7.02</v>
      </c>
      <c r="G40" s="1201">
        <v>7.29</v>
      </c>
      <c r="H40" s="1201">
        <v>7.47</v>
      </c>
      <c r="I40" s="1201">
        <v>4.05</v>
      </c>
      <c r="J40" s="1201">
        <v>4.59</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39730</v>
      </c>
      <c r="D41" s="1201">
        <v>6.12</v>
      </c>
      <c r="E41" s="1201">
        <v>6.93</v>
      </c>
      <c r="F41" s="1201">
        <v>7.02</v>
      </c>
      <c r="G41" s="1201">
        <v>7.29</v>
      </c>
      <c r="H41" s="1201">
        <v>7.47</v>
      </c>
      <c r="I41" s="1201">
        <v>4.32</v>
      </c>
      <c r="J41" s="1201">
        <v>4.8600000000000003</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39707</v>
      </c>
      <c r="D42" s="1201">
        <v>6.21</v>
      </c>
      <c r="E42" s="1201">
        <v>7.2</v>
      </c>
      <c r="F42" s="1201">
        <v>7.29</v>
      </c>
      <c r="G42" s="1201">
        <v>7.56</v>
      </c>
      <c r="H42" s="1201">
        <v>7.74</v>
      </c>
      <c r="I42" s="1201">
        <v>4.59</v>
      </c>
      <c r="J42" s="1201">
        <v>5.13</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39437</v>
      </c>
      <c r="D43" s="1201">
        <v>6.57</v>
      </c>
      <c r="E43" s="1201">
        <v>7.47</v>
      </c>
      <c r="F43" s="1201">
        <v>7.56</v>
      </c>
      <c r="G43" s="1201">
        <v>7.74</v>
      </c>
      <c r="H43" s="1201">
        <v>7.83</v>
      </c>
      <c r="I43" s="1201">
        <v>4.7699999999999996</v>
      </c>
      <c r="J43" s="1201">
        <v>5.22</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39340</v>
      </c>
      <c r="D44" s="1201">
        <v>6.48</v>
      </c>
      <c r="E44" s="1201">
        <v>7.29</v>
      </c>
      <c r="F44" s="1201">
        <v>7.47</v>
      </c>
      <c r="G44" s="1201">
        <v>7.65</v>
      </c>
      <c r="H44" s="1201">
        <v>7.83</v>
      </c>
      <c r="I44" s="1201">
        <v>4.7699999999999996</v>
      </c>
      <c r="J44" s="1201">
        <v>5.22</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39316</v>
      </c>
      <c r="D45" s="1201">
        <v>6.21</v>
      </c>
      <c r="E45" s="1201">
        <v>7.02</v>
      </c>
      <c r="F45" s="1201">
        <v>7.2</v>
      </c>
      <c r="G45" s="1201">
        <v>7.38</v>
      </c>
      <c r="H45" s="1201">
        <v>7.56</v>
      </c>
      <c r="I45" s="1201">
        <v>4.59</v>
      </c>
      <c r="J45" s="1201">
        <v>5.04</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39284</v>
      </c>
      <c r="D46" s="1201">
        <v>6.03</v>
      </c>
      <c r="E46" s="1201">
        <v>6.84</v>
      </c>
      <c r="F46" s="1201">
        <v>7.02</v>
      </c>
      <c r="G46" s="1201">
        <v>7.2</v>
      </c>
      <c r="H46" s="1201">
        <v>7.38</v>
      </c>
      <c r="I46" s="1201">
        <v>4.5</v>
      </c>
      <c r="J46" s="1201">
        <v>4.95</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39221</v>
      </c>
      <c r="D47" s="1201">
        <v>5.85</v>
      </c>
      <c r="E47" s="1201">
        <v>6.57</v>
      </c>
      <c r="F47" s="1201">
        <v>6.75</v>
      </c>
      <c r="G47" s="1201">
        <v>6.93</v>
      </c>
      <c r="H47" s="1201">
        <v>7.2</v>
      </c>
      <c r="I47" s="1201">
        <v>4.41</v>
      </c>
      <c r="J47" s="1201">
        <v>4.8600000000000003</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39159</v>
      </c>
      <c r="D48" s="1201">
        <v>5.67</v>
      </c>
      <c r="E48" s="1201">
        <v>6.39</v>
      </c>
      <c r="F48" s="1201">
        <v>6.57</v>
      </c>
      <c r="G48" s="1201">
        <v>6.75</v>
      </c>
      <c r="H48" s="1201">
        <v>7.11</v>
      </c>
      <c r="I48" s="1201">
        <v>4.32</v>
      </c>
      <c r="J48" s="1201">
        <v>4.7699999999999996</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38948</v>
      </c>
      <c r="D49" s="1201">
        <v>5.58</v>
      </c>
      <c r="E49" s="1201">
        <v>6.12</v>
      </c>
      <c r="F49" s="1201">
        <v>6.3</v>
      </c>
      <c r="G49" s="1201">
        <v>6.48</v>
      </c>
      <c r="H49" s="1201">
        <v>6.84</v>
      </c>
      <c r="I49" s="1201">
        <v>4.1399999999999997</v>
      </c>
      <c r="J49" s="1201">
        <v>4.59</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38835</v>
      </c>
      <c r="D50" s="1201">
        <v>5.4</v>
      </c>
      <c r="E50" s="1201">
        <v>5.85</v>
      </c>
      <c r="F50" s="1201">
        <v>6.03</v>
      </c>
      <c r="G50" s="1201">
        <v>6.12</v>
      </c>
      <c r="H50" s="1201">
        <v>6.39</v>
      </c>
      <c r="I50" s="1201">
        <v>4.1399999999999997</v>
      </c>
      <c r="J50" s="1201">
        <v>4.59</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38428</v>
      </c>
      <c r="D51" s="1201">
        <v>5.22</v>
      </c>
      <c r="E51" s="1201">
        <v>5.58</v>
      </c>
      <c r="F51" s="1201">
        <v>5.76</v>
      </c>
      <c r="G51" s="1201">
        <v>5.85</v>
      </c>
      <c r="H51" s="1201">
        <v>6.12</v>
      </c>
      <c r="I51" s="1201">
        <v>3.96</v>
      </c>
      <c r="J51" s="1201">
        <v>4.41</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38289</v>
      </c>
      <c r="D52" s="1201">
        <v>5.22</v>
      </c>
      <c r="E52" s="1201">
        <v>5.58</v>
      </c>
      <c r="F52" s="1201">
        <v>5.76</v>
      </c>
      <c r="G52" s="1201">
        <v>5.85</v>
      </c>
      <c r="H52" s="1201">
        <v>6.12</v>
      </c>
      <c r="I52" s="1201">
        <v>3.78</v>
      </c>
      <c r="J52" s="1201">
        <v>4.2300000000000004</v>
      </c>
      <c r="L52" s="1201"/>
      <c r="M52" s="1202"/>
      <c r="N52" s="1201"/>
      <c r="O52" s="1201"/>
      <c r="P52" s="1201"/>
      <c r="Q52" s="1201"/>
      <c r="R52" s="1201"/>
      <c r="S52" s="1201"/>
      <c r="T52" s="1201"/>
      <c r="U52" s="1201"/>
      <c r="V52" s="1201"/>
      <c r="W52" s="1201"/>
      <c r="X52" s="1201"/>
      <c r="Y52" s="1201"/>
      <c r="Z52" s="1201"/>
    </row>
    <row r="53" spans="2:26">
      <c r="B53" s="1201"/>
      <c r="C53" s="1202">
        <v>37308</v>
      </c>
      <c r="D53" s="1201">
        <v>5.04</v>
      </c>
      <c r="E53" s="1201">
        <v>5.31</v>
      </c>
      <c r="F53" s="1201">
        <v>5.49</v>
      </c>
      <c r="G53" s="1201">
        <v>5.58</v>
      </c>
      <c r="H53" s="1201">
        <v>5.76</v>
      </c>
      <c r="I53" s="1201">
        <v>3.6</v>
      </c>
      <c r="J53" s="1201">
        <v>4.05</v>
      </c>
      <c r="L53" s="1201"/>
      <c r="M53" s="1202"/>
      <c r="N53" s="1201"/>
      <c r="O53" s="1201"/>
      <c r="P53" s="1201"/>
      <c r="Q53" s="1201"/>
      <c r="R53" s="1201"/>
      <c r="S53" s="1201"/>
      <c r="T53" s="1201"/>
      <c r="U53" s="1201"/>
      <c r="V53" s="1201"/>
      <c r="W53" s="1201"/>
      <c r="X53" s="1201"/>
      <c r="Y53" s="1201"/>
      <c r="Z53" s="1201"/>
    </row>
    <row r="54" spans="2:26">
      <c r="B54" s="1201"/>
      <c r="C54" s="1202">
        <v>36321</v>
      </c>
      <c r="D54" s="1201">
        <v>5.58</v>
      </c>
      <c r="E54" s="1201">
        <v>5.85</v>
      </c>
      <c r="F54" s="1201">
        <v>5.94</v>
      </c>
      <c r="G54" s="1201">
        <v>6.03</v>
      </c>
      <c r="H54" s="1201">
        <v>6.21</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36136</v>
      </c>
      <c r="D55" s="1201">
        <v>6.12</v>
      </c>
      <c r="E55" s="1201">
        <v>6.39</v>
      </c>
      <c r="F55" s="1201">
        <v>6.66</v>
      </c>
      <c r="G55" s="1201">
        <v>7.2</v>
      </c>
      <c r="H55" s="1201">
        <v>7.56</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35977</v>
      </c>
      <c r="D56" s="1201">
        <v>6.57</v>
      </c>
      <c r="E56" s="1201">
        <v>6.93</v>
      </c>
      <c r="F56" s="1201">
        <v>7.11</v>
      </c>
      <c r="G56" s="1201">
        <v>7.65</v>
      </c>
      <c r="H56" s="1201">
        <v>8.01</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35879</v>
      </c>
      <c r="D57" s="1201">
        <v>7.02</v>
      </c>
      <c r="E57" s="1201">
        <v>7.92</v>
      </c>
      <c r="F57" s="1201">
        <v>9</v>
      </c>
      <c r="G57" s="1201">
        <v>9.7200000000000006</v>
      </c>
      <c r="H57" s="1201">
        <v>10.35</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35726</v>
      </c>
      <c r="D58" s="1201">
        <v>7.65</v>
      </c>
      <c r="E58" s="1201">
        <v>8.64</v>
      </c>
      <c r="F58" s="1201">
        <v>9.36</v>
      </c>
      <c r="G58" s="1201">
        <v>9.9</v>
      </c>
      <c r="H58" s="1201">
        <v>10.53</v>
      </c>
      <c r="I58" s="1201">
        <v>0</v>
      </c>
      <c r="J58" s="1201">
        <v>0</v>
      </c>
    </row>
    <row r="59" spans="2:26">
      <c r="B59" s="1201"/>
      <c r="C59" s="1202">
        <v>35300</v>
      </c>
      <c r="D59" s="1201">
        <v>9.18</v>
      </c>
      <c r="E59" s="1201">
        <v>10.08</v>
      </c>
      <c r="F59" s="1201">
        <v>10.98</v>
      </c>
      <c r="G59" s="1201">
        <v>11.7</v>
      </c>
      <c r="H59" s="1201">
        <v>12.42</v>
      </c>
      <c r="I59" s="1201">
        <v>0</v>
      </c>
      <c r="J59" s="1201">
        <v>0</v>
      </c>
    </row>
    <row r="60" spans="2:26">
      <c r="B60" s="1201"/>
      <c r="C60" s="1202">
        <v>35186</v>
      </c>
      <c r="D60" s="1201">
        <v>9.7200000000000006</v>
      </c>
      <c r="E60" s="1201">
        <v>10.98</v>
      </c>
      <c r="F60" s="1201">
        <v>13.14</v>
      </c>
      <c r="G60" s="1201">
        <v>14.94</v>
      </c>
      <c r="H60" s="1201">
        <v>15.12</v>
      </c>
      <c r="I60" s="1201">
        <v>0</v>
      </c>
      <c r="J60" s="1201">
        <v>0</v>
      </c>
    </row>
    <row r="61" spans="2:26">
      <c r="B61" s="1201"/>
      <c r="C61" s="1202">
        <v>34881</v>
      </c>
      <c r="D61" s="1201">
        <v>10.08</v>
      </c>
      <c r="E61" s="1201">
        <v>12.06</v>
      </c>
      <c r="F61" s="1201">
        <v>13.5</v>
      </c>
      <c r="G61" s="1201">
        <v>15.12</v>
      </c>
      <c r="H61" s="1201">
        <v>15.3</v>
      </c>
      <c r="I61" s="1201">
        <v>0</v>
      </c>
      <c r="J61" s="1201">
        <v>0</v>
      </c>
    </row>
    <row r="62" spans="2:26">
      <c r="B62" s="1201"/>
      <c r="C62" s="1202">
        <v>34700</v>
      </c>
      <c r="D62" s="1201">
        <v>9</v>
      </c>
      <c r="E62" s="1201">
        <v>10.98</v>
      </c>
      <c r="F62" s="1201">
        <v>12.96</v>
      </c>
      <c r="G62" s="1201">
        <v>14.58</v>
      </c>
      <c r="H62" s="1201">
        <v>14.76</v>
      </c>
      <c r="I62" s="1201">
        <v>0</v>
      </c>
      <c r="J62" s="1201">
        <v>0</v>
      </c>
    </row>
    <row r="63" spans="2:26">
      <c r="B63" s="1201"/>
      <c r="C63" s="1202">
        <v>34161</v>
      </c>
      <c r="D63" s="1201">
        <v>9</v>
      </c>
      <c r="E63" s="1201">
        <v>10.98</v>
      </c>
      <c r="F63" s="1201">
        <v>12.24</v>
      </c>
      <c r="G63" s="1201">
        <v>13.86</v>
      </c>
      <c r="H63" s="1201">
        <v>14.04</v>
      </c>
      <c r="I63" s="1201">
        <v>0</v>
      </c>
      <c r="J63" s="1201">
        <v>0</v>
      </c>
    </row>
    <row r="64" spans="2:26">
      <c r="B64" s="1201"/>
      <c r="C64" s="1202">
        <v>34104</v>
      </c>
      <c r="D64" s="1201">
        <v>8.82</v>
      </c>
      <c r="E64" s="1201">
        <v>9.36</v>
      </c>
      <c r="F64" s="1201">
        <v>10.8</v>
      </c>
      <c r="G64" s="1201">
        <v>12.06</v>
      </c>
      <c r="H64" s="1201">
        <v>12.24</v>
      </c>
      <c r="I64" s="1201">
        <v>0</v>
      </c>
      <c r="J64" s="1201">
        <v>0</v>
      </c>
    </row>
    <row r="65" spans="2:10">
      <c r="B65" s="1201"/>
      <c r="C65" s="1202">
        <v>33349</v>
      </c>
      <c r="D65" s="1201">
        <v>8.1</v>
      </c>
      <c r="E65" s="1201">
        <v>8.64</v>
      </c>
      <c r="F65" s="1201">
        <v>9</v>
      </c>
      <c r="G65" s="1201">
        <v>9.5399999999999991</v>
      </c>
      <c r="H65" s="1201">
        <v>9.7200000000000006</v>
      </c>
      <c r="I65" s="1201">
        <v>0</v>
      </c>
      <c r="J65" s="1201">
        <v>0</v>
      </c>
    </row>
    <row r="66" spans="2:10">
      <c r="B66" s="1201"/>
      <c r="C66" s="1202">
        <v>33318</v>
      </c>
      <c r="D66" s="1201">
        <v>9</v>
      </c>
      <c r="E66" s="1201">
        <v>10.08</v>
      </c>
      <c r="F66" s="1201">
        <v>10.8</v>
      </c>
      <c r="G66" s="1201">
        <v>11.52</v>
      </c>
      <c r="H66" s="1201">
        <v>11.88</v>
      </c>
      <c r="I66" s="1201" t="s">
        <v>633</v>
      </c>
      <c r="J66" s="1201" t="s">
        <v>633</v>
      </c>
    </row>
    <row r="67" spans="2:10">
      <c r="B67" s="1201"/>
      <c r="C67" s="1202">
        <v>33106</v>
      </c>
      <c r="D67" s="1201">
        <v>8.64</v>
      </c>
      <c r="E67" s="1201">
        <v>9.36</v>
      </c>
      <c r="F67" s="1201">
        <v>10.08</v>
      </c>
      <c r="G67" s="1201">
        <v>10.8</v>
      </c>
      <c r="H67" s="1201">
        <v>11.16</v>
      </c>
      <c r="I67" s="1201">
        <v>0</v>
      </c>
      <c r="J67" s="1201">
        <v>0</v>
      </c>
    </row>
    <row r="68" spans="2:10">
      <c r="B68" s="1201"/>
      <c r="C68" s="1202">
        <v>32540</v>
      </c>
      <c r="D68" s="1201">
        <v>11.34</v>
      </c>
      <c r="E68" s="1201">
        <v>11.34</v>
      </c>
      <c r="F68" s="1201">
        <v>12.78</v>
      </c>
      <c r="G68" s="1201">
        <v>14.4</v>
      </c>
      <c r="H68" s="1201">
        <v>19.260000000000002</v>
      </c>
      <c r="I68" s="1201">
        <v>0</v>
      </c>
      <c r="J68" s="1201">
        <v>0</v>
      </c>
    </row>
    <row r="69" spans="2:10">
      <c r="B69" s="1201"/>
      <c r="C69" s="1202"/>
      <c r="D69" s="1201"/>
      <c r="E69" s="1201"/>
      <c r="F69" s="1201"/>
      <c r="G69" s="1201"/>
      <c r="H69" s="1201"/>
      <c r="I69" s="1201"/>
      <c r="J69" s="1201"/>
    </row>
    <row r="70" spans="2:10">
      <c r="B70" s="1204"/>
      <c r="C70" s="1205"/>
      <c r="D70" s="1204"/>
      <c r="E70" s="1204"/>
      <c r="F70" s="1204"/>
      <c r="G70" s="1204"/>
      <c r="H70" s="1204"/>
      <c r="I70" s="1204"/>
      <c r="J70" s="1204"/>
    </row>
    <row r="71" spans="2:10">
      <c r="B71" s="1204"/>
      <c r="C71" s="1205"/>
      <c r="D71" s="1204"/>
      <c r="E71" s="1204"/>
      <c r="F71" s="1204"/>
      <c r="G71" s="1204"/>
      <c r="H71" s="1204"/>
      <c r="I71" s="1204"/>
      <c r="J71" s="1204"/>
    </row>
    <row r="72" spans="2:10">
      <c r="B72" s="1204"/>
      <c r="C72" s="1205"/>
      <c r="D72" s="1204"/>
      <c r="E72" s="1204"/>
      <c r="F72" s="1204"/>
      <c r="G72" s="1204"/>
      <c r="H72" s="1204"/>
      <c r="I72" s="1204"/>
      <c r="J72" s="1204"/>
    </row>
    <row r="73" spans="2:10">
      <c r="B73" s="1155"/>
      <c r="C73" s="1155"/>
      <c r="D73" s="1155"/>
      <c r="E73" s="1155"/>
      <c r="F73" s="1155"/>
      <c r="G73" s="1155"/>
      <c r="H73" s="1155"/>
      <c r="I73" s="1155"/>
      <c r="J73" s="1155"/>
    </row>
    <row r="74" spans="2:10">
      <c r="B74" s="1155"/>
      <c r="C74" s="1155"/>
      <c r="D74" s="1155"/>
      <c r="E74" s="1155"/>
      <c r="F74" s="1155"/>
      <c r="G74" s="1155"/>
      <c r="H74" s="1155"/>
      <c r="I74" s="1155"/>
      <c r="J74" s="1155"/>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926</v>
      </c>
      <c r="B2" s="3211" t="s">
        <v>927</v>
      </c>
      <c r="C2" s="3211" t="s">
        <v>928</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6">
      <c r="A3" s="3212"/>
      <c r="B3" s="3212"/>
      <c r="C3" s="3212"/>
      <c r="D3" s="797" t="s">
        <v>923</v>
      </c>
      <c r="E3" s="797" t="s">
        <v>929</v>
      </c>
      <c r="F3" s="797" t="s">
        <v>923</v>
      </c>
      <c r="G3" s="797" t="s">
        <v>924</v>
      </c>
      <c r="H3" s="797" t="s">
        <v>923</v>
      </c>
      <c r="I3" s="797" t="s">
        <v>924</v>
      </c>
    </row>
    <row r="4" spans="1:9" ht="15.5">
      <c r="A4" s="1399" t="str">
        <f>项目基本情况!S2</f>
        <v>房地产</v>
      </c>
      <c r="B4" s="797">
        <f>项目基本情况!C17</f>
        <v>26917.520000000128</v>
      </c>
      <c r="C4" s="797">
        <f>项目基本情况!C18</f>
        <v>0</v>
      </c>
      <c r="D4" s="797">
        <f ca="1">结果表!D118</f>
        <v>35302</v>
      </c>
      <c r="E4" s="797">
        <f ca="1">结果表!E118</f>
        <v>13115</v>
      </c>
      <c r="F4" s="797">
        <f ca="1">结果表!F118</f>
        <v>16009</v>
      </c>
      <c r="G4" s="797">
        <f ca="1">结果表!G118</f>
        <v>5947</v>
      </c>
      <c r="H4" s="797">
        <f ca="1">结果表!H118</f>
        <v>51311</v>
      </c>
      <c r="I4" s="797">
        <f ca="1">结果表!I118</f>
        <v>19062</v>
      </c>
    </row>
    <row r="5" spans="1:9" ht="30" customHeight="1">
      <c r="A5" s="3212" t="s">
        <v>925</v>
      </c>
      <c r="B5" s="3212"/>
      <c r="C5" s="3212"/>
      <c r="D5" s="3212" t="str">
        <f ca="1">结果表!D119</f>
        <v>叁亿伍仟叁佰零贰万元整</v>
      </c>
      <c r="E5" s="3212"/>
      <c r="F5" s="3212" t="str">
        <f ca="1">结果表!F119</f>
        <v>壹亿陆仟零玖万元整</v>
      </c>
      <c r="G5" s="3212"/>
      <c r="H5" s="3212" t="str">
        <f ca="1">结果表!H119</f>
        <v>伍亿壹仟叁佰壹拾壹万元整</v>
      </c>
      <c r="I5" s="3212"/>
    </row>
    <row r="6" spans="1:9" ht="15.5">
      <c r="A6" s="3213" t="str">
        <f>结果表!A120</f>
        <v>估价师知悉的法定优先受偿款</v>
      </c>
      <c r="B6" s="3213"/>
      <c r="C6" s="3213"/>
      <c r="D6" s="3213">
        <f>结果表!D120</f>
        <v>0</v>
      </c>
      <c r="E6" s="3213"/>
      <c r="F6" s="3213"/>
      <c r="G6" s="3213"/>
      <c r="H6" s="3213"/>
      <c r="I6" s="3213"/>
    </row>
    <row r="7" spans="1:9" ht="15.5">
      <c r="A7" s="3212" t="s">
        <v>925</v>
      </c>
      <c r="B7" s="3212"/>
      <c r="C7" s="3212"/>
      <c r="D7" s="3214" t="str">
        <f>结果表!D121</f>
        <v>零元整</v>
      </c>
      <c r="E7" s="3215"/>
      <c r="F7" s="3215"/>
      <c r="G7" s="3215"/>
      <c r="H7" s="3215"/>
      <c r="I7" s="3216"/>
    </row>
    <row r="8" spans="1:9" ht="15.5">
      <c r="A8" s="3213" t="str">
        <f>结果表!A122</f>
        <v/>
      </c>
      <c r="B8" s="3213"/>
      <c r="C8" s="3213"/>
      <c r="D8" s="3213" t="str">
        <f>结果表!D122</f>
        <v>——</v>
      </c>
      <c r="E8" s="3213"/>
      <c r="F8" s="3213"/>
      <c r="G8" s="3213"/>
      <c r="H8" s="3213"/>
      <c r="I8" s="3213"/>
    </row>
    <row r="9" spans="1:9" ht="15.5">
      <c r="A9" s="3212" t="s">
        <v>925</v>
      </c>
      <c r="B9" s="3212"/>
      <c r="C9" s="3212"/>
      <c r="D9" s="3212" t="e">
        <f>结果表!D123</f>
        <v>#VALUE!</v>
      </c>
      <c r="E9" s="3212"/>
      <c r="F9" s="3212"/>
      <c r="G9" s="3212"/>
      <c r="H9" s="3212"/>
      <c r="I9" s="3212"/>
    </row>
    <row r="10" spans="1:9" ht="15.5">
      <c r="A10" s="3213" t="str">
        <f>结果表!A124</f>
        <v>抵押担保权已注销时的房地产抵押价值</v>
      </c>
      <c r="B10" s="3213"/>
      <c r="C10" s="3213"/>
      <c r="D10" s="3213">
        <f ca="1">结果表!D124</f>
        <v>51311</v>
      </c>
      <c r="E10" s="3213"/>
      <c r="F10" s="3213"/>
      <c r="G10" s="3213"/>
      <c r="H10" s="3213"/>
      <c r="I10" s="3213"/>
    </row>
    <row r="11" spans="1:9" ht="15.5">
      <c r="A11" s="3212" t="s">
        <v>925</v>
      </c>
      <c r="B11" s="3212"/>
      <c r="C11" s="3212"/>
      <c r="D11" s="3212" t="str">
        <f ca="1">结果表!D125</f>
        <v>伍亿壹仟叁佰壹拾壹万元整</v>
      </c>
      <c r="E11" s="3212"/>
      <c r="F11" s="3212"/>
      <c r="G11" s="3212"/>
      <c r="H11" s="3212"/>
      <c r="I11" s="3212"/>
    </row>
    <row r="12" spans="1:9" ht="15.5">
      <c r="A12" s="3213" t="str">
        <f>结果表!A126</f>
        <v/>
      </c>
      <c r="B12" s="3213"/>
      <c r="C12" s="3213"/>
      <c r="D12" s="3213" t="str">
        <f>结果表!D126</f>
        <v>——</v>
      </c>
      <c r="E12" s="3213"/>
      <c r="F12" s="3213"/>
      <c r="G12" s="3213"/>
      <c r="H12" s="3213"/>
      <c r="I12" s="3213"/>
    </row>
    <row r="13" spans="1:9" ht="16" thickBot="1">
      <c r="A13" s="3217" t="s">
        <v>925</v>
      </c>
      <c r="B13" s="3217"/>
      <c r="C13" s="3217"/>
      <c r="D13" s="3217" t="e">
        <f>结果表!D127</f>
        <v>#VALUE!</v>
      </c>
      <c r="E13" s="3217"/>
      <c r="F13" s="3217"/>
      <c r="G13" s="3217"/>
      <c r="H13" s="3217"/>
      <c r="I13" s="3217"/>
    </row>
    <row r="14" spans="1:9" ht="14.5" thickTop="1">
      <c r="A14" s="3218" t="s">
        <v>930</v>
      </c>
      <c r="B14" s="3218"/>
      <c r="C14" s="3218"/>
      <c r="D14" s="3218"/>
      <c r="E14" s="3218"/>
      <c r="F14" s="3218"/>
      <c r="G14" s="3218"/>
      <c r="H14" s="3218"/>
      <c r="I14" s="3218"/>
    </row>
    <row r="16" spans="1:9" ht="17.5">
      <c r="A16" s="1400"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9" t="s">
        <v>947</v>
      </c>
      <c r="B1" s="3219"/>
      <c r="C1" s="3219"/>
      <c r="D1" s="3219"/>
    </row>
    <row r="2" spans="1:4" ht="18">
      <c r="A2" s="3220" t="s">
        <v>931</v>
      </c>
      <c r="B2" s="3220"/>
      <c r="C2" s="3220"/>
      <c r="D2" s="3220"/>
    </row>
    <row r="3" spans="1:4" ht="17.5">
      <c r="A3" s="1403" t="s">
        <v>932</v>
      </c>
      <c r="B3" s="1403" t="s">
        <v>933</v>
      </c>
      <c r="C3" s="1403" t="s">
        <v>934</v>
      </c>
      <c r="D3" s="1403" t="s">
        <v>935</v>
      </c>
    </row>
    <row r="4" spans="1:4" ht="56.25" customHeight="1">
      <c r="A4" s="1404" t="str">
        <f>项目基本情况!B4</f>
        <v>郑燚</v>
      </c>
      <c r="B4" s="1405">
        <f ca="1">项目基本情况!C4</f>
        <v>1120070131</v>
      </c>
      <c r="C4" s="1406"/>
      <c r="D4" s="1407" t="s">
        <v>936</v>
      </c>
    </row>
    <row r="5" spans="1:4" ht="56.25" customHeight="1">
      <c r="A5" s="1404" t="str">
        <f>项目基本情况!D4</f>
        <v>崔锴</v>
      </c>
      <c r="B5" s="1405">
        <f ca="1">项目基本情况!E4</f>
        <v>1120100036</v>
      </c>
      <c r="C5" s="1408"/>
      <c r="D5" s="1407" t="s">
        <v>936</v>
      </c>
    </row>
    <row r="6" spans="1:4" ht="18">
      <c r="A6" s="3220" t="s">
        <v>937</v>
      </c>
      <c r="B6" s="3220"/>
      <c r="C6" s="3220"/>
      <c r="D6" s="3220"/>
    </row>
    <row r="7" spans="1:4" ht="17.5">
      <c r="A7" s="1403" t="s">
        <v>932</v>
      </c>
      <c r="B7" s="1405" t="s">
        <v>938</v>
      </c>
      <c r="C7" s="1403" t="s">
        <v>934</v>
      </c>
      <c r="D7" s="1403" t="s">
        <v>935</v>
      </c>
    </row>
    <row r="8" spans="1:4" ht="56.25" customHeight="1">
      <c r="A8" s="1409" t="s">
        <v>390</v>
      </c>
      <c r="B8" s="1409" t="s">
        <v>0</v>
      </c>
      <c r="C8" s="1406"/>
      <c r="D8" s="1407" t="s">
        <v>936</v>
      </c>
    </row>
    <row r="10" spans="1:4" ht="18">
      <c r="A10" s="1410" t="s">
        <v>939</v>
      </c>
    </row>
    <row r="11" spans="1:4" ht="30" customHeight="1">
      <c r="A11" s="3221" t="s">
        <v>940</v>
      </c>
      <c r="B11" s="3222"/>
      <c r="C11" s="3222"/>
      <c r="D11" s="3222"/>
    </row>
    <row r="12" spans="1:4" ht="15.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941</v>
      </c>
      <c r="B16" s="3225"/>
      <c r="C16" s="3225"/>
      <c r="D16" s="3225"/>
    </row>
    <row r="17" spans="1:4" ht="144" customHeight="1">
      <c r="A17" s="3225" t="s">
        <v>942</v>
      </c>
      <c r="B17" s="3225"/>
      <c r="C17" s="3225"/>
      <c r="D17" s="3225"/>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943</v>
      </c>
      <c r="B22" s="3227"/>
      <c r="C22" s="3227"/>
      <c r="D22" s="3227"/>
    </row>
    <row r="23" spans="1:4">
      <c r="A23" s="1411"/>
      <c r="B23" s="459"/>
      <c r="C23" s="459"/>
      <c r="D23" s="459"/>
    </row>
    <row r="24" spans="1:4">
      <c r="A24" s="1411"/>
      <c r="B24" s="459"/>
      <c r="C24" s="459"/>
      <c r="D24" s="459"/>
    </row>
    <row r="25" spans="1:4" ht="17.5">
      <c r="A25" s="1412" t="s">
        <v>944</v>
      </c>
    </row>
    <row r="26" spans="1:4" ht="17.5">
      <c r="A26" s="1383"/>
    </row>
    <row r="27" spans="1:4" ht="17.5">
      <c r="A27" s="1383" t="s">
        <v>945</v>
      </c>
    </row>
    <row r="30" spans="1:4" ht="17.5">
      <c r="D30" s="1412" t="s">
        <v>946</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5" customWidth="1"/>
    <col min="3" max="10" width="12.453125" style="1375" customWidth="1"/>
    <col min="11" max="16384" width="9" style="1375"/>
  </cols>
  <sheetData>
    <row r="1" spans="1:1" ht="17.5">
      <c r="A1" s="1402" t="s">
        <v>391</v>
      </c>
    </row>
    <row r="2" spans="1:1" ht="1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18" customWidth="1"/>
    <col min="2" max="16384" width="14.453125" style="1401"/>
  </cols>
  <sheetData>
    <row r="1" spans="1:7" s="1415" customFormat="1" ht="17.5">
      <c r="A1" s="1414" t="s">
        <v>948</v>
      </c>
    </row>
    <row r="3" spans="1:7">
      <c r="A3" s="1416" t="s">
        <v>55</v>
      </c>
      <c r="B3" s="1401" t="s">
        <v>949</v>
      </c>
      <c r="G3" s="1417"/>
    </row>
    <row r="4" spans="1:7">
      <c r="G4" s="1417"/>
    </row>
    <row r="5" spans="1:7">
      <c r="A5" s="1419" t="s">
        <v>46</v>
      </c>
      <c r="B5" s="1401" t="s">
        <v>950</v>
      </c>
      <c r="G5" s="1417"/>
    </row>
    <row r="6" spans="1:7">
      <c r="G6" s="1417"/>
    </row>
    <row r="7" spans="1:7">
      <c r="A7" s="1420" t="s">
        <v>108</v>
      </c>
      <c r="B7" s="1401" t="s">
        <v>951</v>
      </c>
      <c r="G7" s="1417"/>
    </row>
    <row r="8" spans="1:7">
      <c r="G8" s="1417"/>
    </row>
    <row r="9" spans="1:7">
      <c r="A9" s="1421" t="s">
        <v>47</v>
      </c>
      <c r="B9" s="1401" t="s">
        <v>952</v>
      </c>
    </row>
    <row r="11" spans="1:7">
      <c r="A11" s="1422" t="s">
        <v>48</v>
      </c>
      <c r="B11" s="1423" t="s">
        <v>45</v>
      </c>
    </row>
    <row r="13" spans="1:7">
      <c r="A13" s="1424" t="s">
        <v>953</v>
      </c>
    </row>
    <row r="15" spans="1:7" ht="14">
      <c r="A15" s="3233" t="s">
        <v>954</v>
      </c>
      <c r="B15" s="3228" t="s">
        <v>109</v>
      </c>
      <c r="C15" s="3229"/>
    </row>
    <row r="16" spans="1:7" ht="14">
      <c r="A16" s="3234"/>
      <c r="B16" s="3228" t="s">
        <v>42</v>
      </c>
      <c r="C16" s="3229"/>
    </row>
    <row r="17" spans="1:3" ht="14">
      <c r="A17" s="3234"/>
      <c r="B17" s="3231" t="s">
        <v>955</v>
      </c>
      <c r="C17" s="1425" t="s">
        <v>954</v>
      </c>
    </row>
    <row r="18" spans="1:3" ht="14">
      <c r="A18" s="3234"/>
      <c r="B18" s="3231"/>
      <c r="C18" s="1425" t="s">
        <v>956</v>
      </c>
    </row>
    <row r="19" spans="1:3" ht="14">
      <c r="A19" s="3234"/>
      <c r="B19" s="3231"/>
      <c r="C19" s="1425" t="s">
        <v>957</v>
      </c>
    </row>
    <row r="20" spans="1:3" ht="14">
      <c r="A20" s="3235"/>
      <c r="B20" s="3230" t="s">
        <v>958</v>
      </c>
      <c r="C20" s="3229"/>
    </row>
    <row r="21" spans="1:3" ht="14">
      <c r="A21" s="1426" t="s">
        <v>959</v>
      </c>
      <c r="B21" s="1427"/>
      <c r="C21" s="1428"/>
    </row>
    <row r="22" spans="1:3" ht="14">
      <c r="A22" s="3232" t="s">
        <v>960</v>
      </c>
      <c r="B22" s="3230" t="s">
        <v>961</v>
      </c>
      <c r="C22" s="3229"/>
    </row>
    <row r="23" spans="1:3" ht="14">
      <c r="A23" s="3232"/>
      <c r="B23" s="3230" t="s">
        <v>962</v>
      </c>
      <c r="C23" s="3229"/>
    </row>
    <row r="24" spans="1:3" ht="14">
      <c r="A24" s="3232"/>
      <c r="B24" s="3230" t="s">
        <v>963</v>
      </c>
      <c r="C24" s="3229"/>
    </row>
    <row r="25" spans="1:3" ht="14">
      <c r="A25" s="3232"/>
      <c r="B25" s="3231" t="s">
        <v>964</v>
      </c>
      <c r="C25" s="1425" t="s">
        <v>965</v>
      </c>
    </row>
    <row r="26" spans="1:3" ht="14">
      <c r="A26" s="3232"/>
      <c r="B26" s="3231"/>
      <c r="C26" s="1425" t="s">
        <v>966</v>
      </c>
    </row>
    <row r="27" spans="1:3" ht="14">
      <c r="A27" s="3232"/>
      <c r="B27" s="3231"/>
      <c r="C27" s="1425" t="s">
        <v>967</v>
      </c>
    </row>
    <row r="28" spans="1:3" ht="14">
      <c r="A28" s="3232"/>
      <c r="B28" s="3231"/>
      <c r="C28" s="1425" t="s">
        <v>968</v>
      </c>
    </row>
    <row r="29" spans="1:3" ht="14">
      <c r="A29" s="3232"/>
      <c r="B29" s="3231"/>
      <c r="C29" s="1425" t="s">
        <v>969</v>
      </c>
    </row>
    <row r="30" spans="1:3" ht="14">
      <c r="A30" s="3232"/>
      <c r="B30" s="3231"/>
      <c r="C30" s="1425" t="s">
        <v>970</v>
      </c>
    </row>
    <row r="31" spans="1:3" ht="14">
      <c r="A31" s="3232"/>
      <c r="B31" s="3231"/>
      <c r="C31" s="1425" t="s">
        <v>971</v>
      </c>
    </row>
    <row r="32" spans="1:3" ht="14">
      <c r="A32" s="3232"/>
      <c r="B32" s="3231"/>
      <c r="C32" s="1425" t="s">
        <v>972</v>
      </c>
    </row>
    <row r="33" spans="1:3" ht="14">
      <c r="A33" s="3232"/>
      <c r="B33" s="3231"/>
      <c r="C33" s="1425" t="s">
        <v>973</v>
      </c>
    </row>
    <row r="34" spans="1:3">
      <c r="A34" s="1429" t="s">
        <v>49</v>
      </c>
    </row>
    <row r="37" spans="1:3">
      <c r="A37" s="1429" t="s">
        <v>974</v>
      </c>
    </row>
    <row r="38" spans="1:3" ht="14">
      <c r="A38" s="1430" t="s">
        <v>50</v>
      </c>
    </row>
    <row r="39" spans="1:3" ht="14">
      <c r="A39" s="1430" t="s">
        <v>51</v>
      </c>
    </row>
    <row r="40" spans="1:3" ht="14">
      <c r="A40" s="1430" t="s">
        <v>52</v>
      </c>
    </row>
    <row r="41" spans="1:3" ht="14">
      <c r="A41" s="1431" t="s">
        <v>53</v>
      </c>
    </row>
    <row r="42" spans="1:3" ht="1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51" customWidth="1"/>
    <col min="2" max="2" width="38.6328125" style="2151" customWidth="1"/>
    <col min="3" max="3" width="26" style="2151" customWidth="1"/>
    <col min="4" max="4" width="35" style="2151" hidden="1" customWidth="1"/>
    <col min="5" max="5" width="30.08984375" style="2151" customWidth="1"/>
    <col min="6" max="6" width="35.453125" style="2151" customWidth="1"/>
    <col min="7" max="7" width="31" style="2151" customWidth="1"/>
    <col min="8" max="8" width="37.453125" style="2151" hidden="1" customWidth="1"/>
    <col min="9" max="16384" width="22.6328125" style="2151"/>
  </cols>
  <sheetData>
    <row r="1" spans="1:8" ht="24" customHeight="1">
      <c r="A1" s="2150"/>
      <c r="B1" s="2150"/>
      <c r="C1" s="2150"/>
      <c r="D1" s="2150"/>
      <c r="E1" s="2150"/>
      <c r="F1" s="2150"/>
      <c r="G1" s="2150"/>
      <c r="H1" s="2150"/>
    </row>
    <row r="2" spans="1:8" ht="24" customHeight="1">
      <c r="A2" s="2152" t="s">
        <v>2137</v>
      </c>
      <c r="B2" s="2153">
        <f ca="1">TODAY()</f>
        <v>45495</v>
      </c>
      <c r="C2" s="2154" t="s">
        <v>2138</v>
      </c>
      <c r="D2" s="2154"/>
      <c r="E2" s="2154"/>
      <c r="F2" s="2150"/>
      <c r="G2" s="2150"/>
      <c r="H2" s="2150"/>
    </row>
    <row r="3" spans="1:8" ht="24" customHeight="1">
      <c r="A3" s="2155" t="s">
        <v>2139</v>
      </c>
      <c r="B3" s="1215" t="s">
        <v>2140</v>
      </c>
      <c r="C3" s="1215" t="s">
        <v>2141</v>
      </c>
      <c r="D3" s="2156" t="s">
        <v>2142</v>
      </c>
      <c r="E3" s="2157" t="s">
        <v>2143</v>
      </c>
      <c r="F3" s="1215" t="s">
        <v>2144</v>
      </c>
      <c r="G3" s="1215" t="s">
        <v>2141</v>
      </c>
      <c r="H3" s="2156" t="s">
        <v>2145</v>
      </c>
    </row>
    <row r="4" spans="1:8" ht="24" customHeight="1">
      <c r="A4" s="1215" t="s">
        <v>2146</v>
      </c>
      <c r="B4" s="1215">
        <f ca="1">IF(C4&lt;B2,"已过期",1119970066)</f>
        <v>1119970066</v>
      </c>
      <c r="C4" s="2158">
        <v>45937</v>
      </c>
      <c r="D4" s="2159" t="str">
        <f ca="1">A4&amp;"（注册号："&amp;B4&amp;"）"</f>
        <v>梁津（注册号：1119970066）</v>
      </c>
      <c r="E4" s="2160" t="s">
        <v>2146</v>
      </c>
      <c r="F4" s="1215">
        <f ca="1">IF(G4&lt;B2,"已过期",96010014)</f>
        <v>96010014</v>
      </c>
      <c r="G4" s="2161">
        <v>47118</v>
      </c>
      <c r="H4" s="2162" t="str">
        <f ca="1">E4&amp;"（注册号："&amp;F4&amp;"）"</f>
        <v>梁津（注册号：96010014）</v>
      </c>
    </row>
    <row r="5" spans="1:8" ht="24" customHeight="1">
      <c r="A5" s="1215" t="s">
        <v>2147</v>
      </c>
      <c r="B5" s="1215">
        <f ca="1">IF(C5&lt;B2,"已过期",1119970111)</f>
        <v>1119970111</v>
      </c>
      <c r="C5" s="2158">
        <v>45937</v>
      </c>
      <c r="D5" s="2159" t="str">
        <f t="shared" ref="D5:D15" ca="1" si="0">A5&amp;"（注册号："&amp;B5&amp;"）"</f>
        <v>叶凌（注册号：1119970111）</v>
      </c>
      <c r="E5" s="2160" t="s">
        <v>2147</v>
      </c>
      <c r="F5" s="1215">
        <f ca="1">IF(G5&lt;B2,"已过期",94010078)</f>
        <v>94010078</v>
      </c>
      <c r="G5" s="2161">
        <v>46387</v>
      </c>
      <c r="H5" s="2162" t="str">
        <f t="shared" ref="H5:H16" ca="1" si="1">E5&amp;"（注册号："&amp;F5&amp;"）"</f>
        <v>叶凌（注册号：94010078）</v>
      </c>
    </row>
    <row r="6" spans="1:8" ht="24" customHeight="1">
      <c r="A6" s="1215" t="s">
        <v>2148</v>
      </c>
      <c r="B6" s="1215" t="str">
        <f ca="1">IF(C6&lt;B2,"已过期",1120050019)</f>
        <v>已过期</v>
      </c>
      <c r="C6" s="2158">
        <v>45410</v>
      </c>
      <c r="D6" s="2159" t="str">
        <f t="shared" ca="1" si="0"/>
        <v>王鹏（注册号：已过期）</v>
      </c>
      <c r="E6" s="2160" t="s">
        <v>2148</v>
      </c>
      <c r="F6" s="1215">
        <f ca="1">IF(G6&lt;B2,"已过期",2002110030)</f>
        <v>2002110030</v>
      </c>
      <c r="G6" s="2161">
        <v>46387</v>
      </c>
      <c r="H6" s="2162" t="str">
        <f t="shared" ca="1" si="1"/>
        <v>王鹏（注册号：2002110030）</v>
      </c>
    </row>
    <row r="7" spans="1:8" ht="24" customHeight="1">
      <c r="A7" s="1215" t="s">
        <v>2149</v>
      </c>
      <c r="B7" s="1215">
        <f ca="1">IF(C7&lt;B2,"已过期",1120000080)</f>
        <v>1120000080</v>
      </c>
      <c r="C7" s="2158">
        <v>45937</v>
      </c>
      <c r="D7" s="2159" t="str">
        <f t="shared" ca="1" si="0"/>
        <v>欧红伟（注册号：1120000080）</v>
      </c>
      <c r="E7" s="2160" t="s">
        <v>2149</v>
      </c>
      <c r="F7" s="1215">
        <f ca="1">IF(G7&lt;B2,"已过期",2000110082)</f>
        <v>2000110082</v>
      </c>
      <c r="G7" s="2161">
        <v>46387</v>
      </c>
      <c r="H7" s="2162" t="str">
        <f t="shared" ca="1" si="1"/>
        <v>欧红伟（注册号：2000110082）</v>
      </c>
    </row>
    <row r="8" spans="1:8" ht="24" customHeight="1">
      <c r="A8" s="1215" t="s">
        <v>2150</v>
      </c>
      <c r="B8" s="1215">
        <f ca="1">IF(C8&lt;B2,"已过期",1419970001)</f>
        <v>1419970001</v>
      </c>
      <c r="C8" s="2158">
        <v>45937</v>
      </c>
      <c r="D8" s="2159" t="str">
        <f t="shared" ca="1" si="0"/>
        <v>吴薇（注册号：1419970001）</v>
      </c>
      <c r="E8" s="2160" t="s">
        <v>2150</v>
      </c>
      <c r="F8" s="1215">
        <f ca="1">IF(G8&lt;B2,"已过期",2002110125)</f>
        <v>2002110125</v>
      </c>
      <c r="G8" s="2161">
        <v>47118</v>
      </c>
      <c r="H8" s="2162" t="str">
        <f t="shared" ca="1" si="1"/>
        <v>吴薇（注册号：2002110125）</v>
      </c>
    </row>
    <row r="9" spans="1:8" ht="24" customHeight="1">
      <c r="A9" s="1215" t="s">
        <v>2151</v>
      </c>
      <c r="B9" s="1215">
        <f ca="1">IF(C9&lt;B2,"已过期",1120060040)</f>
        <v>1120060040</v>
      </c>
      <c r="C9" s="2163">
        <v>45592</v>
      </c>
      <c r="D9" s="2159" t="str">
        <f t="shared" ca="1" si="0"/>
        <v>陈颖（注册号：1120060040）</v>
      </c>
      <c r="E9" s="2160" t="s">
        <v>2151</v>
      </c>
      <c r="F9" s="1215">
        <f ca="1">IF(G9&lt;B2,"已过期",2004110096)</f>
        <v>2004110096</v>
      </c>
      <c r="G9" s="2161">
        <v>47118</v>
      </c>
      <c r="H9" s="2162" t="str">
        <f t="shared" ca="1" si="1"/>
        <v>陈颖（注册号：2004110096）</v>
      </c>
    </row>
    <row r="10" spans="1:8" ht="24" customHeight="1">
      <c r="A10" s="1215" t="s">
        <v>2152</v>
      </c>
      <c r="B10" s="1215">
        <f ca="1">IF(C10&lt;B2,"已过期",1120100036)</f>
        <v>1120100036</v>
      </c>
      <c r="C10" s="2163">
        <v>45752</v>
      </c>
      <c r="D10" s="2159" t="str">
        <f t="shared" ca="1" si="0"/>
        <v>崔锴（注册号：1120100036）</v>
      </c>
      <c r="E10" s="2160" t="s">
        <v>2152</v>
      </c>
      <c r="F10" s="1215">
        <f ca="1">IF(G10&lt;B2,"已过期",2010110070)</f>
        <v>2010110070</v>
      </c>
      <c r="G10" s="2161">
        <v>47907</v>
      </c>
      <c r="H10" s="2162" t="str">
        <f t="shared" ca="1" si="1"/>
        <v>崔锴（注册号：2010110070）</v>
      </c>
    </row>
    <row r="11" spans="1:8" ht="24" customHeight="1">
      <c r="A11" s="1215" t="s">
        <v>2153</v>
      </c>
      <c r="B11" s="1215">
        <f ca="1">IF(C11&lt;B2,"已过期",1120070131)</f>
        <v>1120070131</v>
      </c>
      <c r="C11" s="2158">
        <v>45937</v>
      </c>
      <c r="D11" s="2159" t="str">
        <f t="shared" ca="1" si="0"/>
        <v>郑燚（注册号：1120070131）</v>
      </c>
      <c r="E11" s="2160" t="s">
        <v>2153</v>
      </c>
      <c r="F11" s="1215">
        <f ca="1">IF(G11&lt;B2,"已过期",2014110011)</f>
        <v>2014110011</v>
      </c>
      <c r="G11" s="2161">
        <v>49302</v>
      </c>
      <c r="H11" s="2162" t="str">
        <f t="shared" ca="1" si="1"/>
        <v>郑燚（注册号：2014110011）</v>
      </c>
    </row>
    <row r="12" spans="1:8" ht="24" customHeight="1">
      <c r="A12" s="1215" t="s">
        <v>2154</v>
      </c>
      <c r="B12" s="1215">
        <f ca="1">IF(C12&lt;B2,"已过期",1120040230)</f>
        <v>1120040230</v>
      </c>
      <c r="C12" s="2163">
        <v>45937</v>
      </c>
      <c r="D12" s="2159" t="str">
        <f t="shared" ca="1" si="0"/>
        <v>苏海（注册号：1120040230）</v>
      </c>
      <c r="E12" s="2160" t="s">
        <v>2154</v>
      </c>
      <c r="F12" s="1215">
        <f ca="1">IF(G12&lt;B2,"已过期",98030020)</f>
        <v>98030020</v>
      </c>
      <c r="G12" s="2161">
        <v>47118</v>
      </c>
      <c r="H12" s="2162" t="str">
        <f t="shared" ca="1" si="1"/>
        <v>苏海（注册号：98030020）</v>
      </c>
    </row>
    <row r="13" spans="1:8" ht="24" customHeight="1">
      <c r="A13" s="1215" t="s">
        <v>2155</v>
      </c>
      <c r="B13" s="1215" t="str">
        <f ca="1">IF(C13&lt;B2,"已过期",1120020033)</f>
        <v>已过期</v>
      </c>
      <c r="C13" s="2158">
        <v>45375</v>
      </c>
      <c r="D13" s="2159" t="str">
        <f t="shared" ca="1" si="0"/>
        <v>刘敬东（注册号：已过期）</v>
      </c>
      <c r="E13" s="2160" t="s">
        <v>2155</v>
      </c>
      <c r="F13" s="1215">
        <f ca="1">IF(G13&lt;B2,"已过期",2000110137)</f>
        <v>2000110137</v>
      </c>
      <c r="G13" s="2161">
        <v>46387</v>
      </c>
      <c r="H13" s="2162" t="str">
        <f t="shared" ca="1" si="1"/>
        <v>刘敬东（注册号：2000110137）</v>
      </c>
    </row>
    <row r="14" spans="1:8" ht="24" customHeight="1">
      <c r="A14" s="1215" t="s">
        <v>2156</v>
      </c>
      <c r="B14" s="1215" t="str">
        <f ca="1">IF(C14&lt;B2,"已过期",1119980106)</f>
        <v>已过期</v>
      </c>
      <c r="C14" s="2163">
        <v>44969</v>
      </c>
      <c r="D14" s="2159" t="str">
        <f t="shared" ca="1" si="0"/>
        <v>刘俊财（注册号：已过期）</v>
      </c>
      <c r="E14" s="2160" t="s">
        <v>2156</v>
      </c>
      <c r="F14" s="1215">
        <f ca="1">IF(G14&lt;B2,"已过期",96010063)</f>
        <v>96010063</v>
      </c>
      <c r="G14" s="2161">
        <v>47483</v>
      </c>
      <c r="H14" s="2162" t="str">
        <f t="shared" ca="1" si="1"/>
        <v>刘俊财（注册号：96010063）</v>
      </c>
    </row>
    <row r="15" spans="1:8" ht="24" customHeight="1">
      <c r="A15" s="1215" t="s">
        <v>2435</v>
      </c>
      <c r="B15" s="1215">
        <v>1120210056</v>
      </c>
      <c r="C15" s="2163">
        <v>45410</v>
      </c>
      <c r="D15" s="2159" t="str">
        <f t="shared" si="0"/>
        <v>宁小鳗（注册号：1120210056）</v>
      </c>
      <c r="E15" s="2160" t="s">
        <v>2157</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36" t="s">
        <v>2158</v>
      </c>
      <c r="B17" s="3236"/>
      <c r="C17" s="3236"/>
      <c r="D17" s="3236"/>
      <c r="E17" s="3236"/>
      <c r="F17" s="3236"/>
      <c r="G17" s="3236"/>
      <c r="H17" s="3236"/>
    </row>
    <row r="18" spans="1:8" ht="24" customHeight="1">
      <c r="A18" s="3237" t="s">
        <v>2159</v>
      </c>
      <c r="B18" s="3237"/>
      <c r="C18" s="3237"/>
      <c r="D18" s="2156"/>
      <c r="E18" s="3238" t="s">
        <v>2160</v>
      </c>
      <c r="F18" s="3237"/>
      <c r="G18" s="3237"/>
    </row>
    <row r="19" spans="1:8" s="2166" customFormat="1" ht="24" customHeight="1">
      <c r="A19" s="2165" t="s">
        <v>2161</v>
      </c>
      <c r="B19" s="1215" t="s">
        <v>2162</v>
      </c>
      <c r="C19" s="1215" t="s">
        <v>2141</v>
      </c>
      <c r="D19" s="2156"/>
      <c r="E19" s="2160" t="s">
        <v>2161</v>
      </c>
      <c r="F19" s="1215" t="s">
        <v>2162</v>
      </c>
      <c r="G19" s="1215" t="s">
        <v>2141</v>
      </c>
    </row>
    <row r="20" spans="1:8" s="2166" customFormat="1" ht="24" customHeight="1">
      <c r="A20" s="2167" t="s">
        <v>2163</v>
      </c>
      <c r="B20" s="2167" t="s">
        <v>2164</v>
      </c>
      <c r="C20" s="2161">
        <v>45898</v>
      </c>
      <c r="D20" s="2168"/>
      <c r="E20" s="2169" t="s">
        <v>2165</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2024-07-22T02:55:38Z</dcterms:modified>
</cp:coreProperties>
</file>