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军队-北京市昌平区回龙观镇龙锦苑一区2号楼4层4单元401号住宅用房房地产市场价值评估\测算\"/>
    </mc:Choice>
  </mc:AlternateContent>
  <xr:revisionPtr revIDLastSave="0" documentId="13_ncr:1_{BAC5ABB5-1AFC-45DD-9DC1-8F25FE12D5F7}" xr6:coauthVersionLast="47" xr6:coauthVersionMax="47" xr10:uidLastSave="{00000000-0000-0000-0000-000000000000}"/>
  <bookViews>
    <workbookView xWindow="-120" yWindow="-120" windowWidth="38640" windowHeight="21240" tabRatio="787" firstSheet="4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A70" i="66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A65" i="66"/>
  <c r="V64" i="66" s="1"/>
  <c r="E64" i="66" s="1"/>
  <c r="C65" i="66"/>
  <c r="AB63" i="66"/>
  <c r="AB62" i="66" s="1"/>
  <c r="W62" i="66" s="1"/>
  <c r="F62" i="66" s="1"/>
  <c r="AA63" i="66"/>
  <c r="AA62" i="66" s="1"/>
  <c r="V62" i="66" s="1"/>
  <c r="E62" i="66" s="1"/>
  <c r="Z63" i="66"/>
  <c r="Y63" i="66"/>
  <c r="Y62" i="66" s="1"/>
  <c r="W63" i="66"/>
  <c r="V63" i="66"/>
  <c r="E63" i="66" s="1"/>
  <c r="U63" i="66"/>
  <c r="T63" i="66"/>
  <c r="B63" i="66" s="1"/>
  <c r="F63" i="66"/>
  <c r="C63" i="66"/>
  <c r="Z62" i="66"/>
  <c r="Z61" i="66" s="1"/>
  <c r="U61" i="66" s="1"/>
  <c r="C61" i="66" s="1"/>
  <c r="U62" i="66"/>
  <c r="C62" i="66" s="1"/>
  <c r="D62" i="66" s="1"/>
  <c r="AA61" i="66"/>
  <c r="U60" i="66"/>
  <c r="C60" i="66" s="1"/>
  <c r="D60" i="66" s="1"/>
  <c r="F59" i="66"/>
  <c r="E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 s="1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 s="1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 s="1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 s="1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 s="1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 s="1"/>
  <c r="E18" i="66"/>
  <c r="C18" i="66"/>
  <c r="D18" i="66" s="1"/>
  <c r="I18" i="66" s="1"/>
  <c r="B18" i="66"/>
  <c r="G18" i="66" s="1"/>
  <c r="K17" i="66"/>
  <c r="G17" i="66"/>
  <c r="F17" i="66"/>
  <c r="E17" i="66"/>
  <c r="J17" i="66" s="1"/>
  <c r="C17" i="66"/>
  <c r="H17" i="66" s="1"/>
  <c r="B17" i="66"/>
  <c r="F16" i="66"/>
  <c r="E16" i="66"/>
  <c r="J16" i="66" s="1"/>
  <c r="C16" i="66"/>
  <c r="B16" i="66"/>
  <c r="F15" i="66"/>
  <c r="E15" i="66"/>
  <c r="D15" i="66"/>
  <c r="C15" i="66"/>
  <c r="H15" i="66" s="1"/>
  <c r="B15" i="66"/>
  <c r="F14" i="66"/>
  <c r="E14" i="66"/>
  <c r="J14" i="66" s="1"/>
  <c r="C14" i="66"/>
  <c r="H14" i="66" s="1"/>
  <c r="B14" i="66"/>
  <c r="F13" i="66"/>
  <c r="E13" i="66"/>
  <c r="J13" i="66" s="1"/>
  <c r="C13" i="66"/>
  <c r="D13" i="66" s="1"/>
  <c r="B13" i="66"/>
  <c r="F12" i="66"/>
  <c r="E12" i="66"/>
  <c r="J12" i="66" s="1"/>
  <c r="C12" i="66"/>
  <c r="B12" i="66"/>
  <c r="F11" i="66"/>
  <c r="E11" i="66"/>
  <c r="D11" i="66"/>
  <c r="C11" i="66"/>
  <c r="H11" i="66" s="1"/>
  <c r="B11" i="66"/>
  <c r="F10" i="66"/>
  <c r="E10" i="66"/>
  <c r="J10" i="66" s="1"/>
  <c r="C10" i="66"/>
  <c r="H10" i="66" s="1"/>
  <c r="B10" i="66"/>
  <c r="F9" i="66"/>
  <c r="E9" i="66"/>
  <c r="J9" i="66" s="1"/>
  <c r="C9" i="66"/>
  <c r="H5" i="66" s="1"/>
  <c r="B9" i="66"/>
  <c r="F8" i="66"/>
  <c r="E8" i="66"/>
  <c r="J7" i="66" s="1"/>
  <c r="C8" i="66"/>
  <c r="B8" i="66"/>
  <c r="G4" i="66" s="1"/>
  <c r="H6" i="66"/>
  <c r="O1" i="66"/>
  <c r="J1" i="66"/>
  <c r="H2" i="66" s="1"/>
  <c r="N21" i="43" s="1"/>
  <c r="D87" i="67"/>
  <c r="F86" i="67"/>
  <c r="E86" i="67"/>
  <c r="E85" i="67" s="1"/>
  <c r="C86" i="67"/>
  <c r="D86" i="67" s="1"/>
  <c r="B86" i="67"/>
  <c r="F85" i="67"/>
  <c r="F84" i="67" s="1"/>
  <c r="C85" i="67"/>
  <c r="D85" i="67" s="1"/>
  <c r="B85" i="67"/>
  <c r="B84" i="67" s="1"/>
  <c r="E84" i="67"/>
  <c r="C84" i="67"/>
  <c r="D84" i="67" s="1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C65" i="67" s="1"/>
  <c r="B66" i="67"/>
  <c r="B65" i="67" s="1"/>
  <c r="B64" i="67" s="1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P47" i="67"/>
  <c r="E48" i="67" s="1"/>
  <c r="E49" i="67" s="1"/>
  <c r="E50" i="67" s="1"/>
  <c r="U50" i="67" s="1"/>
  <c r="O47" i="67"/>
  <c r="C48" i="67" s="1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 s="1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N43" i="67"/>
  <c r="B44" i="67" s="1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 s="1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N39" i="67"/>
  <c r="B40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 s="1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D27" i="67"/>
  <c r="T26" i="67"/>
  <c r="Q26" i="67"/>
  <c r="P26" i="67"/>
  <c r="O26" i="67"/>
  <c r="C26" i="67" s="1"/>
  <c r="N26" i="67"/>
  <c r="F26" i="67"/>
  <c r="V26" i="67" s="1"/>
  <c r="E26" i="67"/>
  <c r="U26" i="67" s="1"/>
  <c r="D26" i="67"/>
  <c r="B26" i="67"/>
  <c r="S26" i="67" s="1"/>
  <c r="Q25" i="67"/>
  <c r="P25" i="67"/>
  <c r="O25" i="67"/>
  <c r="N25" i="67"/>
  <c r="F25" i="67"/>
  <c r="E25" i="67"/>
  <c r="C25" i="67"/>
  <c r="D25" i="67" s="1"/>
  <c r="B25" i="67"/>
  <c r="B24" i="67" s="1"/>
  <c r="Q24" i="67"/>
  <c r="P24" i="67"/>
  <c r="O24" i="67"/>
  <c r="N24" i="67"/>
  <c r="F24" i="67"/>
  <c r="C24" i="67"/>
  <c r="D24" i="67" s="1"/>
  <c r="Q23" i="67"/>
  <c r="P23" i="67"/>
  <c r="O23" i="67"/>
  <c r="N23" i="67"/>
  <c r="D23" i="67"/>
  <c r="T22" i="67"/>
  <c r="Q22" i="67"/>
  <c r="P22" i="67"/>
  <c r="O22" i="67"/>
  <c r="C22" i="67" s="1"/>
  <c r="N22" i="67"/>
  <c r="F22" i="67"/>
  <c r="V22" i="67" s="1"/>
  <c r="E22" i="67"/>
  <c r="U22" i="67" s="1"/>
  <c r="D22" i="67"/>
  <c r="B22" i="67"/>
  <c r="S22" i="67" s="1"/>
  <c r="Q21" i="67"/>
  <c r="P21" i="67"/>
  <c r="O21" i="67"/>
  <c r="N21" i="67"/>
  <c r="F21" i="67"/>
  <c r="E21" i="67"/>
  <c r="C21" i="67"/>
  <c r="D21" i="67" s="1"/>
  <c r="B21" i="67"/>
  <c r="B20" i="67" s="1"/>
  <c r="Q20" i="67"/>
  <c r="P20" i="67"/>
  <c r="O20" i="67"/>
  <c r="N20" i="67"/>
  <c r="F20" i="67"/>
  <c r="C20" i="67"/>
  <c r="D20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L1" i="65" s="1"/>
  <c r="E120" i="39"/>
  <c r="F120" i="39" s="1"/>
  <c r="G120" i="39" s="1"/>
  <c r="D120" i="39"/>
  <c r="A119" i="39"/>
  <c r="J45" i="39" s="1"/>
  <c r="AC45" i="39" s="1"/>
  <c r="B117" i="39"/>
  <c r="B115" i="39"/>
  <c r="J43" i="39" s="1"/>
  <c r="AC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B98" i="39"/>
  <c r="E97" i="39"/>
  <c r="F97" i="39" s="1"/>
  <c r="G97" i="39" s="1"/>
  <c r="H97" i="39" s="1"/>
  <c r="I97" i="39" s="1"/>
  <c r="J97" i="39" s="1"/>
  <c r="K97" i="39" s="1"/>
  <c r="L97" i="39" s="1"/>
  <c r="M97" i="39" s="1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H45" i="39"/>
  <c r="AB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H43" i="39"/>
  <c r="AB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W38" i="39"/>
  <c r="Q38" i="39"/>
  <c r="Z38" i="39" s="1"/>
  <c r="J38" i="39"/>
  <c r="AC38" i="39" s="1"/>
  <c r="H38" i="39"/>
  <c r="AB38" i="39" s="1"/>
  <c r="F38" i="39"/>
  <c r="AA38" i="39" s="1"/>
  <c r="Q37" i="39"/>
  <c r="Z37" i="39" s="1"/>
  <c r="J37" i="39"/>
  <c r="W37" i="39" s="1"/>
  <c r="H37" i="39"/>
  <c r="U37" i="39" s="1"/>
  <c r="F37" i="39"/>
  <c r="S37" i="39" s="1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C9" i="39"/>
  <c r="J8" i="39"/>
  <c r="W8" i="39" s="1"/>
  <c r="H8" i="39"/>
  <c r="AB8" i="39" s="1"/>
  <c r="F8" i="39"/>
  <c r="S8" i="39" s="1"/>
  <c r="B2" i="39"/>
  <c r="C18" i="64"/>
  <c r="B10" i="64"/>
  <c r="D30" i="64" s="1"/>
  <c r="B9" i="64"/>
  <c r="D29" i="64" s="1"/>
  <c r="B7" i="64"/>
  <c r="B5" i="64"/>
  <c r="C25" i="64" s="1"/>
  <c r="B2" i="64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P30" i="62"/>
  <c r="I93" i="62" s="1"/>
  <c r="N30" i="62"/>
  <c r="H93" i="62" s="1"/>
  <c r="L30" i="62"/>
  <c r="G93" i="62" s="1"/>
  <c r="H30" i="62"/>
  <c r="E93" i="62" s="1"/>
  <c r="F30" i="62"/>
  <c r="D93" i="62" s="1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B92" i="62" s="1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B90" i="62" s="1"/>
  <c r="P26" i="62"/>
  <c r="I89" i="62" s="1"/>
  <c r="N26" i="62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88" i="62" s="1"/>
  <c r="D25" i="62"/>
  <c r="C88" i="62" s="1"/>
  <c r="B25" i="62"/>
  <c r="T24" i="62"/>
  <c r="K87" i="62" s="1"/>
  <c r="P24" i="62"/>
  <c r="I87" i="62" s="1"/>
  <c r="L24" i="62"/>
  <c r="G87" i="62" s="1"/>
  <c r="J24" i="62"/>
  <c r="F87" i="62" s="1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B86" i="62" s="1"/>
  <c r="T22" i="62"/>
  <c r="K85" i="62" s="1"/>
  <c r="P22" i="62"/>
  <c r="I85" i="62" s="1"/>
  <c r="L22" i="62"/>
  <c r="G85" i="62" s="1"/>
  <c r="J22" i="62"/>
  <c r="D22" i="62"/>
  <c r="C85" i="62" s="1"/>
  <c r="B22" i="62"/>
  <c r="B85" i="62" s="1"/>
  <c r="T21" i="62"/>
  <c r="K84" i="62" s="1"/>
  <c r="P21" i="62"/>
  <c r="I84" i="62" s="1"/>
  <c r="L21" i="62"/>
  <c r="G84" i="62" s="1"/>
  <c r="J21" i="62"/>
  <c r="F84" i="62" s="1"/>
  <c r="D21" i="62"/>
  <c r="C84" i="62" s="1"/>
  <c r="B21" i="62"/>
  <c r="T20" i="62"/>
  <c r="K83" i="62" s="1"/>
  <c r="P20" i="62"/>
  <c r="I83" i="62" s="1"/>
  <c r="L20" i="62"/>
  <c r="G83" i="62" s="1"/>
  <c r="J20" i="62"/>
  <c r="F83" i="62" s="1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B82" i="62" s="1"/>
  <c r="T18" i="62"/>
  <c r="K81" i="62" s="1"/>
  <c r="P18" i="62"/>
  <c r="I81" i="62" s="1"/>
  <c r="L18" i="62"/>
  <c r="G81" i="62" s="1"/>
  <c r="J18" i="62"/>
  <c r="D18" i="62"/>
  <c r="C81" i="62" s="1"/>
  <c r="B18" i="62"/>
  <c r="B81" i="62" s="1"/>
  <c r="T17" i="62"/>
  <c r="K80" i="62" s="1"/>
  <c r="P17" i="62"/>
  <c r="I80" i="62" s="1"/>
  <c r="L17" i="62"/>
  <c r="G80" i="62" s="1"/>
  <c r="J17" i="62"/>
  <c r="F80" i="62" s="1"/>
  <c r="D17" i="62"/>
  <c r="C80" i="62" s="1"/>
  <c r="B17" i="62"/>
  <c r="T16" i="62"/>
  <c r="K79" i="62" s="1"/>
  <c r="N16" i="62"/>
  <c r="H79" i="62" s="1"/>
  <c r="H16" i="62"/>
  <c r="E79" i="62" s="1"/>
  <c r="F16" i="62"/>
  <c r="D16" i="62"/>
  <c r="C79" i="62" s="1"/>
  <c r="B16" i="62"/>
  <c r="B79" i="62" s="1"/>
  <c r="T15" i="62"/>
  <c r="K78" i="62" s="1"/>
  <c r="N15" i="62"/>
  <c r="H15" i="62"/>
  <c r="E78" i="62" s="1"/>
  <c r="F15" i="62"/>
  <c r="D78" i="62" s="1"/>
  <c r="D15" i="62"/>
  <c r="C78" i="62" s="1"/>
  <c r="B15" i="62"/>
  <c r="T14" i="62"/>
  <c r="K77" i="62" s="1"/>
  <c r="N14" i="62"/>
  <c r="H77" i="62" s="1"/>
  <c r="H14" i="62"/>
  <c r="E77" i="62" s="1"/>
  <c r="F14" i="62"/>
  <c r="D14" i="62"/>
  <c r="C77" i="62" s="1"/>
  <c r="B14" i="62"/>
  <c r="B77" i="62" s="1"/>
  <c r="T13" i="62"/>
  <c r="K76" i="62" s="1"/>
  <c r="N13" i="62"/>
  <c r="H13" i="62"/>
  <c r="E76" i="62" s="1"/>
  <c r="F13" i="62"/>
  <c r="D76" i="62" s="1"/>
  <c r="D13" i="62"/>
  <c r="C76" i="62" s="1"/>
  <c r="B13" i="62"/>
  <c r="T12" i="62"/>
  <c r="K75" i="62" s="1"/>
  <c r="N12" i="62"/>
  <c r="H75" i="62" s="1"/>
  <c r="H12" i="62"/>
  <c r="E75" i="62" s="1"/>
  <c r="F12" i="62"/>
  <c r="D12" i="62"/>
  <c r="C75" i="62" s="1"/>
  <c r="B12" i="62"/>
  <c r="B75" i="62" s="1"/>
  <c r="T11" i="62"/>
  <c r="K74" i="62" s="1"/>
  <c r="N11" i="62"/>
  <c r="H11" i="62"/>
  <c r="E74" i="62" s="1"/>
  <c r="F11" i="62"/>
  <c r="D74" i="62" s="1"/>
  <c r="D11" i="62"/>
  <c r="C74" i="62" s="1"/>
  <c r="B11" i="62"/>
  <c r="T10" i="62"/>
  <c r="K73" i="62" s="1"/>
  <c r="N10" i="62"/>
  <c r="H73" i="62" s="1"/>
  <c r="H10" i="62"/>
  <c r="E73" i="62" s="1"/>
  <c r="F10" i="62"/>
  <c r="D10" i="62"/>
  <c r="C73" i="62" s="1"/>
  <c r="B10" i="62"/>
  <c r="B73" i="62" s="1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H8" i="62"/>
  <c r="E71" i="62" s="1"/>
  <c r="F8" i="62"/>
  <c r="D71" i="62" s="1"/>
  <c r="D8" i="62"/>
  <c r="C71" i="62" s="1"/>
  <c r="B8" i="62"/>
  <c r="T7" i="62"/>
  <c r="K70" i="62" s="1"/>
  <c r="N7" i="62"/>
  <c r="H70" i="62" s="1"/>
  <c r="J7" i="62"/>
  <c r="F70" i="62" s="1"/>
  <c r="H7" i="62"/>
  <c r="F7" i="62"/>
  <c r="D70" i="62" s="1"/>
  <c r="D7" i="62"/>
  <c r="C70" i="62" s="1"/>
  <c r="B7" i="62"/>
  <c r="B70" i="62" s="1"/>
  <c r="T6" i="62"/>
  <c r="N6" i="62"/>
  <c r="H69" i="62" s="1"/>
  <c r="J6" i="62"/>
  <c r="H6" i="62"/>
  <c r="E69" i="62" s="1"/>
  <c r="F6" i="62"/>
  <c r="D69" i="62" s="1"/>
  <c r="D6" i="62"/>
  <c r="C69" i="62" s="1"/>
  <c r="B6" i="62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E67" i="62" s="1"/>
  <c r="F4" i="62"/>
  <c r="D4" i="62"/>
  <c r="C67" i="62" s="1"/>
  <c r="B4" i="62"/>
  <c r="B67" i="62" s="1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 s="1"/>
  <c r="G2" i="63"/>
  <c r="E2" i="63"/>
  <c r="F9" i="63" s="1"/>
  <c r="J1" i="63"/>
  <c r="D21" i="63" s="1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B84" i="43"/>
  <c r="N83" i="43"/>
  <c r="M83" i="43"/>
  <c r="K83" i="43"/>
  <c r="J83" i="43" s="1"/>
  <c r="D83" i="43"/>
  <c r="B83" i="43"/>
  <c r="M82" i="43"/>
  <c r="N82" i="43" s="1"/>
  <c r="K82" i="43"/>
  <c r="J82" i="43" s="1"/>
  <c r="D82" i="43"/>
  <c r="B82" i="43"/>
  <c r="M81" i="43"/>
  <c r="N81" i="43" s="1"/>
  <c r="K81" i="43"/>
  <c r="J81" i="43" s="1"/>
  <c r="D81" i="43"/>
  <c r="B81" i="43"/>
  <c r="N78" i="43"/>
  <c r="M78" i="43"/>
  <c r="K78" i="43"/>
  <c r="J78" i="43" s="1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 s="1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B71" i="43"/>
  <c r="M70" i="43"/>
  <c r="N70" i="43" s="1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M61" i="43"/>
  <c r="N61" i="43" s="1"/>
  <c r="K61" i="43"/>
  <c r="J61" i="43"/>
  <c r="D61" i="43"/>
  <c r="B61" i="43"/>
  <c r="M60" i="43"/>
  <c r="N60" i="43" s="1"/>
  <c r="K60" i="43"/>
  <c r="J60" i="43" s="1"/>
  <c r="D60" i="43"/>
  <c r="B60" i="43"/>
  <c r="M59" i="43"/>
  <c r="N59" i="43" s="1"/>
  <c r="K59" i="43"/>
  <c r="J59" i="43" s="1"/>
  <c r="D59" i="43"/>
  <c r="B59" i="43"/>
  <c r="M56" i="43"/>
  <c r="N56" i="43" s="1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M50" i="43"/>
  <c r="N50" i="43" s="1"/>
  <c r="K50" i="43"/>
  <c r="J50" i="43"/>
  <c r="D50" i="43"/>
  <c r="B50" i="43"/>
  <c r="M49" i="43"/>
  <c r="N49" i="43" s="1"/>
  <c r="K49" i="43"/>
  <c r="J49" i="43" s="1"/>
  <c r="D49" i="43"/>
  <c r="B49" i="43"/>
  <c r="M48" i="43"/>
  <c r="N48" i="43" s="1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J17" i="43"/>
  <c r="E17" i="43"/>
  <c r="F15" i="43"/>
  <c r="E15" i="43"/>
  <c r="D15" i="43"/>
  <c r="C15" i="43"/>
  <c r="C10" i="43"/>
  <c r="C11" i="43" s="1"/>
  <c r="C9" i="43"/>
  <c r="B4" i="43"/>
  <c r="B3" i="43"/>
  <c r="I2" i="43"/>
  <c r="G2" i="43"/>
  <c r="L17" i="43" s="1"/>
  <c r="E2" i="43"/>
  <c r="F114" i="43" s="1"/>
  <c r="D1" i="43"/>
  <c r="R33" i="59"/>
  <c r="Q33" i="59"/>
  <c r="P33" i="59"/>
  <c r="O33" i="59"/>
  <c r="G32" i="59"/>
  <c r="G31" i="59"/>
  <c r="F31" i="59"/>
  <c r="F32" i="59" s="1"/>
  <c r="G30" i="59"/>
  <c r="G29" i="59"/>
  <c r="I22" i="59"/>
  <c r="H21" i="59"/>
  <c r="F16" i="59"/>
  <c r="F8" i="9" s="1"/>
  <c r="F13" i="59"/>
  <c r="F19" i="59" s="1"/>
  <c r="F10" i="9" s="1"/>
  <c r="H9" i="59"/>
  <c r="B8" i="59"/>
  <c r="G3" i="43" s="1"/>
  <c r="N102" i="43" s="1"/>
  <c r="O4" i="59"/>
  <c r="H19" i="43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B8" i="68"/>
  <c r="B7" i="68"/>
  <c r="B6" i="68"/>
  <c r="B5" i="68"/>
  <c r="B3" i="68"/>
  <c r="G7" i="65"/>
  <c r="F35" i="43" l="1"/>
  <c r="F39" i="43"/>
  <c r="A12" i="43"/>
  <c r="L1" i="60"/>
  <c r="J53" i="63"/>
  <c r="I53" i="63" s="1"/>
  <c r="F46" i="63"/>
  <c r="G46" i="63" s="1"/>
  <c r="J43" i="63"/>
  <c r="I43" i="63" s="1"/>
  <c r="D8" i="63"/>
  <c r="D19" i="63"/>
  <c r="J44" i="63"/>
  <c r="I44" i="63" s="1"/>
  <c r="F45" i="63"/>
  <c r="G45" i="63" s="1"/>
  <c r="U8" i="39"/>
  <c r="H12" i="39"/>
  <c r="U12" i="39" s="1"/>
  <c r="F12" i="39"/>
  <c r="AA12" i="39" s="1"/>
  <c r="C64" i="67"/>
  <c r="O65" i="67"/>
  <c r="H6" i="59"/>
  <c r="H16" i="44"/>
  <c r="E5" i="43"/>
  <c r="N6" i="43"/>
  <c r="E81" i="43"/>
  <c r="B79" i="43" s="1"/>
  <c r="B2" i="68"/>
  <c r="D6" i="68" s="1"/>
  <c r="F18" i="59"/>
  <c r="F9" i="9" s="1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 s="1"/>
  <c r="E59" i="43"/>
  <c r="B57" i="43" s="1"/>
  <c r="E70" i="43"/>
  <c r="B68" i="43" s="1"/>
  <c r="F109" i="43"/>
  <c r="G12" i="63"/>
  <c r="H12" i="63" s="1"/>
  <c r="J42" i="63"/>
  <c r="I42" i="63" s="1"/>
  <c r="D19" i="64"/>
  <c r="E20" i="64"/>
  <c r="E17" i="64"/>
  <c r="D28" i="64"/>
  <c r="H9" i="39"/>
  <c r="F9" i="39"/>
  <c r="AA9" i="39" s="1"/>
  <c r="J12" i="39"/>
  <c r="AC12" i="39" s="1"/>
  <c r="AA8" i="39"/>
  <c r="AB36" i="39"/>
  <c r="U38" i="39"/>
  <c r="E20" i="67"/>
  <c r="E19" i="67" s="1"/>
  <c r="E18" i="67" s="1"/>
  <c r="E24" i="67"/>
  <c r="B37" i="67"/>
  <c r="B38" i="67" s="1"/>
  <c r="S38" i="67" s="1"/>
  <c r="B41" i="67"/>
  <c r="B42" i="67" s="1"/>
  <c r="S42" i="67" s="1"/>
  <c r="B45" i="67"/>
  <c r="B46" i="67" s="1"/>
  <c r="S46" i="67" s="1"/>
  <c r="S74" i="67"/>
  <c r="S78" i="67"/>
  <c r="J8" i="66"/>
  <c r="H9" i="66"/>
  <c r="H13" i="66"/>
  <c r="K4" i="66"/>
  <c r="H18" i="66"/>
  <c r="AA36" i="39"/>
  <c r="AA37" i="39"/>
  <c r="F43" i="39"/>
  <c r="AA43" i="39" s="1"/>
  <c r="F45" i="39"/>
  <c r="AA45" i="39" s="1"/>
  <c r="J1" i="65"/>
  <c r="C19" i="67"/>
  <c r="F19" i="67"/>
  <c r="F18" i="67" s="1"/>
  <c r="B29" i="67"/>
  <c r="B30" i="67" s="1"/>
  <c r="S30" i="67" s="1"/>
  <c r="E29" i="67"/>
  <c r="E30" i="67" s="1"/>
  <c r="U30" i="67" s="1"/>
  <c r="B33" i="67"/>
  <c r="B34" i="67" s="1"/>
  <c r="S34" i="67" s="1"/>
  <c r="E33" i="67"/>
  <c r="E34" i="67" s="1"/>
  <c r="U34" i="67" s="1"/>
  <c r="C49" i="67"/>
  <c r="F49" i="67"/>
  <c r="F50" i="67" s="1"/>
  <c r="V50" i="67" s="1"/>
  <c r="D52" i="67"/>
  <c r="C57" i="67"/>
  <c r="F57" i="67"/>
  <c r="F58" i="67" s="1"/>
  <c r="V58" i="67" s="1"/>
  <c r="D60" i="67"/>
  <c r="J5" i="66"/>
  <c r="H7" i="66"/>
  <c r="H8" i="66"/>
  <c r="D9" i="66"/>
  <c r="J11" i="66"/>
  <c r="H12" i="66"/>
  <c r="J15" i="66"/>
  <c r="H16" i="66"/>
  <c r="D17" i="66"/>
  <c r="V65" i="66"/>
  <c r="E65" i="66" s="1"/>
  <c r="O65" i="66" s="1"/>
  <c r="AB65" i="66"/>
  <c r="W64" i="66" s="1"/>
  <c r="F64" i="66" s="1"/>
  <c r="F29" i="59"/>
  <c r="F28" i="59"/>
  <c r="C6" i="68"/>
  <c r="E42" i="63"/>
  <c r="B40" i="63" s="1"/>
  <c r="J52" i="63"/>
  <c r="I52" i="63" s="1"/>
  <c r="F55" i="63"/>
  <c r="G55" i="63" s="1"/>
  <c r="F65" i="63"/>
  <c r="G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 s="1"/>
  <c r="G102" i="43"/>
  <c r="G110" i="43" s="1"/>
  <c r="K102" i="43"/>
  <c r="D109" i="43"/>
  <c r="H10" i="44"/>
  <c r="D18" i="63"/>
  <c r="D20" i="63"/>
  <c r="AB9" i="39"/>
  <c r="U9" i="39"/>
  <c r="AB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G13" i="66"/>
  <c r="G14" i="66"/>
  <c r="V60" i="66"/>
  <c r="E60" i="66" s="1"/>
  <c r="O17" i="66" s="1"/>
  <c r="O2" i="66" s="1"/>
  <c r="V61" i="66"/>
  <c r="E61" i="66" s="1"/>
  <c r="O61" i="66" s="1"/>
  <c r="Y61" i="66"/>
  <c r="T62" i="66"/>
  <c r="B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D30" i="66"/>
  <c r="T64" i="66"/>
  <c r="B64" i="66" s="1"/>
  <c r="L64" i="66" s="1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 s="1"/>
  <c r="M49" i="66" s="1"/>
  <c r="W65" i="66"/>
  <c r="F65" i="66" s="1"/>
  <c r="P65" i="66" s="1"/>
  <c r="U66" i="66"/>
  <c r="C66" i="66" s="1"/>
  <c r="M65" i="66" s="1"/>
  <c r="D8" i="66"/>
  <c r="D10" i="66"/>
  <c r="D12" i="66"/>
  <c r="D14" i="66"/>
  <c r="I13" i="66" s="1"/>
  <c r="D16" i="66"/>
  <c r="I16" i="66" s="1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D8" i="65"/>
  <c r="G4" i="65"/>
  <c r="G6" i="65"/>
  <c r="G8" i="65"/>
  <c r="D7" i="65"/>
  <c r="D4" i="65"/>
  <c r="G5" i="65"/>
  <c r="D5" i="65"/>
  <c r="D6" i="65"/>
  <c r="D12" i="63" l="1"/>
  <c r="C11" i="63" s="1"/>
  <c r="F33" i="59"/>
  <c r="B17" i="9" s="1"/>
  <c r="D110" i="43"/>
  <c r="K2" i="65"/>
  <c r="O50" i="66"/>
  <c r="I12" i="66"/>
  <c r="O48" i="66"/>
  <c r="I15" i="66"/>
  <c r="L63" i="66"/>
  <c r="O26" i="66"/>
  <c r="L62" i="66"/>
  <c r="D5" i="68"/>
  <c r="D65" i="63"/>
  <c r="E60" i="63" s="1"/>
  <c r="B58" i="63" s="1"/>
  <c r="C15" i="63" s="1"/>
  <c r="D7" i="68"/>
  <c r="I10" i="66"/>
  <c r="M20" i="66"/>
  <c r="D8" i="68"/>
  <c r="O63" i="67"/>
  <c r="D64" i="67"/>
  <c r="K1" i="65"/>
  <c r="C7" i="63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 s="1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 s="1"/>
  <c r="W61" i="66"/>
  <c r="F61" i="66" s="1"/>
  <c r="P61" i="66" s="1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 s="1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2" i="59"/>
  <c r="F13" i="9" s="1"/>
  <c r="F20" i="59"/>
  <c r="F11" i="9" s="1"/>
  <c r="C7" i="43"/>
  <c r="F110" i="43"/>
  <c r="G1" i="65"/>
  <c r="G2" i="65"/>
  <c r="G9" i="59" l="1"/>
  <c r="C12" i="9" s="1"/>
  <c r="N17" i="66"/>
  <c r="N2" i="66" s="1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C28" i="63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5" i="65"/>
  <c r="E7" i="65"/>
  <c r="E5" i="65"/>
  <c r="H8" i="65"/>
  <c r="H6" i="65"/>
  <c r="E8" i="65"/>
  <c r="E6" i="65"/>
  <c r="H4" i="65"/>
  <c r="H7" i="65"/>
  <c r="E4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G3" i="65"/>
  <c r="E20" i="43"/>
  <c r="Q20" i="43" l="1"/>
  <c r="P20" i="43"/>
  <c r="S20" i="43"/>
  <c r="R20" i="43"/>
  <c r="G20" i="43" s="1"/>
  <c r="E41" i="43" s="1"/>
  <c r="C41" i="43" s="1"/>
  <c r="C23" i="64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2" i="64" l="1"/>
  <c r="B17" i="59"/>
  <c r="B18" i="59" s="1"/>
  <c r="C20" i="43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B3" i="64" l="1"/>
  <c r="F6" i="59" s="1"/>
  <c r="F5" i="59" s="1"/>
  <c r="C30" i="64"/>
  <c r="C28" i="64"/>
  <c r="C35" i="43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G39" i="43"/>
  <c r="I39" i="43" s="1"/>
  <c r="E39" i="43"/>
  <c r="D13" i="67"/>
  <c r="C12" i="67"/>
  <c r="E38" i="43"/>
  <c r="G38" i="43"/>
  <c r="I38" i="43" s="1"/>
  <c r="G58" i="39"/>
  <c r="H56" i="39"/>
  <c r="G36" i="43" l="1"/>
  <c r="I36" i="43" s="1"/>
  <c r="F8" i="59"/>
  <c r="B11" i="9" s="1"/>
  <c r="B5" i="9"/>
  <c r="E28" i="64"/>
  <c r="C27" i="64"/>
  <c r="E27" i="64" s="1"/>
  <c r="C29" i="64"/>
  <c r="E29" i="64" s="1"/>
  <c r="E30" i="64"/>
  <c r="E35" i="43"/>
  <c r="E33" i="43"/>
  <c r="E34" i="43"/>
  <c r="G37" i="43"/>
  <c r="I37" i="43" s="1"/>
  <c r="D12" i="67"/>
  <c r="C11" i="67"/>
  <c r="H58" i="39"/>
  <c r="I56" i="39"/>
  <c r="F10" i="59" l="1"/>
  <c r="B13" i="9" s="1"/>
  <c r="C27" i="43"/>
  <c r="F9" i="59"/>
  <c r="B12" i="9" s="1"/>
  <c r="C26" i="43"/>
  <c r="B2" i="43" s="1"/>
  <c r="I58" i="39"/>
  <c r="J56" i="39"/>
  <c r="C10" i="67"/>
  <c r="D11" i="67"/>
  <c r="B14" i="9" l="1"/>
  <c r="F4" i="59"/>
  <c r="F24" i="59" s="1"/>
  <c r="F35" i="59" s="1"/>
  <c r="B18" i="9" s="1"/>
  <c r="C11" i="68" s="1"/>
  <c r="D10" i="67"/>
  <c r="C9" i="67"/>
  <c r="T10" i="67"/>
  <c r="J58" i="39"/>
  <c r="K56" i="39"/>
  <c r="B15" i="9" l="1"/>
  <c r="F25" i="59"/>
  <c r="F36" i="59" s="1"/>
  <c r="B19" i="9" s="1"/>
  <c r="B11" i="68" s="1"/>
  <c r="D9" i="67"/>
  <c r="C8" i="67"/>
  <c r="K58" i="39"/>
  <c r="L56" i="39"/>
  <c r="H19" i="9" l="1"/>
  <c r="B16" i="9"/>
  <c r="H16" i="9" s="1"/>
  <c r="L58" i="39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<sst xmlns="http://schemas.openxmlformats.org/spreadsheetml/2006/main" count="3961" uniqueCount="1305">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</sst>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99</xdr:row>
      <xdr:rowOff>95251</xdr:rowOff>
    </xdr:from>
    <xdr:to>
      <xdr:col>4</xdr:col>
      <xdr:colOff>1360393</xdr:colOff>
      <xdr:row>135</xdr:row>
      <xdr:rowOff>103870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6ACB1F3-03C4-B2B9-6359-42ADB94DB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0140084"/>
          <a:ext cx="4990476" cy="7247619"/>
        </a:xfrm>
        <a:prstGeom prst="rect">
          <a:avLst/>
        </a:prstGeom>
      </xdr:spPr>
    </xdr:pic>
    <xdr:clientData/>
  </xdr:twoCellAnchor>
  <xdr:twoCellAnchor editAs="oneCell">
    <xdr:from>
      <xdr:col>7</xdr:col>
      <xdr:colOff>1386417</xdr:colOff>
      <xdr:row>61</xdr:row>
      <xdr:rowOff>178231</xdr:rowOff>
    </xdr:from>
    <xdr:to>
      <xdr:col>16</xdr:col>
      <xdr:colOff>167905</xdr:colOff>
      <xdr:row>92</xdr:row>
      <xdr:rowOff>154619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E6B382D-C0B0-299B-92DC-EFEC2DA5B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1167" y="12581898"/>
          <a:ext cx="9280155" cy="6209971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61</xdr:row>
      <xdr:rowOff>127000</xdr:rowOff>
    </xdr:from>
    <xdr:to>
      <xdr:col>7</xdr:col>
      <xdr:colOff>587129</xdr:colOff>
      <xdr:row>94</xdr:row>
      <xdr:rowOff>128106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1D6D78F-0CAF-1FF6-79D6-E3448F5C4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083" y="12530667"/>
          <a:ext cx="8037796" cy="6636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47" t="s">
        <v>12</v>
      </c>
      <c r="B15" s="1632" t="s">
        <v>13</v>
      </c>
    </row>
    <row r="16" spans="1:7" ht="13.5">
      <c r="A16" s="1648"/>
      <c r="B16" s="1633" t="s">
        <v>14</v>
      </c>
    </row>
    <row r="17" spans="1:2" ht="13.5">
      <c r="A17" s="1634" t="s">
        <v>15</v>
      </c>
      <c r="B17" s="1635"/>
    </row>
    <row r="18" spans="1:2" ht="13.5">
      <c r="A18" s="1649" t="s">
        <v>16</v>
      </c>
      <c r="B18" s="1632" t="s">
        <v>17</v>
      </c>
    </row>
    <row r="19" spans="1:2" ht="13.5">
      <c r="A19" s="1649"/>
      <c r="B19" s="1632" t="s">
        <v>18</v>
      </c>
    </row>
    <row r="20" spans="1:2" ht="13.5">
      <c r="A20" s="1649"/>
      <c r="B20" s="1632" t="s">
        <v>19</v>
      </c>
    </row>
    <row r="21" spans="1:2" ht="13.5">
      <c r="A21" s="1649"/>
      <c r="B21" s="1636" t="s">
        <v>20</v>
      </c>
    </row>
    <row r="22" spans="1:2" ht="13.5">
      <c r="A22" s="1649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F33" sqref="F33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89.05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六级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5985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2.1</v>
      </c>
      <c r="H3" s="906" t="s">
        <v>372</v>
      </c>
      <c r="I3" s="17">
        <f>SUMPRODUCT((A89:A92=E2)*(B88:K88=G2)*(B89:K92))</f>
        <v>2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1440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3.8557999999999999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41456</v>
      </c>
      <c r="I9" s="1032">
        <f>ROUND(SUMPRODUCT((地价!A36:A86=YEAR(H9)&amp;"-"&amp;ROUNDUP(MONTH(H9)/3,0))*(地价!B3:F3=E2)*(地价!B36:F86)),0)</f>
        <v>401</v>
      </c>
      <c r="J9" s="1033"/>
      <c r="AE9" s="988"/>
      <c r="AF9" s="988"/>
    </row>
    <row r="10" spans="1:36" ht="24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 t="s">
        <v>274</v>
      </c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0.98799999999999999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0.98799999999999999</v>
      </c>
      <c r="E12" s="950">
        <f>ROUNDDOWN(G3,1)</f>
        <v>2.1</v>
      </c>
      <c r="F12" s="951">
        <f>IF(G3&lt;=10,SUMPRODUCT(('2002容积率修正'!A3:A102=E12)*('2002容积率修正'!B2:D2=E2)*('2002容积率修正'!B3:D102)),"——")</f>
        <v>0.98799999999999999</v>
      </c>
      <c r="G12" s="952">
        <f>ROUNDUP(G3,1)</f>
        <v>2.1</v>
      </c>
      <c r="H12" s="692">
        <f>IF(G3&lt;=10,SUMPRODUCT(('2002容积率修正'!A3:A102=G12)*('2002容积率修正'!B2:D2=E2)*('2002容积率修正'!B3:D102)),"——")</f>
        <v>0.98799999999999999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0.98799999999999999</v>
      </c>
      <c r="E13" s="950">
        <f>ROUNDDOWN(G3,1)</f>
        <v>2.1</v>
      </c>
      <c r="F13" s="951">
        <f>IF(G3&lt;=10,SUMPRODUCT(('2002容积率修正'!A3:A102=E13)*('2002容积率修正'!E2:G2=E2)*('2002容积率修正'!E3:G102)),"——")</f>
        <v>0.83899999999999997</v>
      </c>
      <c r="G13" s="952">
        <f>ROUNDUP(G3,1)</f>
        <v>2.1</v>
      </c>
      <c r="H13" s="692">
        <f>IF(G3&lt;=10,SUMPRODUCT(('2002容积率修正'!A3:A102=G13)*('2002容积率修正'!E2:G2=E2)*('2002容积率修正'!E3:G102)),"——")</f>
        <v>0.83899999999999997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1.091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七通一平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5985</v>
      </c>
      <c r="D18" s="736">
        <f>H1</f>
        <v>89.05</v>
      </c>
      <c r="E18" s="737">
        <f>ROUND(C18*D18,0)</f>
        <v>532964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12568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89.05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47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5.3999999999999999E-2</v>
      </c>
      <c r="G42" s="1014">
        <f>F42/2</f>
        <v>2.7E-2</v>
      </c>
      <c r="H42" s="1015">
        <v>0</v>
      </c>
      <c r="I42" s="1014">
        <f>J42/2</f>
        <v>-0.03</v>
      </c>
      <c r="J42" s="1014">
        <f>SUMPRODUCT(('2002因素修正幅度'!$A$66:$A$72=A42)*('2002因素修正幅度'!$B$35:$K$35=$G$2)*('2002因素修正幅度'!$B$66:$K$72))</f>
        <v>-0.06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2.7E-2</v>
      </c>
      <c r="G43" s="1014">
        <f t="shared" ref="G43:G48" si="2">F43/2</f>
        <v>1.35E-2</v>
      </c>
      <c r="H43" s="1015">
        <v>0</v>
      </c>
      <c r="I43" s="1014">
        <f t="shared" ref="I43:I48" si="3">J43/2</f>
        <v>-1.4999999999999999E-2</v>
      </c>
      <c r="J43" s="1014">
        <f>SUMPRODUCT(('2002因素修正幅度'!$A$66:$A$72=A43)*('2002因素修正幅度'!$B$35:$K$35=$G$2)*('2002因素修正幅度'!$B$66:$K$72))</f>
        <v>-0.03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1.7999999999999999E-2</v>
      </c>
      <c r="G44" s="1014">
        <f t="shared" si="2"/>
        <v>8.9999999999999993E-3</v>
      </c>
      <c r="H44" s="1015">
        <v>0</v>
      </c>
      <c r="I44" s="1014">
        <f t="shared" si="3"/>
        <v>-0.01</v>
      </c>
      <c r="J44" s="1014">
        <f>SUMPRODUCT(('2002因素修正幅度'!$A$66:$A$72=A44)*('2002因素修正幅度'!$B$35:$K$35=$G$2)*('2002因素修正幅度'!$B$66:$K$72))</f>
        <v>-0.02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3.5999999999999997E-2</v>
      </c>
      <c r="G45" s="1014">
        <f t="shared" si="2"/>
        <v>1.7999999999999999E-2</v>
      </c>
      <c r="H45" s="1015">
        <v>0</v>
      </c>
      <c r="I45" s="1014">
        <f t="shared" si="3"/>
        <v>-0.02</v>
      </c>
      <c r="J45" s="1014">
        <f>SUMPRODUCT(('2002因素修正幅度'!$A$66:$A$72=A45)*('2002因素修正幅度'!$B$35:$K$35=$G$2)*('2002因素修正幅度'!$B$66:$K$72))</f>
        <v>-0.04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1.7999999999999999E-2</v>
      </c>
      <c r="G46" s="1014">
        <f t="shared" si="2"/>
        <v>8.9999999999999993E-3</v>
      </c>
      <c r="H46" s="1015">
        <v>0</v>
      </c>
      <c r="I46" s="1014">
        <f t="shared" si="3"/>
        <v>-0.01</v>
      </c>
      <c r="J46" s="1014">
        <f>SUMPRODUCT(('2002因素修正幅度'!$A$66:$A$72=A46)*('2002因素修正幅度'!$B$35:$K$35=$G$2)*('2002因素修正幅度'!$B$66:$K$72))</f>
        <v>-0.02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1.44E-2</v>
      </c>
      <c r="G47" s="1014">
        <f t="shared" si="2"/>
        <v>7.1999999999999998E-3</v>
      </c>
      <c r="H47" s="1015">
        <v>0</v>
      </c>
      <c r="I47" s="1014">
        <f t="shared" si="3"/>
        <v>-8.0000000000000002E-3</v>
      </c>
      <c r="J47" s="1014">
        <f>SUMPRODUCT(('2002因素修正幅度'!$A$66:$A$72=A47)*('2002因素修正幅度'!$B$35:$K$35=$G$2)*('2002因素修正幅度'!$B$66:$K$72))</f>
        <v>-1.6E-2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1.26E-2</v>
      </c>
      <c r="G48" s="1014">
        <f t="shared" si="2"/>
        <v>6.3E-3</v>
      </c>
      <c r="H48" s="1015">
        <v>0</v>
      </c>
      <c r="I48" s="1014">
        <f t="shared" si="3"/>
        <v>-7.0000000000000001E-3</v>
      </c>
      <c r="J48" s="1014">
        <f>SUMPRODUCT(('2002因素修正幅度'!$A$66:$A$72=A48)*('2002因素修正幅度'!$B$35:$K$35=$G$2)*('2002因素修正幅度'!$B$66:$K$72))</f>
        <v>-1.4E-2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4.5999999999999999E-2</v>
      </c>
      <c r="G51" s="1014">
        <f>F51/2</f>
        <v>2.3E-2</v>
      </c>
      <c r="H51" s="1015">
        <v>0</v>
      </c>
      <c r="I51" s="1014">
        <f>J51/2</f>
        <v>-2.4E-2</v>
      </c>
      <c r="J51" s="1014">
        <f>SUMPRODUCT(('2002因素修正幅度'!$A$73:$A$79=A51)*('2002因素修正幅度'!$B$35:$K$35=$G$2)*('2002因素修正幅度'!$B$73:$K$79))</f>
        <v>-4.8000000000000001E-2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5.7500000000000002E-2</v>
      </c>
      <c r="G52" s="1014">
        <f t="shared" ref="G52:G57" si="5">F52/2</f>
        <v>2.8750000000000001E-2</v>
      </c>
      <c r="H52" s="1015">
        <v>0</v>
      </c>
      <c r="I52" s="1014">
        <f t="shared" ref="I52:I57" si="6">J52/2</f>
        <v>-0.03</v>
      </c>
      <c r="J52" s="1014">
        <f>SUMPRODUCT(('2002因素修正幅度'!$A$73:$A$79=A52)*('2002因素修正幅度'!$B$35:$K$35=$G$2)*('2002因素修正幅度'!$B$73:$K$79))</f>
        <v>-0.06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2.3E-2</v>
      </c>
      <c r="G53" s="1014">
        <f t="shared" si="5"/>
        <v>1.15E-2</v>
      </c>
      <c r="H53" s="1015">
        <v>0</v>
      </c>
      <c r="I53" s="1014">
        <f t="shared" si="6"/>
        <v>-1.2E-2</v>
      </c>
      <c r="J53" s="1014">
        <f>SUMPRODUCT(('2002因素修正幅度'!$A$73:$A$79=A53)*('2002因素修正幅度'!$B$35:$K$35=$G$2)*('2002因素修正幅度'!$B$73:$K$79))</f>
        <v>-2.4E-2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2.3E-2</v>
      </c>
      <c r="G54" s="1014">
        <f t="shared" si="5"/>
        <v>1.15E-2</v>
      </c>
      <c r="H54" s="1015">
        <v>0</v>
      </c>
      <c r="I54" s="1014">
        <f t="shared" si="6"/>
        <v>-1.2E-2</v>
      </c>
      <c r="J54" s="1014">
        <f>SUMPRODUCT(('2002因素修正幅度'!$A$73:$A$79=A54)*('2002因素修正幅度'!$B$35:$K$35=$G$2)*('2002因素修正幅度'!$B$73:$K$79))</f>
        <v>-2.4E-2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3.4500000000000003E-2</v>
      </c>
      <c r="G55" s="1014">
        <f t="shared" si="5"/>
        <v>1.7250000000000001E-2</v>
      </c>
      <c r="H55" s="1015">
        <v>0</v>
      </c>
      <c r="I55" s="1014">
        <f t="shared" si="6"/>
        <v>-1.7999999999999999E-2</v>
      </c>
      <c r="J55" s="1014">
        <f>SUMPRODUCT(('2002因素修正幅度'!$A$73:$A$79=A55)*('2002因素修正幅度'!$B$35:$K$35=$G$2)*('2002因素修正幅度'!$B$73:$K$79))</f>
        <v>-3.5999999999999997E-2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1.84E-2</v>
      </c>
      <c r="G56" s="1014">
        <f t="shared" si="5"/>
        <v>9.1999999999999998E-3</v>
      </c>
      <c r="H56" s="1015">
        <v>0</v>
      </c>
      <c r="I56" s="1014">
        <f t="shared" si="6"/>
        <v>-9.5999999999999992E-3</v>
      </c>
      <c r="J56" s="1014">
        <f>SUMPRODUCT(('2002因素修正幅度'!$A$73:$A$79=A56)*('2002因素修正幅度'!$B$35:$K$35=$G$2)*('2002因素修正幅度'!$B$73:$K$79))</f>
        <v>-1.9199999999999998E-2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2.76E-2</v>
      </c>
      <c r="G57" s="1014">
        <f t="shared" si="5"/>
        <v>1.38E-2</v>
      </c>
      <c r="H57" s="1015">
        <v>0</v>
      </c>
      <c r="I57" s="1014">
        <f t="shared" si="6"/>
        <v>-1.44E-2</v>
      </c>
      <c r="J57" s="1014">
        <f>SUMPRODUCT(('2002因素修正幅度'!$A$73:$A$79=A57)*('2002因素修正幅度'!$B$35:$K$35=$G$2)*('2002因素修正幅度'!$B$73:$K$79))</f>
        <v>-2.8799999999999999E-2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1.091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1.2999999999999999E-2</v>
      </c>
      <c r="E60" s="1013">
        <f>SUM(D60:D67)</f>
        <v>9.0999999999999998E-2</v>
      </c>
      <c r="F60" s="1014">
        <f>SUMPRODUCT(('2002因素修正幅度'!$A$50:$A$57=A60)*('2002因素修正幅度'!$B$35:$K$35=$G$2)*('2002因素修正幅度'!$B$50:$K$57))</f>
        <v>2.5999999999999999E-2</v>
      </c>
      <c r="G60" s="1014">
        <f>F60/2</f>
        <v>1.2999999999999999E-2</v>
      </c>
      <c r="H60" s="1015">
        <v>0</v>
      </c>
      <c r="I60" s="1014">
        <f>J60/2</f>
        <v>-1.2999999999999999E-2</v>
      </c>
      <c r="J60" s="1014">
        <f>SUMPRODUCT(('2002因素修正幅度'!$A$80:$A$87=A60)*('2002因素修正幅度'!$B$35:$K$35=$G$2)*('2002因素修正幅度'!$B$80:$K$87))</f>
        <v>-2.5999999999999999E-2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7"/>
        <v>0</v>
      </c>
      <c r="E61" s="1025"/>
      <c r="F61" s="1014">
        <f>SUMPRODUCT(('2002因素修正幅度'!$A$50:$A$57=A61)*('2002因素修正幅度'!$B$35:$K$35=$G$2)*('2002因素修正幅度'!$B$50:$K$57))</f>
        <v>5.1999999999999998E-2</v>
      </c>
      <c r="G61" s="1014">
        <f t="shared" ref="G61:G67" si="8">F61/2</f>
        <v>2.5999999999999999E-2</v>
      </c>
      <c r="H61" s="1015">
        <v>0</v>
      </c>
      <c r="I61" s="1014">
        <f t="shared" ref="I61:I67" si="9">J61/2</f>
        <v>-2.5999999999999999E-2</v>
      </c>
      <c r="J61" s="1014">
        <f>SUMPRODUCT(('2002因素修正幅度'!$A$80:$A$87=A61)*('2002因素修正幅度'!$B$35:$K$35=$G$2)*('2002因素修正幅度'!$B$80:$K$87))</f>
        <v>-5.1999999999999998E-2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1.2999999999999999E-2</v>
      </c>
      <c r="E62" s="1025"/>
      <c r="F62" s="1014">
        <f>SUMPRODUCT(('2002因素修正幅度'!$A$50:$A$57=A62)*('2002因素修正幅度'!$B$35:$K$35=$G$2)*('2002因素修正幅度'!$B$50:$K$57))</f>
        <v>2.5999999999999999E-2</v>
      </c>
      <c r="G62" s="1014">
        <f t="shared" si="8"/>
        <v>1.2999999999999999E-2</v>
      </c>
      <c r="H62" s="1015">
        <v>0</v>
      </c>
      <c r="I62" s="1014">
        <f t="shared" si="9"/>
        <v>-1.2999999999999999E-2</v>
      </c>
      <c r="J62" s="1014">
        <f>SUMPRODUCT(('2002因素修正幅度'!$A$80:$A$87=A62)*('2002因素修正幅度'!$B$35:$K$35=$G$2)*('2002因素修正幅度'!$B$80:$K$87))</f>
        <v>-2.5999999999999999E-2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434</v>
      </c>
      <c r="D63" s="1012">
        <f t="shared" si="7"/>
        <v>1.2999999999999999E-2</v>
      </c>
      <c r="E63" s="1025"/>
      <c r="F63" s="1014">
        <f>SUMPRODUCT(('2002因素修正幅度'!$A$50:$A$57=A63)*('2002因素修正幅度'!$B$35:$K$35=$G$2)*('2002因素修正幅度'!$B$50:$K$57))</f>
        <v>2.5999999999999999E-2</v>
      </c>
      <c r="G63" s="1014">
        <f t="shared" si="8"/>
        <v>1.2999999999999999E-2</v>
      </c>
      <c r="H63" s="1015">
        <v>0</v>
      </c>
      <c r="I63" s="1014">
        <f t="shared" si="9"/>
        <v>-1.2999999999999999E-2</v>
      </c>
      <c r="J63" s="1014">
        <f>SUMPRODUCT(('2002因素修正幅度'!$A$80:$A$87=A63)*('2002因素修正幅度'!$B$35:$K$35=$G$2)*('2002因素修正幅度'!$B$80:$K$87))</f>
        <v>-2.5999999999999999E-2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1.04E-2</v>
      </c>
      <c r="E64" s="1025"/>
      <c r="F64" s="1014">
        <f>SUMPRODUCT(('2002因素修正幅度'!$A$50:$A$57=A64)*('2002因素修正幅度'!$B$35:$K$35=$G$2)*('2002因素修正幅度'!$B$50:$K$57))</f>
        <v>2.0799999999999999E-2</v>
      </c>
      <c r="G64" s="1014">
        <f t="shared" si="8"/>
        <v>1.04E-2</v>
      </c>
      <c r="H64" s="1015">
        <v>0</v>
      </c>
      <c r="I64" s="1014">
        <f t="shared" si="9"/>
        <v>-1.04E-2</v>
      </c>
      <c r="J64" s="1014">
        <f>SUMPRODUCT(('2002因素修正幅度'!$A$80:$A$87=A64)*('2002因素修正幅度'!$B$35:$K$35=$G$2)*('2002因素修正幅度'!$B$80:$K$87))</f>
        <v>-2.0799999999999999E-2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434</v>
      </c>
      <c r="D65" s="1012">
        <f t="shared" si="7"/>
        <v>1.5599999999999999E-2</v>
      </c>
      <c r="E65" s="1025"/>
      <c r="F65" s="1014">
        <f>SUMPRODUCT(('2002因素修正幅度'!$A$50:$A$57=A65)*('2002因素修正幅度'!$B$35:$K$35=$G$2)*('2002因素修正幅度'!$B$50:$K$57))</f>
        <v>3.1199999999999999E-2</v>
      </c>
      <c r="G65" s="1014">
        <f t="shared" si="8"/>
        <v>1.5599999999999999E-2</v>
      </c>
      <c r="H65" s="1015">
        <v>0</v>
      </c>
      <c r="I65" s="1014">
        <f t="shared" si="9"/>
        <v>-1.5599999999999999E-2</v>
      </c>
      <c r="J65" s="1014">
        <f>SUMPRODUCT(('2002因素修正幅度'!$A$80:$A$87=A65)*('2002因素修正幅度'!$B$35:$K$35=$G$2)*('2002因素修正幅度'!$B$80:$K$87))</f>
        <v>-3.1199999999999999E-2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434</v>
      </c>
      <c r="D66" s="1012">
        <f t="shared" si="7"/>
        <v>2.5999999999999999E-2</v>
      </c>
      <c r="E66" s="1025"/>
      <c r="F66" s="1014">
        <f>SUMPRODUCT(('2002因素修正幅度'!$A$50:$A$57=A66)*('2002因素修正幅度'!$B$35:$K$35=$G$2)*('2002因素修正幅度'!$B$50:$K$57))</f>
        <v>5.1999999999999998E-2</v>
      </c>
      <c r="G66" s="1014">
        <f t="shared" si="8"/>
        <v>2.5999999999999999E-2</v>
      </c>
      <c r="H66" s="1015">
        <v>0</v>
      </c>
      <c r="I66" s="1014">
        <f t="shared" si="9"/>
        <v>-2.5999999999999999E-2</v>
      </c>
      <c r="J66" s="1014">
        <f>SUMPRODUCT(('2002因素修正幅度'!$A$80:$A$87=A66)*('2002因素修正幅度'!$B$35:$K$35=$G$2)*('2002因素修正幅度'!$B$80:$K$87))</f>
        <v>-5.1999999999999998E-2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435</v>
      </c>
      <c r="D67" s="1012">
        <f t="shared" si="7"/>
        <v>0</v>
      </c>
      <c r="E67" s="1053"/>
      <c r="F67" s="1014">
        <f>SUMPRODUCT(('2002因素修正幅度'!$A$50:$A$57=A67)*('2002因素修正幅度'!$B$35:$K$35=$G$2)*('2002因素修正幅度'!$B$50:$K$57))</f>
        <v>2.5999999999999999E-2</v>
      </c>
      <c r="G67" s="1014">
        <f t="shared" si="8"/>
        <v>1.2999999999999999E-2</v>
      </c>
      <c r="H67" s="1015">
        <v>0</v>
      </c>
      <c r="I67" s="1014">
        <f t="shared" si="9"/>
        <v>-1.2999999999999999E-2</v>
      </c>
      <c r="J67" s="1014">
        <f>SUMPRODUCT(('2002因素修正幅度'!$A$80:$A$87=A67)*('2002因素修正幅度'!$B$35:$K$35=$G$2)*('2002因素修正幅度'!$B$80:$K$87))</f>
        <v>-2.5999999999999999E-2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0.04</v>
      </c>
      <c r="G70" s="1014">
        <f t="shared" ref="G70:G76" si="11">F70/2</f>
        <v>0.02</v>
      </c>
      <c r="H70" s="1015">
        <v>0</v>
      </c>
      <c r="I70" s="1014">
        <f t="shared" ref="I70:I76" si="12">J70/2</f>
        <v>-0.02</v>
      </c>
      <c r="J70" s="1014">
        <f>SUMPRODUCT(('2002因素修正幅度'!$A$88:$A$94=A70)*('2002因素修正幅度'!$B$35:$K$35=$G$2)*('2002因素修正幅度'!$B$88:$K$94))</f>
        <v>-0.04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6.4000000000000001E-2</v>
      </c>
      <c r="G71" s="1014">
        <f t="shared" si="11"/>
        <v>3.2000000000000001E-2</v>
      </c>
      <c r="H71" s="1015">
        <v>0</v>
      </c>
      <c r="I71" s="1014">
        <f t="shared" si="12"/>
        <v>-3.2000000000000001E-2</v>
      </c>
      <c r="J71" s="1014">
        <f>SUMPRODUCT(('2002因素修正幅度'!$A$88:$A$94=A71)*('2002因素修正幅度'!$B$35:$K$35=$G$2)*('2002因素修正幅度'!$B$88:$K$94))</f>
        <v>-6.4000000000000001E-2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0.02</v>
      </c>
      <c r="G72" s="1014">
        <f t="shared" si="11"/>
        <v>0.01</v>
      </c>
      <c r="H72" s="1015">
        <v>0</v>
      </c>
      <c r="I72" s="1014">
        <f t="shared" si="12"/>
        <v>-0.01</v>
      </c>
      <c r="J72" s="1014">
        <f>SUMPRODUCT(('2002因素修正幅度'!$A$88:$A$94=A72)*('2002因素修正幅度'!$B$35:$K$35=$G$2)*('2002因素修正幅度'!$B$88:$K$94))</f>
        <v>-0.02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1.6E-2</v>
      </c>
      <c r="G73" s="1014">
        <f t="shared" si="11"/>
        <v>8.0000000000000002E-3</v>
      </c>
      <c r="H73" s="1015">
        <v>0</v>
      </c>
      <c r="I73" s="1014">
        <f t="shared" si="12"/>
        <v>-8.0000000000000002E-3</v>
      </c>
      <c r="J73" s="1014">
        <f>SUMPRODUCT(('2002因素修正幅度'!$A$88:$A$94=A73)*('2002因素修正幅度'!$B$35:$K$35=$G$2)*('2002因素修正幅度'!$B$88:$K$94))</f>
        <v>-1.6E-2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2.4E-2</v>
      </c>
      <c r="G74" s="1014">
        <f t="shared" si="11"/>
        <v>1.2E-2</v>
      </c>
      <c r="H74" s="1015">
        <v>0</v>
      </c>
      <c r="I74" s="1014">
        <f t="shared" si="12"/>
        <v>-1.2E-2</v>
      </c>
      <c r="J74" s="1014">
        <f>SUMPRODUCT(('2002因素修正幅度'!$A$88:$A$94=A74)*('2002因素修正幅度'!$B$35:$K$35=$G$2)*('2002因素修正幅度'!$B$88:$K$94))</f>
        <v>-2.4E-2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0.02</v>
      </c>
      <c r="G75" s="1014">
        <f t="shared" si="11"/>
        <v>0.01</v>
      </c>
      <c r="H75" s="1015">
        <v>0</v>
      </c>
      <c r="I75" s="1014">
        <f t="shared" si="12"/>
        <v>-0.01</v>
      </c>
      <c r="J75" s="1014">
        <f>SUMPRODUCT(('2002因素修正幅度'!$A$88:$A$94=A75)*('2002因素修正幅度'!$B$35:$K$35=$G$2)*('2002因素修正幅度'!$B$88:$K$94))</f>
        <v>-0.02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1.6E-2</v>
      </c>
      <c r="G76" s="1014">
        <f t="shared" si="11"/>
        <v>8.0000000000000002E-3</v>
      </c>
      <c r="H76" s="1015">
        <v>0</v>
      </c>
      <c r="I76" s="1014">
        <f t="shared" si="12"/>
        <v>-8.0000000000000002E-3</v>
      </c>
      <c r="J76" s="1014">
        <f>SUMPRODUCT(('2002因素修正幅度'!$A$88:$A$94=A76)*('2002因素修正幅度'!$B$35:$K$35=$G$2)*('2002因素修正幅度'!$B$88:$K$94))</f>
        <v>-1.6E-2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2.1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0.97199999999999998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0.81369999999999998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0.9486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0.97199999999999998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0.70650000000000002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六级</v>
      </c>
      <c r="M1" s="872">
        <f>SUMPRODUCT((K3:K12=L1)*(L2:O2=K1)*(L3:O12))</f>
        <v>1440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1038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1038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1039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1038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1038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1039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F32" sqref="F32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21" t="s">
        <v>377</v>
      </c>
      <c r="E2" s="1725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 t="e">
        <f ca="1">IF(C1="求取熟地价",C27,ROUND((C15*B11+C18)*C22/B11,0))</f>
        <v>#DIV/0!</v>
      </c>
      <c r="C3" s="651" t="s">
        <v>335</v>
      </c>
      <c r="D3" s="1722"/>
      <c r="E3" s="1726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22"/>
      <c r="E4" s="1726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23"/>
      <c r="E5" s="1727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21" t="s">
        <v>1065</v>
      </c>
      <c r="E6" s="1725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六类</v>
      </c>
      <c r="C7" s="657"/>
      <c r="D7" s="1722"/>
      <c r="E7" s="1726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/>
      <c r="C8" s="657"/>
      <c r="D8" s="1723"/>
      <c r="E8" s="1727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89.05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21" t="s">
        <v>137</v>
      </c>
      <c r="E10" s="1725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254</v>
      </c>
      <c r="B11" s="667" t="e">
        <f>IF(A11="容积率",主表!B8,主表!B9)</f>
        <v>#DIV/0!</v>
      </c>
      <c r="C11" s="657"/>
      <c r="D11" s="1724"/>
      <c r="E11" s="1728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/>
      <c r="D14" s="682">
        <f>SUMPRODUCT((D35:M35=B7)*(B36:B39=B6)*(D36:M39))</f>
        <v>400</v>
      </c>
      <c r="E14" s="683">
        <f>SUMPRODUCT((D35:M35=B7)*(B40:B43=B6)*(D40:M43))</f>
        <v>600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/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/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/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 t="e">
        <f>IF(B11&lt;1,1,SUMIF(B55:K55,ROUNDDOWN(B11,0),B56:K56)+(SUMIF(B55:K55,ROUNDUP(B11,0),B56:K56)-SUMIF(B55:K55,ROUNDDOWN(B11,0),B56:K56))*(B11-ROUNDDOWN(B11,0)))</f>
        <v>#DIV/0!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0.98040000000000005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5.2000000000000005E-2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272</v>
      </c>
      <c r="C24" s="692">
        <f>IF(B24="剩余土地使用年限",主表!B15,主表!B16)</f>
        <v>60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 t="e">
        <f>ROUND(C28/B11,0)</f>
        <v>#DIV/0!</v>
      </c>
      <c r="D27" s="736">
        <f>B9</f>
        <v>89.05</v>
      </c>
      <c r="E27" s="737" t="e">
        <f>ROUND(C27*D27,0)</f>
        <v>#DIV/0!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>IF(主表!B4&lt;DATE(2002,12,10),ROUND(C14*C21*C22+C15*B11+C18,0),0)</f>
        <v>0</v>
      </c>
      <c r="D28" s="736">
        <f>B10</f>
        <v>0</v>
      </c>
      <c r="E28" s="737">
        <f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 t="e">
        <f>ROUND(C30/B11,0)</f>
        <v>#DIV/0!</v>
      </c>
      <c r="D29" s="741">
        <f>B9</f>
        <v>89.05</v>
      </c>
      <c r="E29" s="742" t="e">
        <f>ROUND(C29*D29,0)</f>
        <v>#DIV/0!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15"/>
      <c r="B30" s="744" t="s">
        <v>1091</v>
      </c>
      <c r="C30" s="745">
        <f>IF(主表!B4&lt;DATE(2002,12,10),ROUND(C14*C21*C22+C15*B11,0),0)</f>
        <v>0</v>
      </c>
      <c r="D30" s="746">
        <f>B10</f>
        <v>0</v>
      </c>
      <c r="E30" s="747">
        <f t="shared" ref="E30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16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17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17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17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17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17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17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17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18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19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19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19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19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0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19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19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19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0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29" t="s">
        <v>1116</v>
      </c>
      <c r="D4" s="1730"/>
      <c r="E4" s="1731" t="s">
        <v>1117</v>
      </c>
      <c r="F4" s="1732"/>
      <c r="G4" s="1729" t="s">
        <v>1118</v>
      </c>
      <c r="H4" s="1730"/>
      <c r="I4" s="1729" t="s">
        <v>1119</v>
      </c>
      <c r="J4" s="1730"/>
      <c r="K4" s="438" t="s">
        <v>1120</v>
      </c>
      <c r="L4" s="439"/>
      <c r="M4" s="396"/>
      <c r="N4" s="396"/>
      <c r="O4" s="396"/>
      <c r="P4" s="1764" t="s">
        <v>1121</v>
      </c>
      <c r="Q4" s="1765"/>
      <c r="R4" s="1758" t="s">
        <v>1117</v>
      </c>
      <c r="S4" s="1759"/>
      <c r="T4" s="1758" t="s">
        <v>1118</v>
      </c>
      <c r="U4" s="1759"/>
      <c r="V4" s="1745" t="s">
        <v>1119</v>
      </c>
      <c r="W4" s="1745"/>
      <c r="X4" s="496"/>
      <c r="Y4" s="1758" t="s">
        <v>1121</v>
      </c>
      <c r="Z4" s="1759"/>
      <c r="AA4" s="1755" t="s">
        <v>1117</v>
      </c>
      <c r="AB4" s="1756" t="s">
        <v>1118</v>
      </c>
      <c r="AC4" s="1755" t="s">
        <v>1119</v>
      </c>
    </row>
    <row r="5" spans="1:29" ht="15">
      <c r="A5" s="275"/>
      <c r="B5" s="276"/>
      <c r="C5" s="1733" t="s">
        <v>1122</v>
      </c>
      <c r="D5" s="1734"/>
      <c r="E5" s="1735" t="s">
        <v>1123</v>
      </c>
      <c r="F5" s="1736"/>
      <c r="G5" s="1733" t="s">
        <v>1124</v>
      </c>
      <c r="H5" s="1734"/>
      <c r="I5" s="1733" t="s">
        <v>1125</v>
      </c>
      <c r="J5" s="1734"/>
      <c r="K5" s="438"/>
      <c r="L5" s="439"/>
      <c r="M5" s="396"/>
      <c r="N5" s="396"/>
      <c r="O5" s="396"/>
      <c r="P5" s="1766"/>
      <c r="Q5" s="1767"/>
      <c r="R5" s="1760"/>
      <c r="S5" s="1761"/>
      <c r="T5" s="1760"/>
      <c r="U5" s="1761"/>
      <c r="V5" s="1745"/>
      <c r="W5" s="1745"/>
      <c r="X5" s="496"/>
      <c r="Y5" s="1760"/>
      <c r="Z5" s="1761"/>
      <c r="AA5" s="1756"/>
      <c r="AB5" s="1756"/>
      <c r="AC5" s="1756"/>
    </row>
    <row r="6" spans="1:29" ht="15">
      <c r="A6" s="278"/>
      <c r="B6" s="279"/>
      <c r="C6" s="1737" t="s">
        <v>1126</v>
      </c>
      <c r="D6" s="1738"/>
      <c r="E6" s="1739" t="s">
        <v>1126</v>
      </c>
      <c r="F6" s="1740"/>
      <c r="G6" s="1737" t="s">
        <v>1126</v>
      </c>
      <c r="H6" s="1738"/>
      <c r="I6" s="1737" t="s">
        <v>1126</v>
      </c>
      <c r="J6" s="1738"/>
      <c r="K6" s="438" t="s">
        <v>1127</v>
      </c>
      <c r="L6" s="439"/>
      <c r="M6" s="396"/>
      <c r="N6" s="396"/>
      <c r="O6" s="396"/>
      <c r="P6" s="1768"/>
      <c r="Q6" s="1769"/>
      <c r="R6" s="1760"/>
      <c r="S6" s="1761"/>
      <c r="T6" s="1762"/>
      <c r="U6" s="1763"/>
      <c r="V6" s="1745"/>
      <c r="W6" s="1745"/>
      <c r="X6" s="496"/>
      <c r="Y6" s="1762"/>
      <c r="Z6" s="1763"/>
      <c r="AA6" s="1757"/>
      <c r="AB6" s="1757"/>
      <c r="AC6" s="1757"/>
    </row>
    <row r="7" spans="1:29" s="247" customFormat="1" ht="15">
      <c r="A7" s="280" t="s">
        <v>1128</v>
      </c>
      <c r="B7" s="281"/>
      <c r="C7" s="282">
        <f>主表!B4</f>
        <v>41456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1" t="s">
        <v>1129</v>
      </c>
      <c r="Q7" s="1742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41" t="s">
        <v>1129</v>
      </c>
      <c r="Z7" s="1743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1" t="s">
        <v>1133</v>
      </c>
      <c r="Q8" s="1743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41" t="s">
        <v>1133</v>
      </c>
      <c r="Z8" s="1743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4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0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4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0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4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0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六级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4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0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4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0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4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0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6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46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7"/>
      <c r="Q16" s="445"/>
      <c r="R16" s="501"/>
      <c r="S16" s="502"/>
      <c r="T16" s="501"/>
      <c r="U16" s="502"/>
      <c r="V16" s="501"/>
      <c r="W16" s="502"/>
      <c r="X16" s="496"/>
      <c r="Y16" s="1747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7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47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7"/>
      <c r="Q18" s="445"/>
      <c r="R18" s="501"/>
      <c r="S18" s="502"/>
      <c r="T18" s="501"/>
      <c r="U18" s="502"/>
      <c r="V18" s="501"/>
      <c r="W18" s="502"/>
      <c r="X18" s="496"/>
      <c r="Y18" s="1747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7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47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7"/>
      <c r="Q20" s="445"/>
      <c r="R20" s="501"/>
      <c r="S20" s="502"/>
      <c r="T20" s="501"/>
      <c r="U20" s="502"/>
      <c r="V20" s="501"/>
      <c r="W20" s="502"/>
      <c r="X20" s="496"/>
      <c r="Y20" s="1747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7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47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7"/>
      <c r="Q22" s="445"/>
      <c r="R22" s="501"/>
      <c r="S22" s="502"/>
      <c r="T22" s="501"/>
      <c r="U22" s="502"/>
      <c r="V22" s="501"/>
      <c r="W22" s="502"/>
      <c r="X22" s="496"/>
      <c r="Y22" s="1747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7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47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7"/>
      <c r="Q24" s="445"/>
      <c r="R24" s="501"/>
      <c r="S24" s="502"/>
      <c r="T24" s="501"/>
      <c r="U24" s="502"/>
      <c r="V24" s="501"/>
      <c r="W24" s="502"/>
      <c r="X24" s="496"/>
      <c r="Y24" s="1747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7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47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7"/>
      <c r="Q26" s="445"/>
      <c r="R26" s="501"/>
      <c r="S26" s="502"/>
      <c r="T26" s="501"/>
      <c r="U26" s="502"/>
      <c r="V26" s="501"/>
      <c r="W26" s="502"/>
      <c r="X26" s="496"/>
      <c r="Y26" s="1747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7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47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7"/>
      <c r="Q28" s="500"/>
      <c r="R28" s="497"/>
      <c r="S28" s="498"/>
      <c r="T28" s="497"/>
      <c r="U28" s="498"/>
      <c r="V28" s="497"/>
      <c r="W28" s="498"/>
      <c r="X28" s="499"/>
      <c r="Y28" s="1747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7"/>
      <c r="Q29" s="500" t="str">
        <f t="shared" ref="Q29" si="9"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47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7"/>
      <c r="Q30" s="500"/>
      <c r="R30" s="497"/>
      <c r="S30" s="498"/>
      <c r="T30" s="497"/>
      <c r="U30" s="498"/>
      <c r="V30" s="497"/>
      <c r="W30" s="498"/>
      <c r="X30" s="499"/>
      <c r="Y30" s="1747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7"/>
      <c r="Q31" s="445" t="str">
        <f t="shared" si="8"/>
        <v>临街状况</v>
      </c>
      <c r="R31" s="501" t="s">
        <v>1130</v>
      </c>
      <c r="S31" s="502">
        <f t="shared" ref="S31:S45" si="10">F31</f>
        <v>0</v>
      </c>
      <c r="T31" s="501" t="s">
        <v>1130</v>
      </c>
      <c r="U31" s="502">
        <f t="shared" ref="U31:U45" si="11">H31</f>
        <v>0</v>
      </c>
      <c r="V31" s="501" t="s">
        <v>1130</v>
      </c>
      <c r="W31" s="502">
        <f t="shared" ref="W31:W45" si="12">J31</f>
        <v>0</v>
      </c>
      <c r="X31" s="496"/>
      <c r="Y31" s="1747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7"/>
      <c r="Q32" s="445" t="str">
        <f t="shared" si="8"/>
        <v>毗邻道路的类型与等级</v>
      </c>
      <c r="R32" s="501" t="s">
        <v>1130</v>
      </c>
      <c r="S32" s="502">
        <f t="shared" si="10"/>
        <v>0</v>
      </c>
      <c r="T32" s="501" t="s">
        <v>1130</v>
      </c>
      <c r="U32" s="502">
        <f t="shared" si="11"/>
        <v>0</v>
      </c>
      <c r="V32" s="501" t="s">
        <v>1130</v>
      </c>
      <c r="W32" s="502">
        <f t="shared" si="12"/>
        <v>0</v>
      </c>
      <c r="X32" s="496"/>
      <c r="Y32" s="1747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7"/>
      <c r="Q33" s="445"/>
      <c r="R33" s="501"/>
      <c r="S33" s="502"/>
      <c r="T33" s="501"/>
      <c r="U33" s="502"/>
      <c r="V33" s="501"/>
      <c r="W33" s="502"/>
      <c r="X33" s="496"/>
      <c r="Y33" s="1747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7"/>
      <c r="Q34" s="445" t="str">
        <f t="shared" si="8"/>
        <v>土地级别</v>
      </c>
      <c r="R34" s="501" t="s">
        <v>1130</v>
      </c>
      <c r="S34" s="502">
        <f t="shared" si="10"/>
        <v>100</v>
      </c>
      <c r="T34" s="501" t="s">
        <v>1130</v>
      </c>
      <c r="U34" s="502">
        <f t="shared" si="11"/>
        <v>100</v>
      </c>
      <c r="V34" s="501" t="s">
        <v>1130</v>
      </c>
      <c r="W34" s="502">
        <f t="shared" si="12"/>
        <v>100</v>
      </c>
      <c r="X34" s="496"/>
      <c r="Y34" s="1747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7"/>
      <c r="Q35" s="445">
        <f t="shared" si="8"/>
        <v>111</v>
      </c>
      <c r="R35" s="501" t="s">
        <v>1130</v>
      </c>
      <c r="S35" s="502">
        <f t="shared" si="10"/>
        <v>0</v>
      </c>
      <c r="T35" s="501" t="s">
        <v>1130</v>
      </c>
      <c r="U35" s="502">
        <f t="shared" si="11"/>
        <v>0</v>
      </c>
      <c r="V35" s="501" t="s">
        <v>1130</v>
      </c>
      <c r="W35" s="502">
        <f t="shared" si="12"/>
        <v>0</v>
      </c>
      <c r="X35" s="496"/>
      <c r="Y35" s="1747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8" t="s">
        <v>1148</v>
      </c>
      <c r="Q36" s="445">
        <f t="shared" si="8"/>
        <v>111</v>
      </c>
      <c r="R36" s="501" t="s">
        <v>1130</v>
      </c>
      <c r="S36" s="502">
        <f t="shared" si="10"/>
        <v>100</v>
      </c>
      <c r="T36" s="501" t="s">
        <v>1130</v>
      </c>
      <c r="U36" s="502">
        <f t="shared" si="11"/>
        <v>0</v>
      </c>
      <c r="V36" s="501" t="s">
        <v>1130</v>
      </c>
      <c r="W36" s="502">
        <f t="shared" si="12"/>
        <v>0</v>
      </c>
      <c r="X36" s="496"/>
      <c r="Y36" s="1749" t="s">
        <v>1148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49"/>
      <c r="Q37" s="445">
        <f t="shared" si="8"/>
        <v>0</v>
      </c>
      <c r="R37" s="503" t="s">
        <v>1130</v>
      </c>
      <c r="S37" s="504">
        <f t="shared" si="10"/>
        <v>100</v>
      </c>
      <c r="T37" s="503" t="s">
        <v>1130</v>
      </c>
      <c r="U37" s="504">
        <f t="shared" si="11"/>
        <v>100</v>
      </c>
      <c r="V37" s="503" t="s">
        <v>1130</v>
      </c>
      <c r="W37" s="504">
        <f t="shared" si="12"/>
        <v>100</v>
      </c>
      <c r="X37" s="505"/>
      <c r="Y37" s="1749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49"/>
      <c r="Q38" s="445" t="str">
        <f t="shared" si="8"/>
        <v>宗地面积</v>
      </c>
      <c r="R38" s="501" t="s">
        <v>1130</v>
      </c>
      <c r="S38" s="502">
        <f t="shared" si="10"/>
        <v>100</v>
      </c>
      <c r="T38" s="501" t="s">
        <v>1130</v>
      </c>
      <c r="U38" s="502">
        <f t="shared" si="11"/>
        <v>100</v>
      </c>
      <c r="V38" s="501" t="s">
        <v>1130</v>
      </c>
      <c r="W38" s="502">
        <f t="shared" si="12"/>
        <v>100</v>
      </c>
      <c r="X38" s="496"/>
      <c r="Y38" s="1749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49"/>
      <c r="Q39" s="445" t="str">
        <f t="shared" ref="Q39:Q45" si="14">B39</f>
        <v>宗地形状</v>
      </c>
      <c r="R39" s="501" t="s">
        <v>1130</v>
      </c>
      <c r="S39" s="502">
        <f t="shared" si="10"/>
        <v>100</v>
      </c>
      <c r="T39" s="501" t="s">
        <v>1130</v>
      </c>
      <c r="U39" s="502">
        <f t="shared" si="11"/>
        <v>100</v>
      </c>
      <c r="V39" s="501" t="s">
        <v>1130</v>
      </c>
      <c r="W39" s="502">
        <f t="shared" si="12"/>
        <v>100</v>
      </c>
      <c r="X39" s="496"/>
      <c r="Y39" s="1749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49"/>
      <c r="Q40" s="445" t="str">
        <f t="shared" si="14"/>
        <v>临街宽度及深度</v>
      </c>
      <c r="R40" s="501" t="s">
        <v>1130</v>
      </c>
      <c r="S40" s="502">
        <f t="shared" si="10"/>
        <v>100</v>
      </c>
      <c r="T40" s="501" t="s">
        <v>1130</v>
      </c>
      <c r="U40" s="502">
        <f t="shared" si="11"/>
        <v>100</v>
      </c>
      <c r="V40" s="501" t="s">
        <v>1130</v>
      </c>
      <c r="W40" s="502">
        <f t="shared" si="12"/>
        <v>100</v>
      </c>
      <c r="X40" s="496"/>
      <c r="Y40" s="1749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49"/>
      <c r="Q41" s="445" t="str">
        <f t="shared" si="14"/>
        <v>宗地内开发程度</v>
      </c>
      <c r="R41" s="497" t="s">
        <v>1130</v>
      </c>
      <c r="S41" s="498">
        <f t="shared" si="10"/>
        <v>100</v>
      </c>
      <c r="T41" s="497" t="s">
        <v>1130</v>
      </c>
      <c r="U41" s="498">
        <f t="shared" si="11"/>
        <v>100</v>
      </c>
      <c r="V41" s="497" t="s">
        <v>1130</v>
      </c>
      <c r="W41" s="498">
        <f t="shared" si="12"/>
        <v>100</v>
      </c>
      <c r="X41" s="499"/>
      <c r="Y41" s="1749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49" t="s">
        <v>1148</v>
      </c>
      <c r="Q42" s="445" t="str">
        <f t="shared" si="14"/>
        <v>工程地质条件</v>
      </c>
      <c r="R42" s="501" t="s">
        <v>1130</v>
      </c>
      <c r="S42" s="502">
        <f t="shared" si="10"/>
        <v>100</v>
      </c>
      <c r="T42" s="501" t="s">
        <v>1130</v>
      </c>
      <c r="U42" s="502">
        <f t="shared" si="11"/>
        <v>100</v>
      </c>
      <c r="V42" s="501" t="s">
        <v>1130</v>
      </c>
      <c r="W42" s="502">
        <f t="shared" si="12"/>
        <v>100</v>
      </c>
      <c r="X42" s="496"/>
      <c r="Y42" s="1749" t="s">
        <v>1148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49"/>
      <c r="Q43" s="445">
        <f t="shared" si="14"/>
        <v>111</v>
      </c>
      <c r="R43" s="501" t="s">
        <v>1130</v>
      </c>
      <c r="S43" s="502">
        <f t="shared" si="10"/>
        <v>100</v>
      </c>
      <c r="T43" s="501" t="s">
        <v>1130</v>
      </c>
      <c r="U43" s="502">
        <f t="shared" si="11"/>
        <v>100</v>
      </c>
      <c r="V43" s="501" t="s">
        <v>1130</v>
      </c>
      <c r="W43" s="502">
        <f t="shared" si="12"/>
        <v>100</v>
      </c>
      <c r="X43" s="496"/>
      <c r="Y43" s="1749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49"/>
      <c r="Q44" s="445">
        <f t="shared" si="14"/>
        <v>111</v>
      </c>
      <c r="R44" s="501" t="s">
        <v>1130</v>
      </c>
      <c r="S44" s="502">
        <f t="shared" si="10"/>
        <v>100</v>
      </c>
      <c r="T44" s="501" t="s">
        <v>1130</v>
      </c>
      <c r="U44" s="502">
        <f t="shared" si="11"/>
        <v>100</v>
      </c>
      <c r="V44" s="501" t="s">
        <v>1130</v>
      </c>
      <c r="W44" s="502">
        <f t="shared" si="12"/>
        <v>100</v>
      </c>
      <c r="X44" s="496"/>
      <c r="Y44" s="1749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49"/>
      <c r="Q45" s="445">
        <f t="shared" si="14"/>
        <v>0</v>
      </c>
      <c r="R45" s="503" t="s">
        <v>1130</v>
      </c>
      <c r="S45" s="504">
        <f t="shared" si="10"/>
        <v>100</v>
      </c>
      <c r="T45" s="503" t="s">
        <v>1130</v>
      </c>
      <c r="U45" s="504">
        <f t="shared" si="11"/>
        <v>100</v>
      </c>
      <c r="V45" s="503" t="s">
        <v>1130</v>
      </c>
      <c r="W45" s="504">
        <f t="shared" si="12"/>
        <v>100</v>
      </c>
      <c r="X45" s="505"/>
      <c r="Y45" s="1749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4" t="str">
        <f>A46</f>
        <v>成交单价</v>
      </c>
      <c r="Q46" s="1744"/>
      <c r="R46" s="1745">
        <f>E46</f>
        <v>0</v>
      </c>
      <c r="S46" s="1745"/>
      <c r="T46" s="1745">
        <f>G46</f>
        <v>0</v>
      </c>
      <c r="U46" s="1745"/>
      <c r="V46" s="1745">
        <f>I46</f>
        <v>0</v>
      </c>
      <c r="W46" s="1745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4" t="str">
        <f>A47</f>
        <v>比较价值（元/平方米）</v>
      </c>
      <c r="Q47" s="1744"/>
      <c r="R47" s="1751" t="e">
        <f>ROUND(PRODUCT(R46,AA7:AA45),0)</f>
        <v>#DIV/0!</v>
      </c>
      <c r="S47" s="1751"/>
      <c r="T47" s="1751" t="e">
        <f>ROUND(PRODUCT(T46,AB7:AB45),0)</f>
        <v>#DIV/0!</v>
      </c>
      <c r="U47" s="1751"/>
      <c r="V47" s="1751" t="e">
        <f>ROUND(PRODUCT(V46,AC7:AC45),0)</f>
        <v>#DIV/0!</v>
      </c>
      <c r="W47" s="1751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52" t="str">
        <f>A48</f>
        <v>估价对象比较价值（单价内涵，元/平方米）</v>
      </c>
      <c r="Q48" s="1753"/>
      <c r="R48" s="1754" t="e">
        <f>ROUND(AVERAGE(R47:V47),0)</f>
        <v>#DIV/0!</v>
      </c>
      <c r="S48" s="1754"/>
      <c r="T48" s="1754"/>
      <c r="U48" s="1754"/>
      <c r="V48" s="1754"/>
      <c r="W48" s="1754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2013-7-1</v>
      </c>
      <c r="D56" s="408">
        <f>EDATE(C56,-3)</f>
        <v>41365</v>
      </c>
      <c r="E56" s="408">
        <f t="shared" ref="E56:O56" si="15">EDATE(D56,-3)</f>
        <v>41275</v>
      </c>
      <c r="F56" s="408">
        <f t="shared" si="15"/>
        <v>41183</v>
      </c>
      <c r="G56" s="408">
        <f t="shared" si="15"/>
        <v>41091</v>
      </c>
      <c r="H56" s="408">
        <f t="shared" si="15"/>
        <v>41000</v>
      </c>
      <c r="I56" s="408">
        <f t="shared" si="15"/>
        <v>40909</v>
      </c>
      <c r="J56" s="408">
        <f t="shared" si="15"/>
        <v>40817</v>
      </c>
      <c r="K56" s="408">
        <f t="shared" si="15"/>
        <v>40725</v>
      </c>
      <c r="L56" s="408">
        <f t="shared" si="15"/>
        <v>40634</v>
      </c>
      <c r="M56" s="408">
        <f t="shared" si="15"/>
        <v>40544</v>
      </c>
      <c r="N56" s="408">
        <f t="shared" si="15"/>
        <v>40452</v>
      </c>
      <c r="O56" s="408">
        <f t="shared" si="15"/>
        <v>40360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2013-3</v>
      </c>
      <c r="D58" s="415" t="str">
        <f t="shared" ref="D58:O58" si="16">YEAR(D56)&amp;"-"&amp;ROUNDUP(MONTH(D56)/3,0)</f>
        <v>2013-2</v>
      </c>
      <c r="E58" s="415" t="str">
        <f t="shared" si="16"/>
        <v>2013-1</v>
      </c>
      <c r="F58" s="415" t="str">
        <f t="shared" si="16"/>
        <v>2012-4</v>
      </c>
      <c r="G58" s="415" t="str">
        <f t="shared" si="16"/>
        <v>2012-3</v>
      </c>
      <c r="H58" s="415" t="str">
        <f t="shared" si="16"/>
        <v>2012-2</v>
      </c>
      <c r="I58" s="415" t="str">
        <f t="shared" si="16"/>
        <v>2012-1</v>
      </c>
      <c r="J58" s="415" t="str">
        <f t="shared" si="16"/>
        <v>2011-4</v>
      </c>
      <c r="K58" s="415" t="str">
        <f t="shared" si="16"/>
        <v>2011-3</v>
      </c>
      <c r="L58" s="415" t="str">
        <f t="shared" si="16"/>
        <v>2011-2</v>
      </c>
      <c r="M58" s="415" t="str">
        <f t="shared" si="16"/>
        <v>2011-1</v>
      </c>
      <c r="N58" s="415" t="str">
        <f t="shared" si="16"/>
        <v>2010-4</v>
      </c>
      <c r="O58" s="415" t="str">
        <f t="shared" si="16"/>
        <v>2010-3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topLeftCell="A16" zoomScaleSheetLayoutView="90" workbookViewId="0">
      <selection activeCell="A49" sqref="A49:XFD49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41456</v>
      </c>
      <c r="D1" s="195" t="str">
        <f>主表!A23</f>
        <v>建设期</v>
      </c>
      <c r="E1" s="195">
        <f>主表!B23</f>
        <v>2</v>
      </c>
      <c r="F1" s="195" t="s">
        <v>1182</v>
      </c>
      <c r="G1" s="196">
        <f ca="1">INDIRECT("d"&amp;$K$1)/100</f>
        <v>6.1500000000000006E-2</v>
      </c>
      <c r="H1" s="195" t="s">
        <v>1183</v>
      </c>
      <c r="I1" s="196">
        <f ca="1">SUMIF(F4:F8,E1,G4:G8)/100</f>
        <v>3.7499999999999999E-2</v>
      </c>
      <c r="J1" s="237">
        <f>IF(C1&gt;C14,0,MATCH(C1,C$14:C$68,-1))+IF(SUMIF(C14:C68,C1,D14:D68)=0,14,13)</f>
        <v>29</v>
      </c>
      <c r="K1" s="237">
        <f>MATCH(E1,C4:C8,1)+IF(SUMIF(C4:C8,E1,D4:D8)=0,3,2)</f>
        <v>6</v>
      </c>
      <c r="L1" s="237">
        <f>IF(C1&gt;M14,0,MATCH(C1,M$14:M$52,-1))+IF(SUMIF(M14:M52,C1,N14:N52)=0,14,13)</f>
        <v>20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41456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29</v>
      </c>
      <c r="K2" s="237">
        <f ca="1">MATCH(E2,C4:C8,1)+IF(SUMIF(C4:C8,E2,D4:D8)=0,3,2)</f>
        <v>3</v>
      </c>
      <c r="L2" s="237">
        <f>IF(C2&gt;M14,0,MATCH(C2,M$14:M$52,-1))+IF(SUMIF(M14:M52,C2,N14:N52)=0,14,13)</f>
        <v>20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6.1500000000000006E-2</v>
      </c>
      <c r="H3" s="203" t="s">
        <v>1183</v>
      </c>
      <c r="I3" s="204">
        <f ca="1">SUMIF(F4:F8,E3,H4:H8)/100</f>
        <v>4.2500000000000003E-2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5.6</v>
      </c>
      <c r="E4" s="207">
        <f ca="1">INDIRECT("d"&amp;$J$2)</f>
        <v>5.6</v>
      </c>
      <c r="F4" s="206">
        <v>0.5</v>
      </c>
      <c r="G4" s="208">
        <f ca="1">INDIRECT("p"&amp;$L$1)</f>
        <v>2.8</v>
      </c>
      <c r="H4" s="208">
        <f ca="1">INDIRECT("p"&amp;$L$2)</f>
        <v>2.8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6</v>
      </c>
      <c r="E5" s="211">
        <f ca="1">INDIRECT("e"&amp;$J$2)</f>
        <v>6</v>
      </c>
      <c r="F5" s="210">
        <v>1</v>
      </c>
      <c r="G5" s="195">
        <f ca="1">INDIRECT("q"&amp;$L$1)</f>
        <v>3</v>
      </c>
      <c r="H5" s="195">
        <f ca="1">INDIRECT("q"&amp;$L$2)</f>
        <v>3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6.15</v>
      </c>
      <c r="E6" s="211">
        <f ca="1">INDIRECT("f"&amp;$J$2)</f>
        <v>6.15</v>
      </c>
      <c r="F6" s="210">
        <v>2</v>
      </c>
      <c r="G6" s="195">
        <f ca="1">INDIRECT("r"&amp;$L$1)</f>
        <v>3.75</v>
      </c>
      <c r="H6" s="195">
        <f ca="1">INDIRECT("r"&amp;$L$2)</f>
        <v>3.75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6.4</v>
      </c>
      <c r="E7" s="211">
        <f ca="1">INDIRECT("g"&amp;$J$2)</f>
        <v>6.4</v>
      </c>
      <c r="F7" s="210">
        <v>3</v>
      </c>
      <c r="G7" s="195">
        <f ca="1">INDIRECT("s"&amp;$L$1)</f>
        <v>4.25</v>
      </c>
      <c r="H7" s="195">
        <f ca="1">INDIRECT("s"&amp;$L$2)</f>
        <v>4.25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6.55</v>
      </c>
      <c r="E8" s="211">
        <f ca="1">INDIRECT("h"&amp;$J$2)</f>
        <v>6.55</v>
      </c>
      <c r="F8" s="210">
        <v>5</v>
      </c>
      <c r="G8" s="195">
        <f ca="1">INDIRECT("t"&amp;$L$1)</f>
        <v>4.75</v>
      </c>
      <c r="H8" s="195">
        <f ca="1">INDIRECT("t"&amp;$L$2)</f>
        <v>4.75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topLeftCell="A49" zoomScale="80" zoomScaleNormal="80" workbookViewId="0">
      <selection activeCell="E1" sqref="E1:E1048576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0" t="s">
        <v>1209</v>
      </c>
      <c r="H2" s="1770"/>
      <c r="I2" s="1770"/>
      <c r="J2" s="1770"/>
      <c r="K2" s="1770"/>
      <c r="L2" s="1770"/>
      <c r="N2" s="1771" t="s">
        <v>1210</v>
      </c>
      <c r="O2" s="1771"/>
      <c r="P2" s="1771"/>
      <c r="Q2" s="1771"/>
      <c r="S2" s="1771" t="s">
        <v>1211</v>
      </c>
      <c r="T2" s="1771"/>
      <c r="U2" s="1771"/>
      <c r="V2" s="1771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2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2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2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3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4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2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1235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2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3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4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2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2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5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6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2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2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5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6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2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2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1" customFormat="1">
      <c r="A38" s="83" t="s">
        <v>1246</v>
      </c>
      <c r="B38" s="1638">
        <f t="shared" si="170"/>
        <v>307.34512863658733</v>
      </c>
      <c r="C38" s="1638">
        <f t="shared" si="170"/>
        <v>257.80556031626975</v>
      </c>
      <c r="D38" s="1638">
        <f t="shared" si="165"/>
        <v>257.80556031626975</v>
      </c>
      <c r="E38" s="1638">
        <f t="shared" si="171"/>
        <v>422.70928459677179</v>
      </c>
      <c r="F38" s="1638">
        <f t="shared" si="171"/>
        <v>229.73803270336617</v>
      </c>
      <c r="G38" s="1775"/>
      <c r="H38" s="1639">
        <v>1</v>
      </c>
      <c r="I38" s="1639">
        <v>2.97</v>
      </c>
      <c r="J38" s="1639">
        <v>2.34</v>
      </c>
      <c r="K38" s="1639">
        <v>3.28</v>
      </c>
      <c r="L38" s="1640">
        <v>1.36</v>
      </c>
      <c r="N38" s="1642">
        <f t="shared" si="167"/>
        <v>2.9700000000000001E-2</v>
      </c>
      <c r="O38" s="1643">
        <f t="shared" si="163"/>
        <v>2.3399999999999997E-2</v>
      </c>
      <c r="P38" s="1643">
        <f t="shared" si="163"/>
        <v>3.2799999999999996E-2</v>
      </c>
      <c r="Q38" s="1643">
        <f t="shared" si="163"/>
        <v>1.3600000000000001E-2</v>
      </c>
      <c r="R38" s="1644"/>
      <c r="S38" s="1645">
        <f>B38/B39-1</f>
        <v>2.7910129219355539E-2</v>
      </c>
      <c r="T38" s="1646">
        <f>C38/C39-1</f>
        <v>2.3037937762975247E-2</v>
      </c>
      <c r="U38" s="1646">
        <f>E38/E39-1</f>
        <v>3.3519033243940788E-2</v>
      </c>
      <c r="V38" s="1646">
        <f>F38/F39-1</f>
        <v>1.2061818076502862E-2</v>
      </c>
      <c r="AC38" s="1643"/>
      <c r="AD38" s="1643"/>
      <c r="AE38" s="1643"/>
      <c r="AF38" s="1643"/>
    </row>
    <row r="39" spans="1:32">
      <c r="A39" s="83" t="s">
        <v>1247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7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8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8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9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6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2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2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5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6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2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2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5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6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2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2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5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6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2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2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5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6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2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2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5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6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2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2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5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6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2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2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5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6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2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2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5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6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2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2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5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6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2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2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5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6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2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2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5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2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>
        <f>'2002基准地价'!B24</f>
        <v>47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1289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1290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1291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1293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1294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89.05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41456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0</v>
      </c>
      <c r="C11" s="1558">
        <f ca="1">结果表!B18</f>
        <v>0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89.05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50" t="s">
        <v>190</v>
      </c>
      <c r="B2" s="1650"/>
      <c r="C2" s="1650"/>
      <c r="D2" s="1650"/>
      <c r="E2" s="1650"/>
      <c r="F2" s="1650"/>
      <c r="G2" s="1650"/>
      <c r="H2" s="1523"/>
      <c r="I2" s="1522"/>
      <c r="X2" s="1518"/>
      <c r="AG2" s="1519"/>
    </row>
    <row r="3" spans="1:33" ht="13.5">
      <c r="A3" s="1651" t="s">
        <v>191</v>
      </c>
      <c r="B3" s="1652"/>
      <c r="C3" s="1653"/>
      <c r="D3" s="1654" t="s">
        <v>192</v>
      </c>
      <c r="E3" s="1652"/>
      <c r="F3" s="1652"/>
      <c r="G3" s="1655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56" t="s">
        <v>193</v>
      </c>
      <c r="E4" s="1657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59" t="s">
        <v>196</v>
      </c>
      <c r="B5" s="1660">
        <f>主表!F5</f>
        <v>5985</v>
      </c>
      <c r="C5" s="1661" t="s">
        <v>197</v>
      </c>
      <c r="D5" s="1657" t="s">
        <v>198</v>
      </c>
      <c r="E5" s="1658"/>
      <c r="F5" s="1528">
        <f>SUM(F6:F10)</f>
        <v>0</v>
      </c>
      <c r="G5" s="1530" t="s">
        <v>199</v>
      </c>
      <c r="H5" s="1523"/>
      <c r="I5" s="1522"/>
      <c r="X5" s="1518"/>
      <c r="AG5" s="1519"/>
    </row>
    <row r="6" spans="1:33" ht="27">
      <c r="A6" s="1659"/>
      <c r="B6" s="1660"/>
      <c r="C6" s="1661"/>
      <c r="D6" s="1662" t="s">
        <v>200</v>
      </c>
      <c r="E6" s="1528" t="s">
        <v>201</v>
      </c>
      <c r="F6" s="1528">
        <f>主表!F14</f>
        <v>0</v>
      </c>
      <c r="G6" s="1530" t="s">
        <v>202</v>
      </c>
      <c r="H6" s="1523"/>
      <c r="I6" s="1522"/>
      <c r="X6" s="1518"/>
      <c r="AG6" s="1519"/>
    </row>
    <row r="7" spans="1:33" ht="13.5">
      <c r="A7" s="1659"/>
      <c r="B7" s="1660"/>
      <c r="C7" s="1661"/>
      <c r="D7" s="1662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59"/>
      <c r="B8" s="1660"/>
      <c r="C8" s="1661"/>
      <c r="D8" s="1663" t="s">
        <v>204</v>
      </c>
      <c r="E8" s="1664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59"/>
      <c r="B9" s="1660"/>
      <c r="C9" s="1661"/>
      <c r="D9" s="1663" t="s">
        <v>205</v>
      </c>
      <c r="E9" s="1664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59"/>
      <c r="B10" s="1660"/>
      <c r="C10" s="1661"/>
      <c r="D10" s="1663" t="s">
        <v>206</v>
      </c>
      <c r="E10" s="1664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>主表!F8</f>
        <v>0</v>
      </c>
      <c r="C11" s="1531" t="str">
        <f>"按前期开发成本的"&amp;TEXT(主表!G8,"0.0%")&amp;"计取"</f>
        <v>按前期开发成本的0.0%计取</v>
      </c>
      <c r="D11" s="1657" t="s">
        <v>207</v>
      </c>
      <c r="E11" s="1658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57" t="s">
        <v>208</v>
      </c>
      <c r="E12" s="1658"/>
      <c r="F12" s="1528">
        <f ca="1">主表!F21</f>
        <v>0</v>
      </c>
      <c r="G12" s="1530" t="str">
        <f ca="1">"房屋建设期为"&amp;主表!B23&amp;"年，贷款利率为"&amp;TEXT(主表!G21,"0.00%")&amp;"，"&amp;主表!H21</f>
        <v>房屋建设期为2年，贷款利率为6.15%，计息期为2年，复利计息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>主表!F10</f>
        <v>0</v>
      </c>
      <c r="C13" s="1529" t="str">
        <f>"按前期开发成本及其管理费用的"&amp;TEXT(主表!G10,"0%")&amp;"计取"</f>
        <v>按前期开发成本及其管理费用的0%计取</v>
      </c>
      <c r="D13" s="1657" t="s">
        <v>209</v>
      </c>
      <c r="E13" s="1658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5985</v>
      </c>
      <c r="C14" s="1529" t="s">
        <v>211</v>
      </c>
      <c r="D14" s="1657" t="s">
        <v>210</v>
      </c>
      <c r="E14" s="1658"/>
      <c r="F14" s="1528">
        <f ca="1">F5+F11+F12+F13</f>
        <v>0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60">
        <f ca="1">主表!F24</f>
        <v>5985</v>
      </c>
      <c r="C15" s="1665"/>
      <c r="D15" s="1663" t="s">
        <v>213</v>
      </c>
      <c r="E15" s="1664"/>
      <c r="F15" s="1664"/>
      <c r="G15" s="1666"/>
      <c r="H15" s="1523"/>
      <c r="I15" s="1522"/>
      <c r="X15" s="1518"/>
      <c r="AG15" s="1519"/>
    </row>
    <row r="16" spans="1:33" ht="27">
      <c r="A16" s="1524" t="s">
        <v>214</v>
      </c>
      <c r="B16" s="1660">
        <f ca="1">主表!F25</f>
        <v>53.296399999999998</v>
      </c>
      <c r="C16" s="1665"/>
      <c r="D16" s="1663" t="s">
        <v>215</v>
      </c>
      <c r="E16" s="1664"/>
      <c r="F16" s="1664"/>
      <c r="G16" s="1666"/>
      <c r="H16" s="1532" t="str">
        <f ca="1">NUMBERSTRING(INT(B16*10000),2)&amp;"元整"</f>
        <v>伍拾叁万贰仟玖佰陆拾肆元整</v>
      </c>
      <c r="I16" s="1555"/>
      <c r="X16" s="1518"/>
      <c r="AG16" s="1519"/>
    </row>
    <row r="17" spans="1:33" ht="13.5">
      <c r="A17" s="1524" t="s">
        <v>216</v>
      </c>
      <c r="B17" s="1672">
        <f>主表!F33</f>
        <v>0</v>
      </c>
      <c r="C17" s="1665"/>
      <c r="D17" s="1663" t="s">
        <v>217</v>
      </c>
      <c r="E17" s="1664"/>
      <c r="F17" s="1664"/>
      <c r="G17" s="1666"/>
      <c r="H17" s="1523"/>
      <c r="I17" s="1522"/>
      <c r="X17" s="1518"/>
      <c r="AG17" s="1519"/>
    </row>
    <row r="18" spans="1:33" ht="27">
      <c r="A18" s="1524" t="s">
        <v>218</v>
      </c>
      <c r="B18" s="1660">
        <f ca="1">主表!F35</f>
        <v>0</v>
      </c>
      <c r="C18" s="1665"/>
      <c r="D18" s="1663" t="s">
        <v>219</v>
      </c>
      <c r="E18" s="1664"/>
      <c r="F18" s="1664"/>
      <c r="G18" s="1666"/>
      <c r="H18" s="1523"/>
      <c r="I18" s="1522"/>
      <c r="X18" s="1518"/>
      <c r="AG18" s="1519"/>
    </row>
    <row r="19" spans="1:33" ht="27">
      <c r="A19" s="1533" t="s">
        <v>220</v>
      </c>
      <c r="B19" s="1667">
        <f ca="1">主表!F36</f>
        <v>0</v>
      </c>
      <c r="C19" s="1668"/>
      <c r="D19" s="1669" t="s">
        <v>221</v>
      </c>
      <c r="E19" s="1670"/>
      <c r="F19" s="1670"/>
      <c r="G19" s="1671"/>
      <c r="H19" s="1532" t="str">
        <f ca="1">NUMBERSTRING(INT(B19*10000),2)&amp;"元整"</f>
        <v>零元整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E51" sqref="E51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3"/>
      <c r="J2" s="1483"/>
      <c r="K2" s="1444"/>
      <c r="L2" s="1444"/>
      <c r="N2" s="1484" t="s">
        <v>232</v>
      </c>
      <c r="O2" s="1485">
        <f>SUMPRODUCT((N6:N12=B20)*(O5:Q5=B21)*(O6:Q12))</f>
        <v>60</v>
      </c>
    </row>
    <row r="3" spans="1:18" ht="15.75" customHeight="1">
      <c r="A3" s="1392" t="s">
        <v>233</v>
      </c>
      <c r="B3" s="1393">
        <v>41456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8</v>
      </c>
    </row>
    <row r="4" spans="1:18" ht="15.75" customHeight="1">
      <c r="A4" s="1397" t="s">
        <v>239</v>
      </c>
      <c r="B4" s="1393">
        <f>B3</f>
        <v>41456</v>
      </c>
      <c r="C4" s="1391"/>
      <c r="D4" s="1398" t="s">
        <v>240</v>
      </c>
      <c r="E4" s="1399" t="s">
        <v>191</v>
      </c>
      <c r="F4" s="1400">
        <f ca="1">F5+F8+F9+F10</f>
        <v>5985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>IF(B4&lt;DATE(2002,12,10),F6,F6-F7)</f>
        <v>5985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>IF(B4&lt;DATE(2002,12,10),'1993基准地价'!B3,IF(B4&gt;=DATE(2014,8,28),'2014基准地价'!B3,'2002基准地价'!B3))</f>
        <v>5985</v>
      </c>
      <c r="G6" s="1406"/>
      <c r="H6" s="1410" t="str">
        <f>"采用"&amp;IF(B4&lt;DATE(2002,12,10),"1993版",IF(B4&gt;=DATE(2014,8,28),"2014版","2002版"))&amp;"基准地价系数修正法计算"</f>
        <v>采用2002版基准地价系数修正法计算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89.05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2.1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103</v>
      </c>
      <c r="C10" s="1391"/>
      <c r="D10" s="1421">
        <v>4</v>
      </c>
      <c r="E10" s="1422" t="s">
        <v>259</v>
      </c>
      <c r="F10" s="1423">
        <f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0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/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60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>IF(B4&lt;DATE(2002,12,10),'1993基准地价'!C23,IF(B4&gt;=DATE(2014,8,28),'2014基准地价'!G20,'2002基准地价'!E10))</f>
        <v>0.04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>IF(ISERROR(ROUND(POWER(1+B17,B13-B15)*(POWER(1+B17,B15)-1)/(POWER(1+B17,B13)-1),3)),0,ROUND(POWER(1+B17,B13-B15)*(POWER(1+B17,B15)-1)/(POWER(1+B17,B13)-1),3))</f>
        <v>0.96699999999999997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72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0</v>
      </c>
      <c r="G21" s="1450">
        <f ca="1">存贷款利率!G1</f>
        <v>6.1500000000000006E-2</v>
      </c>
      <c r="H21" s="1419" t="str">
        <f>"计息期为"&amp;B23&amp;"年，"&amp;"复利计息"</f>
        <v>计息期为2年，复利计息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2005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2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5985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53.296399999999998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79" t="s">
        <v>296</v>
      </c>
      <c r="E26" s="1680"/>
      <c r="F26" s="1680"/>
      <c r="G26" s="1680"/>
      <c r="H26" s="1681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0.87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0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/>
      <c r="G30" s="1465">
        <f>IF(ISNUMBER(FIND("砖木",B20)),O30,SUMPRODUCT((N30:N32=E30)*(O29:R29=B20)*(O30:R32)))</f>
        <v>0.2</v>
      </c>
      <c r="H30" s="1467"/>
      <c r="I30" s="1675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0</v>
      </c>
      <c r="G31" s="1465">
        <f>IF(ISNUMBER(FIND("砖木",B20)),O31,SUMPRODUCT((N30:N32=E31)*(O29:R29=B20)*(O30:R32)))</f>
        <v>0.5</v>
      </c>
      <c r="H31" s="1467"/>
      <c r="I31" s="1675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0</v>
      </c>
      <c r="G32" s="1465">
        <f>IF(ISNUMBER(FIND("砖木",B20)),O32,SUMPRODUCT((N30:N32=E32)*(O29:R29=B20)*(O30:R32)))</f>
        <v>0.3</v>
      </c>
      <c r="H32" s="1467"/>
      <c r="I32" s="1675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0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79" t="s">
        <v>309</v>
      </c>
      <c r="E34" s="1680"/>
      <c r="F34" s="1680"/>
      <c r="G34" s="1680"/>
      <c r="H34" s="1681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0</v>
      </c>
      <c r="G35" s="1682" t="s">
        <v>310</v>
      </c>
      <c r="H35" s="1683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0</v>
      </c>
      <c r="G36" s="1673" t="s">
        <v>312</v>
      </c>
      <c r="H36" s="1674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89.05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六级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2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41456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0.99099999999999999</v>
      </c>
      <c r="D20" s="1230" t="s">
        <v>387</v>
      </c>
      <c r="E20" s="1231">
        <f ca="1">INDIRECT("'存贷款利率'!e"&amp;存贷款利率!$K$4)/100</f>
        <v>0.06</v>
      </c>
      <c r="F20" s="1206" t="s">
        <v>278</v>
      </c>
      <c r="G20" s="1232">
        <f ca="1">SUMIF(P18:S18,E2,P20:S20)</f>
        <v>6.9000000000000006E-2</v>
      </c>
      <c r="H20" s="1233" t="s">
        <v>272</v>
      </c>
      <c r="I20" s="1328">
        <f>IF(H20="剩余土地使用年限",主表!B15,主表!B16)</f>
        <v>60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7.4999999999999997E-2</v>
      </c>
      <c r="Q20" s="1331">
        <f ca="1">ROUND($E$20*(1+Q19),3)</f>
        <v>7.1999999999999995E-2</v>
      </c>
      <c r="R20" s="1331">
        <f ca="1">ROUND($E$20*(1+R19),3)</f>
        <v>6.9000000000000006E-2</v>
      </c>
      <c r="S20" s="997">
        <f ca="1">ROUND($E$20*(1+S19),3)</f>
        <v>6.6000000000000003E-2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6.9000000000000006E-2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六级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2025-05-07T05:31:47Z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