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9傍晚\"/>
    </mc:Choice>
  </mc:AlternateContent>
  <xr:revisionPtr revIDLastSave="0" documentId="13_ncr:1_{2EF634AF-9705-4D89-A659-810E6DC251C4}" xr6:coauthVersionLast="45" xr6:coauthVersionMax="45" xr10:uidLastSave="{00000000-0000-0000-0000-000000000000}"/>
  <bookViews>
    <workbookView xWindow="10965" yWindow="0" windowWidth="10620" windowHeight="12900" tabRatio="875" firstSheet="17" activeTab="2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12" r:id="rId20"/>
    <sheet name="剩余法-现房" sheetId="43" state="hidden" r:id="rId21"/>
    <sheet name="比较法-住宅、综合" sheetId="39" state="hidden" r:id="rId22"/>
    <sheet name="比较法-工业" sheetId="40" state="hidden" r:id="rId23"/>
    <sheet name="剩余法-商业" sheetId="73"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住宅）1.2" sheetId="72" r:id="rId31"/>
    <sheet name="基准地价（商业）" sheetId="71" r:id="rId32"/>
    <sheet name="基准地价（汇总）" sheetId="67" state="hidden" r:id="rId33"/>
    <sheet name="收益还原法" sheetId="44" state="hidden" r:id="rId34"/>
    <sheet name="不动产收益法" sheetId="15" state="hidden" r:id="rId35"/>
    <sheet name="不动产收益法-酒店模型" sheetId="68" state="hidden"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4">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32">'基准地价（汇总）'!$A$1:$F$14</definedName>
    <definedName name="_xlnm.Print_Area" localSheetId="31">'基准地价（商业）'!$A$1:$J$41,'基准地价（商业）'!$A$44:$N$87,'基准地价（商业）'!$R$1:$V$16</definedName>
    <definedName name="_xlnm.Print_Area" localSheetId="24">'基准地价（住宅）'!$A$1:$J$41,'基准地价（住宅）'!$A$44:$N$87,'基准地价（住宅）'!$R$1:$V$16</definedName>
    <definedName name="_xlnm.Print_Area" localSheetId="30">'基准地价（住宅）1.2'!$A$1:$J$41,'基准地价（住宅）1.2'!$A$44:$N$87,'基准地价（住宅）1.2'!$R$1:$V$16</definedName>
    <definedName name="_xlnm.Print_Area" localSheetId="18">结果表!$A$1:$I$46,结果表!$K$25:$O$44,结果表!$A$62:$I$115,结果表!$K$64:$P$81</definedName>
    <definedName name="_xlnm.Print_Area" localSheetId="23">'剩余法-商业'!$A$1:$K$36</definedName>
    <definedName name="_xlnm.Print_Area" localSheetId="20">'剩余法-现房'!$A$1:$K$27</definedName>
    <definedName name="_xlnm.Print_Area" localSheetId="19">'剩余法-住宅'!$A$1:$K$36</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'基准地价（商业）'!$N$19:$AB$19</definedName>
    <definedName name="季度" localSheetId="30">'基准地价（住宅）1.2'!$N$19:$AB$19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9" i="73" l="1"/>
  <c r="G28" i="73"/>
  <c r="G27" i="73"/>
  <c r="G26" i="73"/>
  <c r="F25" i="73"/>
  <c r="C25" i="73"/>
  <c r="F24" i="73"/>
  <c r="F23" i="73"/>
  <c r="E22" i="73"/>
  <c r="E21" i="73"/>
  <c r="E19" i="73"/>
  <c r="F17" i="73"/>
  <c r="E16" i="73"/>
  <c r="F15" i="73"/>
  <c r="F14" i="73"/>
  <c r="D10" i="73"/>
  <c r="K9" i="73"/>
  <c r="J9" i="73"/>
  <c r="I9" i="73"/>
  <c r="H9" i="73"/>
  <c r="G9" i="73"/>
  <c r="F9" i="73"/>
  <c r="E9" i="73"/>
  <c r="D9" i="73"/>
  <c r="C9" i="73"/>
  <c r="C10" i="73" s="1"/>
  <c r="C6" i="73" s="1"/>
  <c r="K1" i="73"/>
  <c r="F33" i="73"/>
  <c r="C34" i="73" l="1"/>
  <c r="D33" i="73" s="1"/>
  <c r="C29" i="73"/>
  <c r="C24" i="73"/>
  <c r="D10" i="12"/>
  <c r="C10" i="12"/>
  <c r="AM7" i="1"/>
  <c r="AM6" i="1"/>
  <c r="AL7" i="1"/>
  <c r="AL6" i="1"/>
  <c r="AK7" i="1"/>
  <c r="AK6" i="1"/>
  <c r="Q7" i="1"/>
  <c r="Q6" i="1"/>
  <c r="L7" i="1"/>
  <c r="L6" i="1"/>
  <c r="J7" i="1"/>
  <c r="J6" i="1"/>
  <c r="I7" i="1"/>
  <c r="I6" i="1"/>
  <c r="H7" i="1"/>
  <c r="H6" i="1"/>
  <c r="B42" i="1"/>
  <c r="B38" i="1"/>
  <c r="B37" i="1"/>
  <c r="B36" i="1"/>
  <c r="B35" i="1"/>
  <c r="B34" i="1"/>
  <c r="B33" i="1"/>
  <c r="B30" i="1"/>
  <c r="B28" i="1"/>
  <c r="B27" i="1"/>
  <c r="B21" i="1"/>
  <c r="B20" i="1"/>
  <c r="B19" i="1"/>
  <c r="C13" i="73"/>
  <c r="D16" i="73"/>
  <c r="D22" i="73"/>
  <c r="C15" i="73"/>
  <c r="D21" i="73"/>
  <c r="C21" i="73" l="1"/>
  <c r="C22" i="73"/>
  <c r="D19" i="73"/>
  <c r="C19" i="73" s="1"/>
  <c r="C16" i="73"/>
  <c r="C14" i="73"/>
  <c r="C17" i="73"/>
  <c r="F113" i="72"/>
  <c r="K108" i="72"/>
  <c r="G108" i="72"/>
  <c r="C108" i="72"/>
  <c r="K100" i="72"/>
  <c r="G100" i="72"/>
  <c r="D100" i="72"/>
  <c r="N99" i="72"/>
  <c r="M99" i="72"/>
  <c r="M108" i="72" s="1"/>
  <c r="L99" i="72"/>
  <c r="K99" i="72"/>
  <c r="J99" i="72"/>
  <c r="I99" i="72"/>
  <c r="I108" i="72" s="1"/>
  <c r="H99" i="72"/>
  <c r="G99" i="72"/>
  <c r="F99" i="72"/>
  <c r="E99" i="72"/>
  <c r="E108" i="72" s="1"/>
  <c r="D99" i="72"/>
  <c r="D108" i="72" s="1"/>
  <c r="C99" i="72"/>
  <c r="C100" i="72" s="1"/>
  <c r="N87" i="72"/>
  <c r="M87" i="72"/>
  <c r="K87" i="72"/>
  <c r="J87" i="72" s="1"/>
  <c r="H87" i="72"/>
  <c r="D87" i="72"/>
  <c r="B87" i="72"/>
  <c r="M86" i="72"/>
  <c r="N86" i="72" s="1"/>
  <c r="K86" i="72"/>
  <c r="J86" i="72"/>
  <c r="D86" i="72"/>
  <c r="M85" i="72"/>
  <c r="N85" i="72" s="1"/>
  <c r="K85" i="72"/>
  <c r="J85" i="72"/>
  <c r="D85" i="72"/>
  <c r="B85" i="72"/>
  <c r="N84" i="72"/>
  <c r="M84" i="72"/>
  <c r="K84" i="72"/>
  <c r="J84" i="72" s="1"/>
  <c r="H84" i="72"/>
  <c r="D84" i="72"/>
  <c r="B84" i="72"/>
  <c r="M83" i="72"/>
  <c r="N83" i="72" s="1"/>
  <c r="K83" i="72"/>
  <c r="J83" i="72"/>
  <c r="D83" i="72"/>
  <c r="B83" i="72"/>
  <c r="N82" i="72"/>
  <c r="M82" i="72"/>
  <c r="K82" i="72"/>
  <c r="J82" i="72" s="1"/>
  <c r="H82" i="72"/>
  <c r="D82" i="72"/>
  <c r="B82" i="72"/>
  <c r="M81" i="72"/>
  <c r="N81" i="72" s="1"/>
  <c r="K81" i="72"/>
  <c r="J81" i="72"/>
  <c r="D81" i="72"/>
  <c r="E80" i="72" s="1"/>
  <c r="B78" i="72" s="1"/>
  <c r="B81" i="72"/>
  <c r="N80" i="72"/>
  <c r="M80" i="72"/>
  <c r="K80" i="72"/>
  <c r="J80" i="72" s="1"/>
  <c r="H80" i="72"/>
  <c r="F80" i="72"/>
  <c r="H86" i="72" s="1"/>
  <c r="D80" i="72"/>
  <c r="B80" i="72"/>
  <c r="N77" i="72"/>
  <c r="M77" i="72"/>
  <c r="K77" i="72"/>
  <c r="J77" i="72" s="1"/>
  <c r="D77" i="72"/>
  <c r="N76" i="72"/>
  <c r="M76" i="72"/>
  <c r="K76" i="72"/>
  <c r="J76" i="72" s="1"/>
  <c r="D76" i="72"/>
  <c r="B76" i="72"/>
  <c r="M75" i="72"/>
  <c r="N75" i="72" s="1"/>
  <c r="K75" i="72"/>
  <c r="J75" i="72"/>
  <c r="D75" i="72"/>
  <c r="M74" i="72"/>
  <c r="N74" i="72" s="1"/>
  <c r="K74" i="72"/>
  <c r="J74" i="72"/>
  <c r="D74" i="72"/>
  <c r="B74" i="72"/>
  <c r="N73" i="72"/>
  <c r="M73" i="72"/>
  <c r="K73" i="72"/>
  <c r="J73" i="72" s="1"/>
  <c r="D73" i="72"/>
  <c r="B73" i="72"/>
  <c r="M72" i="72"/>
  <c r="N72" i="72" s="1"/>
  <c r="K72" i="72"/>
  <c r="J72" i="72"/>
  <c r="D72" i="72"/>
  <c r="B72" i="72"/>
  <c r="N71" i="72"/>
  <c r="M71" i="72"/>
  <c r="K71" i="72"/>
  <c r="J71" i="72" s="1"/>
  <c r="D71" i="72"/>
  <c r="B71" i="72"/>
  <c r="M70" i="72"/>
  <c r="N70" i="72" s="1"/>
  <c r="K70" i="72"/>
  <c r="J70" i="72"/>
  <c r="D70" i="72"/>
  <c r="B70" i="72"/>
  <c r="N69" i="72"/>
  <c r="M69" i="72"/>
  <c r="K69" i="72"/>
  <c r="J69" i="72" s="1"/>
  <c r="E69" i="72"/>
  <c r="B67" i="72" s="1"/>
  <c r="C24" i="72" s="1"/>
  <c r="D69" i="72"/>
  <c r="B69" i="72"/>
  <c r="N66" i="72"/>
  <c r="M66" i="72"/>
  <c r="K66" i="72"/>
  <c r="J66" i="72" s="1"/>
  <c r="H66" i="72"/>
  <c r="D66" i="72"/>
  <c r="B66" i="72"/>
  <c r="M65" i="72"/>
  <c r="N65" i="72" s="1"/>
  <c r="K65" i="72"/>
  <c r="J65" i="72"/>
  <c r="D65" i="72"/>
  <c r="B65" i="72"/>
  <c r="N64" i="72"/>
  <c r="M64" i="72"/>
  <c r="K64" i="72"/>
  <c r="J64" i="72" s="1"/>
  <c r="H64" i="72"/>
  <c r="D64" i="72"/>
  <c r="B64" i="72"/>
  <c r="M63" i="72"/>
  <c r="N63" i="72" s="1"/>
  <c r="K63" i="72"/>
  <c r="J63" i="72"/>
  <c r="D63" i="72"/>
  <c r="M62" i="72"/>
  <c r="N62" i="72" s="1"/>
  <c r="K62" i="72"/>
  <c r="J62" i="72"/>
  <c r="D62" i="72"/>
  <c r="B62" i="72"/>
  <c r="N61" i="72"/>
  <c r="M61" i="72"/>
  <c r="K61" i="72"/>
  <c r="J61" i="72" s="1"/>
  <c r="H61" i="72"/>
  <c r="D61" i="72"/>
  <c r="N60" i="72"/>
  <c r="M60" i="72"/>
  <c r="K60" i="72"/>
  <c r="J60" i="72" s="1"/>
  <c r="H60" i="72"/>
  <c r="D60" i="72"/>
  <c r="B60" i="72"/>
  <c r="M59" i="72"/>
  <c r="N59" i="72" s="1"/>
  <c r="K59" i="72"/>
  <c r="J59" i="72"/>
  <c r="D59" i="72"/>
  <c r="B59" i="72"/>
  <c r="N58" i="72"/>
  <c r="M58" i="72"/>
  <c r="K58" i="72"/>
  <c r="J58" i="72" s="1"/>
  <c r="H58" i="72"/>
  <c r="F58" i="72"/>
  <c r="H65" i="72" s="1"/>
  <c r="E58" i="72"/>
  <c r="B56" i="72" s="1"/>
  <c r="D58" i="72"/>
  <c r="B58" i="72"/>
  <c r="N55" i="72"/>
  <c r="M55" i="72"/>
  <c r="K55" i="72"/>
  <c r="J55" i="72" s="1"/>
  <c r="H55" i="72"/>
  <c r="D55" i="72"/>
  <c r="B55" i="72"/>
  <c r="M54" i="72"/>
  <c r="N54" i="72" s="1"/>
  <c r="K54" i="72"/>
  <c r="J54" i="72"/>
  <c r="D54" i="72"/>
  <c r="B54" i="72"/>
  <c r="N53" i="72"/>
  <c r="M53" i="72"/>
  <c r="K53" i="72"/>
  <c r="J53" i="72" s="1"/>
  <c r="H53" i="72"/>
  <c r="D53" i="72"/>
  <c r="B53" i="72"/>
  <c r="M52" i="72"/>
  <c r="N52" i="72" s="1"/>
  <c r="K52" i="72"/>
  <c r="J52" i="72"/>
  <c r="D52" i="72"/>
  <c r="M51" i="72"/>
  <c r="N51" i="72" s="1"/>
  <c r="K51" i="72"/>
  <c r="J51" i="72"/>
  <c r="D51" i="72"/>
  <c r="B51" i="72"/>
  <c r="N50" i="72"/>
  <c r="M50" i="72"/>
  <c r="K50" i="72"/>
  <c r="J50" i="72" s="1"/>
  <c r="H50" i="72"/>
  <c r="D50" i="72"/>
  <c r="N49" i="72"/>
  <c r="M49" i="72"/>
  <c r="K49" i="72"/>
  <c r="J49" i="72" s="1"/>
  <c r="H49" i="72"/>
  <c r="D49" i="72"/>
  <c r="B49" i="72"/>
  <c r="M48" i="72"/>
  <c r="N48" i="72" s="1"/>
  <c r="K48" i="72"/>
  <c r="J48" i="72"/>
  <c r="D48" i="72"/>
  <c r="B48" i="72"/>
  <c r="N47" i="72"/>
  <c r="M47" i="72"/>
  <c r="K47" i="72"/>
  <c r="J47" i="72" s="1"/>
  <c r="H47" i="72"/>
  <c r="F47" i="72"/>
  <c r="H54" i="72" s="1"/>
  <c r="E47" i="72"/>
  <c r="B45" i="72" s="1"/>
  <c r="D47" i="72"/>
  <c r="B47" i="72"/>
  <c r="H39" i="72"/>
  <c r="H38" i="72"/>
  <c r="H37" i="72"/>
  <c r="H36" i="72"/>
  <c r="H35" i="72"/>
  <c r="H34" i="72"/>
  <c r="H33" i="72"/>
  <c r="D29" i="72"/>
  <c r="J20" i="72"/>
  <c r="I20" i="72"/>
  <c r="M19" i="72"/>
  <c r="I19" i="72"/>
  <c r="G19" i="72"/>
  <c r="C18" i="72"/>
  <c r="C16" i="72"/>
  <c r="F15" i="72"/>
  <c r="E15" i="72"/>
  <c r="D15" i="72"/>
  <c r="C15" i="72"/>
  <c r="Y12" i="72"/>
  <c r="C12" i="72"/>
  <c r="M11" i="72"/>
  <c r="AI10" i="72"/>
  <c r="AE10" i="72"/>
  <c r="AA10" i="72"/>
  <c r="Y10" i="72"/>
  <c r="C10" i="72"/>
  <c r="C11" i="72" s="1"/>
  <c r="AJ9" i="72"/>
  <c r="AJ10" i="72" s="1"/>
  <c r="AI9" i="72"/>
  <c r="AI12" i="72" s="1"/>
  <c r="AH9" i="72"/>
  <c r="AH10" i="72" s="1"/>
  <c r="AG9" i="72"/>
  <c r="AG12" i="72" s="1"/>
  <c r="AF9" i="72"/>
  <c r="AF10" i="72" s="1"/>
  <c r="AE9" i="72"/>
  <c r="AE12" i="72" s="1"/>
  <c r="AD9" i="72"/>
  <c r="AD10" i="72" s="1"/>
  <c r="AC9" i="72"/>
  <c r="AC12" i="72" s="1"/>
  <c r="AB9" i="72"/>
  <c r="AB10" i="72" s="1"/>
  <c r="AA9" i="72"/>
  <c r="AA12" i="72" s="1"/>
  <c r="Z9" i="72"/>
  <c r="Z10" i="72" s="1"/>
  <c r="M9" i="72"/>
  <c r="C9" i="72"/>
  <c r="M8" i="72"/>
  <c r="M7" i="72"/>
  <c r="A7" i="72"/>
  <c r="N6" i="72"/>
  <c r="N5" i="72"/>
  <c r="M4" i="72"/>
  <c r="N3" i="72"/>
  <c r="M2" i="72"/>
  <c r="I2" i="72"/>
  <c r="G2" i="72"/>
  <c r="N1" i="72"/>
  <c r="M1" i="72"/>
  <c r="D1" i="72"/>
  <c r="A3" i="3"/>
  <c r="C18" i="73" l="1"/>
  <c r="C20" i="73"/>
  <c r="C23" i="73" s="1"/>
  <c r="C35" i="73" s="1"/>
  <c r="C33" i="73" s="1"/>
  <c r="E11" i="72"/>
  <c r="E9" i="72"/>
  <c r="E8" i="72"/>
  <c r="E10" i="72"/>
  <c r="H113" i="72"/>
  <c r="F39" i="72"/>
  <c r="F38" i="72"/>
  <c r="F37" i="72"/>
  <c r="F36" i="72"/>
  <c r="F35" i="72"/>
  <c r="F34" i="72"/>
  <c r="F33" i="72"/>
  <c r="O17" i="72"/>
  <c r="M17" i="72"/>
  <c r="K17" i="72"/>
  <c r="I17" i="72"/>
  <c r="D17" i="72"/>
  <c r="S2" i="72"/>
  <c r="N101" i="72"/>
  <c r="L101" i="72"/>
  <c r="J101" i="72"/>
  <c r="H101" i="72"/>
  <c r="F101" i="72"/>
  <c r="D101" i="72"/>
  <c r="M101" i="72"/>
  <c r="I101" i="72"/>
  <c r="I109" i="72" s="1"/>
  <c r="E101" i="72"/>
  <c r="C23" i="72"/>
  <c r="J22" i="72"/>
  <c r="G22" i="72"/>
  <c r="E22" i="72"/>
  <c r="AJ11" i="72"/>
  <c r="AH11" i="72"/>
  <c r="AF11" i="72"/>
  <c r="AD11" i="72"/>
  <c r="AB11" i="72"/>
  <c r="Z11" i="72"/>
  <c r="S4" i="72"/>
  <c r="C6" i="72"/>
  <c r="S7" i="72"/>
  <c r="Z7" i="72"/>
  <c r="Y11" i="72"/>
  <c r="Y13" i="72" s="1"/>
  <c r="AC11" i="72"/>
  <c r="AG11" i="72"/>
  <c r="AG13" i="72" s="1"/>
  <c r="Z12" i="72"/>
  <c r="Z13" i="72" s="1"/>
  <c r="AD12" i="72"/>
  <c r="AH12" i="72"/>
  <c r="AH13" i="72" s="1"/>
  <c r="E17" i="72"/>
  <c r="J17" i="72"/>
  <c r="N17" i="72"/>
  <c r="P25" i="72"/>
  <c r="P21" i="72"/>
  <c r="M20" i="72"/>
  <c r="O19" i="72"/>
  <c r="C19" i="72"/>
  <c r="H22" i="72"/>
  <c r="P23" i="72"/>
  <c r="E109" i="72"/>
  <c r="M109" i="72"/>
  <c r="G101" i="72"/>
  <c r="B113" i="72"/>
  <c r="M12" i="72"/>
  <c r="N11" i="72"/>
  <c r="N10" i="72"/>
  <c r="N2" i="72"/>
  <c r="M3" i="72"/>
  <c r="S3" i="72"/>
  <c r="N4" i="72"/>
  <c r="M5" i="72"/>
  <c r="S5" i="72"/>
  <c r="M6" i="72"/>
  <c r="S6" i="72"/>
  <c r="N7" i="72"/>
  <c r="X7" i="72"/>
  <c r="N8" i="72"/>
  <c r="N9" i="72"/>
  <c r="F69" i="72" s="1"/>
  <c r="AC13" i="72"/>
  <c r="M10" i="72"/>
  <c r="AC10" i="72"/>
  <c r="AG10" i="72"/>
  <c r="AA11" i="72"/>
  <c r="AA13" i="72" s="1"/>
  <c r="AE11" i="72"/>
  <c r="AE13" i="72" s="1"/>
  <c r="AI11" i="72"/>
  <c r="AI13" i="72" s="1"/>
  <c r="N12" i="72"/>
  <c r="AB12" i="72"/>
  <c r="AB13" i="72" s="1"/>
  <c r="AF12" i="72"/>
  <c r="AF13" i="72" s="1"/>
  <c r="AJ12" i="72"/>
  <c r="AJ13" i="72" s="1"/>
  <c r="C17" i="72"/>
  <c r="H17" i="72"/>
  <c r="L17" i="72"/>
  <c r="F22" i="72"/>
  <c r="P22" i="72"/>
  <c r="P24" i="72"/>
  <c r="D109" i="72"/>
  <c r="F108" i="72"/>
  <c r="F109" i="72" s="1"/>
  <c r="F100" i="72"/>
  <c r="H108" i="72"/>
  <c r="H109" i="72" s="1"/>
  <c r="H100" i="72"/>
  <c r="J108" i="72"/>
  <c r="J109" i="72" s="1"/>
  <c r="J100" i="72"/>
  <c r="L108" i="72"/>
  <c r="L109" i="72" s="1"/>
  <c r="L100" i="72"/>
  <c r="N108" i="72"/>
  <c r="N109" i="72" s="1"/>
  <c r="N100" i="72"/>
  <c r="C101" i="72"/>
  <c r="K101" i="72"/>
  <c r="H48" i="72"/>
  <c r="H51" i="72"/>
  <c r="H52" i="72"/>
  <c r="H59" i="72"/>
  <c r="H62" i="72"/>
  <c r="H63" i="72"/>
  <c r="H81" i="72"/>
  <c r="H83" i="72"/>
  <c r="H85" i="72"/>
  <c r="E100" i="72"/>
  <c r="I100" i="72"/>
  <c r="M100" i="72"/>
  <c r="F20" i="6"/>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I2" i="71"/>
  <c r="N12" i="71" s="1"/>
  <c r="G2" i="71"/>
  <c r="K17" i="71" s="1"/>
  <c r="N1" i="71"/>
  <c r="G17" i="72" l="1"/>
  <c r="H75" i="72"/>
  <c r="H74" i="72"/>
  <c r="H72" i="72"/>
  <c r="H70" i="72"/>
  <c r="H77" i="72"/>
  <c r="H73" i="72"/>
  <c r="H69" i="72"/>
  <c r="H76" i="72"/>
  <c r="H71" i="72"/>
  <c r="C107" i="72"/>
  <c r="C105" i="72"/>
  <c r="C103" i="72"/>
  <c r="C106" i="72"/>
  <c r="C104" i="72"/>
  <c r="C102" i="72"/>
  <c r="K107" i="72"/>
  <c r="K105" i="72"/>
  <c r="K103" i="72"/>
  <c r="K106" i="72"/>
  <c r="K104" i="72"/>
  <c r="K102" i="72"/>
  <c r="G106" i="72"/>
  <c r="G104" i="72"/>
  <c r="G102" i="72"/>
  <c r="G109" i="72"/>
  <c r="G107" i="72"/>
  <c r="G105" i="72"/>
  <c r="G103" i="72"/>
  <c r="C5" i="72"/>
  <c r="D5" i="72"/>
  <c r="D22" i="72"/>
  <c r="C21" i="72" s="1"/>
  <c r="E107" i="72"/>
  <c r="E106" i="72"/>
  <c r="E105" i="72"/>
  <c r="E104" i="72"/>
  <c r="E103" i="72"/>
  <c r="E102" i="72"/>
  <c r="M107" i="72"/>
  <c r="M106" i="72"/>
  <c r="M105" i="72"/>
  <c r="M104" i="72"/>
  <c r="M103" i="72"/>
  <c r="M102" i="72"/>
  <c r="F107" i="72"/>
  <c r="F106" i="72"/>
  <c r="F105" i="72"/>
  <c r="F104" i="72"/>
  <c r="F103" i="72"/>
  <c r="F102" i="72"/>
  <c r="J107" i="72"/>
  <c r="J106" i="72"/>
  <c r="J105" i="72"/>
  <c r="J104" i="72"/>
  <c r="J103" i="72"/>
  <c r="J102" i="72"/>
  <c r="N107" i="72"/>
  <c r="N106" i="72"/>
  <c r="N105" i="72"/>
  <c r="N104" i="72"/>
  <c r="N103" i="72"/>
  <c r="N102" i="72"/>
  <c r="K109" i="72"/>
  <c r="I118" i="72"/>
  <c r="J118" i="72" s="1"/>
  <c r="K118" i="72" s="1"/>
  <c r="L118" i="72" s="1"/>
  <c r="M118" i="72" s="1"/>
  <c r="G118" i="72"/>
  <c r="H118" i="72" s="1"/>
  <c r="I117" i="72"/>
  <c r="J117" i="72" s="1"/>
  <c r="K117" i="72" s="1"/>
  <c r="L117" i="72" s="1"/>
  <c r="M117" i="72" s="1"/>
  <c r="I116" i="72"/>
  <c r="J116" i="72" s="1"/>
  <c r="K116" i="72" s="1"/>
  <c r="L116" i="72" s="1"/>
  <c r="M116" i="72" s="1"/>
  <c r="I115" i="72"/>
  <c r="J115" i="72" s="1"/>
  <c r="K115" i="72" s="1"/>
  <c r="L115" i="72" s="1"/>
  <c r="M115" i="72" s="1"/>
  <c r="D118" i="72"/>
  <c r="E118" i="72" s="1"/>
  <c r="F118" i="72" s="1"/>
  <c r="D117" i="72"/>
  <c r="E117" i="72" s="1"/>
  <c r="F117" i="72" s="1"/>
  <c r="G117" i="72" s="1"/>
  <c r="H117" i="72" s="1"/>
  <c r="D116" i="72"/>
  <c r="E116" i="72" s="1"/>
  <c r="F116" i="72" s="1"/>
  <c r="G116" i="72" s="1"/>
  <c r="H116" i="72" s="1"/>
  <c r="D115" i="72"/>
  <c r="E115" i="72" s="1"/>
  <c r="F115" i="72" s="1"/>
  <c r="G115" i="72" s="1"/>
  <c r="H115" i="72" s="1"/>
  <c r="B118" i="72"/>
  <c r="C118" i="72" s="1"/>
  <c r="B116" i="72"/>
  <c r="C116" i="72" s="1"/>
  <c r="B117" i="72"/>
  <c r="C117" i="72" s="1"/>
  <c r="B115" i="72"/>
  <c r="AD13" i="72"/>
  <c r="I107" i="72"/>
  <c r="I106" i="72"/>
  <c r="I105" i="72"/>
  <c r="I104" i="72"/>
  <c r="I103" i="72"/>
  <c r="I102" i="72"/>
  <c r="D107" i="72"/>
  <c r="D106" i="72"/>
  <c r="D105" i="72"/>
  <c r="D104" i="72"/>
  <c r="D103" i="72"/>
  <c r="D102" i="72"/>
  <c r="H107" i="72"/>
  <c r="H106" i="72"/>
  <c r="H105" i="72"/>
  <c r="H104" i="72"/>
  <c r="H103" i="72"/>
  <c r="H102" i="72"/>
  <c r="L107" i="72"/>
  <c r="L106" i="72"/>
  <c r="L105" i="72"/>
  <c r="L104" i="72"/>
  <c r="L103" i="72"/>
  <c r="L102" i="72"/>
  <c r="C109" i="72"/>
  <c r="C7" i="72"/>
  <c r="S2" i="7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C115" i="72" l="1"/>
  <c r="D113" i="72" s="1"/>
  <c r="N109" i="7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C5" i="3" s="1"/>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I4" i="6" s="1"/>
  <c r="G3" i="46" s="1"/>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AZ15" i="3"/>
  <c r="BK5" i="3"/>
  <c r="BO5" i="3"/>
  <c r="BP5" i="3"/>
  <c r="BN5" i="3"/>
  <c r="BL18" i="3"/>
  <c r="AZ18" i="3"/>
  <c r="BD5" i="3"/>
  <c r="BR5" i="3"/>
  <c r="G28" i="6" s="1"/>
  <c r="BS5" i="3"/>
  <c r="BQ5" i="3"/>
  <c r="BL16" i="3"/>
  <c r="BM5" i="3"/>
  <c r="BA13" i="3"/>
  <c r="G28" i="12"/>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B21" i="55" s="1"/>
  <c r="B72" i="63" s="1"/>
  <c r="C4" i="4"/>
  <c r="B20" i="55" s="1"/>
  <c r="B70" i="63" s="1"/>
  <c r="G66" i="36"/>
  <c r="J18" i="36"/>
  <c r="AC18" i="36" s="1"/>
  <c r="AE8" i="1"/>
  <c r="AE7" i="1"/>
  <c r="AE6" i="1"/>
  <c r="W18" i="36"/>
  <c r="AG6" i="1"/>
  <c r="L20" i="6"/>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F16" i="15"/>
  <c r="N4" i="65"/>
  <c r="B11" i="67"/>
  <c r="M27" i="15"/>
  <c r="B10" i="67"/>
  <c r="M22" i="15"/>
  <c r="B9" i="67"/>
  <c r="F14" i="67"/>
  <c r="L49" i="44"/>
  <c r="F8" i="67"/>
  <c r="N6" i="65"/>
  <c r="B12" i="67"/>
  <c r="J4" i="65"/>
  <c r="F38" i="15"/>
  <c r="I6" i="65"/>
  <c r="E11" i="67"/>
  <c r="F11" i="44"/>
  <c r="I5" i="65"/>
  <c r="M9" i="15"/>
  <c r="M29" i="15"/>
  <c r="F13" i="15"/>
  <c r="F9" i="44"/>
  <c r="I4" i="65"/>
  <c r="L47" i="15"/>
  <c r="N5" i="65"/>
  <c r="J17" i="44"/>
  <c r="M6" i="15"/>
  <c r="E9" i="67"/>
  <c r="I3" i="65"/>
  <c r="J36" i="15"/>
  <c r="M31" i="44"/>
  <c r="F42" i="15"/>
  <c r="L48" i="44"/>
  <c r="F46" i="44"/>
  <c r="J6" i="65"/>
  <c r="F9" i="67"/>
  <c r="B14" i="67"/>
  <c r="E14" i="67"/>
  <c r="N3" i="65"/>
  <c r="F15" i="44"/>
  <c r="F10" i="44"/>
  <c r="F36" i="15"/>
  <c r="M10" i="44"/>
  <c r="M30" i="44"/>
  <c r="F45" i="44"/>
  <c r="F11" i="67"/>
  <c r="F41" i="15"/>
  <c r="F28" i="44"/>
  <c r="F10" i="67"/>
  <c r="F9" i="15"/>
  <c r="F18" i="44"/>
  <c r="J15" i="15"/>
  <c r="B13" i="67"/>
  <c r="F40" i="44"/>
  <c r="F43" i="15"/>
  <c r="M26" i="15"/>
  <c r="B8" i="67"/>
  <c r="M23" i="15"/>
  <c r="I7" i="65"/>
  <c r="F43" i="44"/>
  <c r="M8" i="44"/>
  <c r="M26" i="44"/>
  <c r="F40" i="15"/>
  <c r="M8" i="15"/>
  <c r="M11" i="44"/>
  <c r="F12" i="67"/>
  <c r="N7" i="65"/>
  <c r="F38" i="44"/>
  <c r="F26" i="15"/>
  <c r="F8" i="15"/>
  <c r="M24" i="15"/>
  <c r="M25" i="44"/>
  <c r="F37" i="15"/>
  <c r="F6" i="15"/>
  <c r="F13" i="67"/>
  <c r="E13" i="67"/>
  <c r="E8" i="67"/>
  <c r="J7" i="65"/>
  <c r="E12" i="67"/>
  <c r="F39" i="44"/>
  <c r="J5" i="65"/>
  <c r="M28" i="15"/>
  <c r="F7" i="15"/>
  <c r="J3" i="65"/>
  <c r="M29" i="44"/>
  <c r="M28" i="44"/>
  <c r="L48" i="15"/>
  <c r="M24" i="44"/>
  <c r="F8" i="44"/>
  <c r="E10" i="67"/>
  <c r="E20" i="72" l="1"/>
  <c r="C7" i="46"/>
  <c r="K34" i="9"/>
  <c r="M85" i="9"/>
  <c r="N85" i="9" s="1"/>
  <c r="M88" i="9"/>
  <c r="N88" i="9" s="1"/>
  <c r="O40" i="9"/>
  <c r="K31" i="9" s="1"/>
  <c r="K32" i="9" s="1"/>
  <c r="G7" i="1"/>
  <c r="I20" i="71"/>
  <c r="C42" i="1"/>
  <c r="C15" i="43" s="1"/>
  <c r="G19" i="71"/>
  <c r="E20" i="7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D22" i="46"/>
  <c r="M20" i="44"/>
  <c r="O9" i="1"/>
  <c r="P9" i="1" s="1"/>
  <c r="O14" i="1"/>
  <c r="P14" i="1" s="1"/>
  <c r="J109"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6"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3" i="65"/>
  <c r="C18" i="44"/>
  <c r="E2" i="65"/>
  <c r="C95" i="9" l="1"/>
  <c r="C92" i="9" s="1"/>
  <c r="P28" i="72"/>
  <c r="N28" i="72"/>
  <c r="M28" i="72"/>
  <c r="O28" i="72"/>
  <c r="G20" i="72" s="1"/>
  <c r="M109" i="46"/>
  <c r="M102" i="46"/>
  <c r="M104" i="46"/>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E58" i="40" s="1"/>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E3" i="6" s="1"/>
  <c r="D16" i="43" s="1"/>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C34" i="12" l="1"/>
  <c r="D33" i="12" s="1"/>
  <c r="F20" i="43"/>
  <c r="F26" i="73"/>
  <c r="E41" i="72"/>
  <c r="C41" i="72" s="1"/>
  <c r="C20" i="72"/>
  <c r="H6" i="3"/>
  <c r="E6" i="3" s="1"/>
  <c r="G20" i="71"/>
  <c r="E41" i="71" s="1"/>
  <c r="C41" i="71" s="1"/>
  <c r="H75" i="46"/>
  <c r="H77" i="46"/>
  <c r="H73" i="46"/>
  <c r="H69" i="46"/>
  <c r="H71" i="46"/>
  <c r="H72" i="46"/>
  <c r="H70" i="46"/>
  <c r="H74" i="46"/>
  <c r="H76" i="46"/>
  <c r="D5" i="46"/>
  <c r="C5" i="46"/>
  <c r="D12" i="11"/>
  <c r="C12" i="11" s="1"/>
  <c r="F27" i="6"/>
  <c r="E58" i="39"/>
  <c r="S5" i="46"/>
  <c r="S7" i="46"/>
  <c r="C23" i="46"/>
  <c r="C21" i="46" s="1"/>
  <c r="M44" i="9"/>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D21" i="12"/>
  <c r="C13" i="12"/>
  <c r="D16" i="12"/>
  <c r="C17" i="12" l="1"/>
  <c r="C21" i="12"/>
  <c r="C27" i="73"/>
  <c r="D26" i="73" s="1"/>
  <c r="C32" i="73" s="1"/>
  <c r="D30" i="73" s="1"/>
  <c r="C28" i="73"/>
  <c r="C26" i="73" s="1"/>
  <c r="C31" i="73" s="1"/>
  <c r="C30" i="73" s="1"/>
  <c r="C37" i="72"/>
  <c r="C35" i="72"/>
  <c r="C33" i="72"/>
  <c r="T14" i="72"/>
  <c r="V14" i="72" s="1"/>
  <c r="T12" i="72"/>
  <c r="V12" i="72" s="1"/>
  <c r="T11" i="72"/>
  <c r="V11" i="72" s="1"/>
  <c r="T4" i="72"/>
  <c r="V4" i="72" s="1"/>
  <c r="T16" i="72"/>
  <c r="V16" i="72" s="1"/>
  <c r="T9" i="72"/>
  <c r="V9" i="72" s="1"/>
  <c r="T6" i="72"/>
  <c r="V6" i="72" s="1"/>
  <c r="T3" i="72"/>
  <c r="V3" i="72" s="1"/>
  <c r="C36" i="72"/>
  <c r="C34" i="72"/>
  <c r="T15" i="72"/>
  <c r="V15" i="72" s="1"/>
  <c r="T13" i="72"/>
  <c r="V13" i="72" s="1"/>
  <c r="C29" i="72"/>
  <c r="T7" i="72"/>
  <c r="V7" i="72" s="1"/>
  <c r="T2" i="72"/>
  <c r="V2" i="72" s="1"/>
  <c r="T10" i="72"/>
  <c r="V10" i="72" s="1"/>
  <c r="T8" i="72"/>
  <c r="V8" i="72" s="1"/>
  <c r="T5" i="72"/>
  <c r="V5" i="72" s="1"/>
  <c r="C38" i="46"/>
  <c r="G38" i="46" s="1"/>
  <c r="I38" i="46" s="1"/>
  <c r="C39" i="72"/>
  <c r="C38" i="72"/>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C30" i="46" s="1"/>
  <c r="T14" i="46"/>
  <c r="V14" i="46" s="1"/>
  <c r="T7" i="46"/>
  <c r="V7" i="46" s="1"/>
  <c r="G34" i="46"/>
  <c r="I34"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D22" i="12"/>
  <c r="F7" i="67"/>
  <c r="C19" i="44"/>
  <c r="C17" i="15"/>
  <c r="C36" i="73" l="1"/>
  <c r="B2" i="73" s="1"/>
  <c r="C22" i="12"/>
  <c r="C20" i="12" s="1"/>
  <c r="E38" i="46"/>
  <c r="E38" i="72"/>
  <c r="G38" i="72"/>
  <c r="I38" i="72" s="1"/>
  <c r="C30" i="72"/>
  <c r="E30" i="72" s="1"/>
  <c r="E29" i="72"/>
  <c r="E36" i="72"/>
  <c r="G36" i="72"/>
  <c r="I36" i="72" s="1"/>
  <c r="E35" i="72"/>
  <c r="G35" i="72"/>
  <c r="I35" i="72" s="1"/>
  <c r="E39" i="72"/>
  <c r="G39" i="72"/>
  <c r="I39" i="72" s="1"/>
  <c r="E34" i="72"/>
  <c r="G34" i="72"/>
  <c r="I34" i="72" s="1"/>
  <c r="E33" i="72"/>
  <c r="G33" i="72"/>
  <c r="I33" i="72" s="1"/>
  <c r="E37" i="72"/>
  <c r="G37" i="72"/>
  <c r="I37" i="72" s="1"/>
  <c r="C36" i="71"/>
  <c r="G36" i="71" s="1"/>
  <c r="I36" i="71" s="1"/>
  <c r="T10" i="71"/>
  <c r="V10" i="71" s="1"/>
  <c r="T8" i="71"/>
  <c r="V8" i="71" s="1"/>
  <c r="T13" i="71"/>
  <c r="V13" i="71" s="1"/>
  <c r="C34" i="71"/>
  <c r="G34" i="71" s="1"/>
  <c r="I34" i="71" s="1"/>
  <c r="C37" i="71"/>
  <c r="G37" i="71" s="1"/>
  <c r="I37" i="71" s="1"/>
  <c r="T6" i="71"/>
  <c r="V6" i="71" s="1"/>
  <c r="T12" i="71"/>
  <c r="V12"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G39" i="71"/>
  <c r="I39" i="71" s="1"/>
  <c r="E39" i="71"/>
  <c r="G33" i="71"/>
  <c r="I33" i="71" s="1"/>
  <c r="G38" i="71"/>
  <c r="I38" i="71" s="1"/>
  <c r="E38" i="71"/>
  <c r="E30" i="46"/>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C35" i="12" s="1"/>
  <c r="C33" i="12" s="1"/>
  <c r="D16" i="6"/>
  <c r="D27" i="6"/>
  <c r="D30" i="6"/>
  <c r="D7" i="66"/>
  <c r="D6" i="66"/>
  <c r="D8" i="66"/>
  <c r="A6" i="64"/>
  <c r="A20" i="64"/>
  <c r="A6" i="51"/>
  <c r="B7" i="63" s="1"/>
  <c r="A20" i="51"/>
  <c r="B15" i="63" s="1"/>
  <c r="N5" i="54"/>
  <c r="B43" i="63" s="1"/>
  <c r="E4" i="67"/>
  <c r="D77" i="9"/>
  <c r="N75" i="9" s="1"/>
  <c r="B5" i="73"/>
  <c r="B4" i="73"/>
  <c r="B3" i="73"/>
  <c r="E7" i="67"/>
  <c r="B7" i="67"/>
  <c r="E29" i="71" l="1"/>
  <c r="C26" i="72"/>
  <c r="B2" i="72" s="1"/>
  <c r="C27" i="72"/>
  <c r="E36" i="71"/>
  <c r="E37" i="71"/>
  <c r="E34" i="71"/>
  <c r="E35" i="71"/>
  <c r="C30" i="71"/>
  <c r="C27" i="46"/>
  <c r="C26" i="46"/>
  <c r="B2" i="46" s="1"/>
  <c r="B3" i="46" s="1"/>
  <c r="M20" i="6"/>
  <c r="I20" i="6" s="1"/>
  <c r="H20" i="6" s="1"/>
  <c r="R20" i="6" s="1"/>
  <c r="R7" i="1" s="1"/>
  <c r="S7" i="1"/>
  <c r="S16" i="1" s="1"/>
  <c r="T6" i="1" s="1"/>
  <c r="S25" i="6"/>
  <c r="H25" i="6"/>
  <c r="R25" i="6" s="1"/>
  <c r="S23" i="6"/>
  <c r="H23" i="6"/>
  <c r="R23" i="6" s="1"/>
  <c r="S20" i="6"/>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C28" i="12"/>
  <c r="C26" i="12" s="1"/>
  <c r="C31" i="12" s="1"/>
  <c r="C30" i="12" s="1"/>
  <c r="C36" i="12" s="1"/>
  <c r="B2" i="12" s="1"/>
  <c r="E3" i="67"/>
  <c r="B2" i="67"/>
  <c r="B3" i="12"/>
  <c r="F37" i="44"/>
  <c r="D20" i="9"/>
  <c r="F35" i="15"/>
  <c r="D19" i="9"/>
  <c r="M23" i="44"/>
  <c r="C19" i="9"/>
  <c r="C20" i="9"/>
  <c r="M21" i="15"/>
  <c r="D4" i="72" l="1"/>
  <c r="B3" i="72"/>
  <c r="B4" i="72"/>
  <c r="C26" i="71"/>
  <c r="B2" i="71" s="1"/>
  <c r="D4" i="71" s="1"/>
  <c r="E30" i="71"/>
  <c r="C27" i="71" s="1"/>
  <c r="L44" i="9"/>
  <c r="L43" i="9"/>
  <c r="D22" i="9"/>
  <c r="G19" i="9"/>
  <c r="N43" i="9" s="1"/>
  <c r="D4" i="46"/>
  <c r="T9" i="1"/>
  <c r="T7" i="1"/>
  <c r="T13" i="1"/>
  <c r="B4" i="46"/>
  <c r="T12" i="1"/>
  <c r="T11" i="1"/>
  <c r="T10" i="1"/>
  <c r="T8" i="1"/>
  <c r="T16" i="1"/>
  <c r="M27" i="6"/>
  <c r="I19" i="6"/>
  <c r="G20" i="9"/>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B4" i="12"/>
  <c r="B5" i="12"/>
  <c r="C21" i="9"/>
  <c r="C14" i="15"/>
  <c r="C16" i="44"/>
  <c r="D21" i="9"/>
  <c r="B3" i="71" l="1"/>
  <c r="B4" i="71"/>
  <c r="C32" i="9"/>
  <c r="O43" i="9" s="1"/>
  <c r="G22" i="9"/>
  <c r="G21" i="9"/>
  <c r="C15" i="15"/>
  <c r="C18" i="15"/>
  <c r="C20" i="44"/>
  <c r="C17" i="44"/>
  <c r="I27" i="6"/>
  <c r="S19" i="6"/>
  <c r="S27" i="6" s="1"/>
  <c r="H19" i="6"/>
  <c r="C34" i="9"/>
  <c r="C9" i="59"/>
  <c r="D10" i="59"/>
  <c r="K70" i="39"/>
  <c r="J72" i="39"/>
  <c r="K65" i="40"/>
  <c r="J67" i="40"/>
  <c r="C42" i="9" l="1"/>
  <c r="D63" i="9" s="1"/>
  <c r="C33" i="9"/>
  <c r="N38" i="9" s="1"/>
  <c r="K28" i="9" s="1"/>
  <c r="O38" i="9"/>
  <c r="K25" i="9" s="1"/>
  <c r="C35" i="9"/>
  <c r="F42" i="9" s="1"/>
  <c r="C21" i="44"/>
  <c r="C19" i="15"/>
  <c r="C20" i="15" s="1"/>
  <c r="C26" i="15" s="1"/>
  <c r="C22" i="44"/>
  <c r="C28" i="44" s="1"/>
  <c r="R19" i="6"/>
  <c r="H27" i="6"/>
  <c r="D42" i="9"/>
  <c r="Q5" i="54" s="1"/>
  <c r="B47" i="63" s="1"/>
  <c r="E42" i="9"/>
  <c r="P5" i="54" s="1"/>
  <c r="B46" i="63" s="1"/>
  <c r="M38" i="9"/>
  <c r="K27" i="9" s="1"/>
  <c r="C8" i="59"/>
  <c r="T9" i="59"/>
  <c r="D9" i="59"/>
  <c r="B5" i="43"/>
  <c r="B3" i="43"/>
  <c r="B4" i="43"/>
  <c r="K67" i="40"/>
  <c r="L65" i="40"/>
  <c r="K72" i="39"/>
  <c r="L70" i="39"/>
  <c r="R5" i="54" l="1"/>
  <c r="B48" i="63" s="1"/>
  <c r="N68" i="9"/>
  <c r="D14" i="66"/>
  <c r="E14" i="66" s="1"/>
  <c r="K26" i="9"/>
  <c r="C23" i="15"/>
  <c r="C29" i="15" s="1"/>
  <c r="C25" i="44"/>
  <c r="C31" i="44" s="1"/>
  <c r="R27" i="6"/>
  <c r="R6" i="1"/>
  <c r="R16" i="1" s="1"/>
  <c r="B5" i="66"/>
  <c r="C111" i="9"/>
  <c r="C104" i="9" s="1"/>
  <c r="D70" i="9"/>
  <c r="D73" i="9"/>
  <c r="N73" i="9" s="1"/>
  <c r="C103" i="9"/>
  <c r="C82" i="9"/>
  <c r="C81" i="9" s="1"/>
  <c r="C85" i="9" s="1"/>
  <c r="C86" i="9" s="1"/>
  <c r="D72" i="9" s="1"/>
  <c r="D71" i="9"/>
  <c r="D66" i="9" s="1"/>
  <c r="N72" i="9" s="1"/>
  <c r="C96" i="9"/>
  <c r="C91" i="9" s="1"/>
  <c r="C90" i="9"/>
  <c r="D8" i="59"/>
  <c r="C7" i="59"/>
  <c r="L67" i="40"/>
  <c r="M65" i="40"/>
  <c r="M70" i="39"/>
  <c r="L72" i="39"/>
  <c r="F14" i="66" l="1"/>
  <c r="C56" i="15"/>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10442F2E-20AB-4088-A1F1-625055F7A114}">
      <text>
        <r>
          <rPr>
            <b/>
            <sz val="9"/>
            <color indexed="81"/>
            <rFont val="宋体"/>
            <family val="3"/>
            <charset val="134"/>
          </rPr>
          <t>对应区片地价表</t>
        </r>
        <r>
          <rPr>
            <sz val="9"/>
            <color indexed="81"/>
            <rFont val="宋体"/>
            <family val="3"/>
            <charset val="134"/>
          </rPr>
          <t xml:space="preserve">
</t>
        </r>
      </text>
    </comment>
    <comment ref="Y9" authorId="1" shapeId="0" xr:uid="{11C02775-3F53-4872-A2E3-4E74C31D48C1}">
      <text>
        <r>
          <rPr>
            <sz val="11"/>
            <color indexed="81"/>
            <rFont val="宋体"/>
            <family val="3"/>
            <charset val="134"/>
          </rPr>
          <t xml:space="preserve">录入层数，将对应的结果录入至左侧相应层的楼层修正系数单元格中
</t>
        </r>
      </text>
    </comment>
    <comment ref="Z9" authorId="0" shapeId="0" xr:uid="{7BF78095-59E6-4BE4-BD6A-319F486605E6}">
      <text>
        <r>
          <rPr>
            <b/>
            <sz val="9"/>
            <color indexed="81"/>
            <rFont val="宋体"/>
            <family val="3"/>
            <charset val="134"/>
          </rPr>
          <t xml:space="preserve">所在楼层
</t>
        </r>
        <r>
          <rPr>
            <sz val="9"/>
            <color indexed="81"/>
            <rFont val="宋体"/>
            <family val="3"/>
            <charset val="134"/>
          </rPr>
          <t xml:space="preserve">
</t>
        </r>
      </text>
    </comment>
    <comment ref="AA9" authorId="0" shapeId="0" xr:uid="{52A9A668-0BB9-410C-B626-EF85E1EF9D74}">
      <text>
        <r>
          <rPr>
            <b/>
            <sz val="9"/>
            <color indexed="81"/>
            <rFont val="宋体"/>
            <family val="3"/>
            <charset val="134"/>
          </rPr>
          <t xml:space="preserve">所在楼层
</t>
        </r>
        <r>
          <rPr>
            <sz val="9"/>
            <color indexed="81"/>
            <rFont val="宋体"/>
            <family val="3"/>
            <charset val="134"/>
          </rPr>
          <t xml:space="preserve">
</t>
        </r>
      </text>
    </comment>
    <comment ref="AB9" authorId="0" shapeId="0" xr:uid="{937C5BCC-3A5E-44F0-8677-0B68BA71E852}">
      <text>
        <r>
          <rPr>
            <b/>
            <sz val="9"/>
            <color indexed="81"/>
            <rFont val="宋体"/>
            <family val="3"/>
            <charset val="134"/>
          </rPr>
          <t xml:space="preserve">所在楼层
</t>
        </r>
        <r>
          <rPr>
            <sz val="9"/>
            <color indexed="81"/>
            <rFont val="宋体"/>
            <family val="3"/>
            <charset val="134"/>
          </rPr>
          <t xml:space="preserve">
</t>
        </r>
      </text>
    </comment>
    <comment ref="AC9" authorId="0" shapeId="0" xr:uid="{32A53922-DC62-491A-9F79-783DC6A33605}">
      <text>
        <r>
          <rPr>
            <b/>
            <sz val="9"/>
            <color indexed="81"/>
            <rFont val="宋体"/>
            <family val="3"/>
            <charset val="134"/>
          </rPr>
          <t xml:space="preserve">所在楼层
</t>
        </r>
        <r>
          <rPr>
            <sz val="9"/>
            <color indexed="81"/>
            <rFont val="宋体"/>
            <family val="3"/>
            <charset val="134"/>
          </rPr>
          <t xml:space="preserve">
</t>
        </r>
      </text>
    </comment>
    <comment ref="AD9" authorId="0" shapeId="0" xr:uid="{63EEA742-EC5D-499C-9B5D-4E604D0D1CD6}">
      <text>
        <r>
          <rPr>
            <b/>
            <sz val="9"/>
            <color indexed="81"/>
            <rFont val="宋体"/>
            <family val="3"/>
            <charset val="134"/>
          </rPr>
          <t xml:space="preserve">所在楼层
</t>
        </r>
        <r>
          <rPr>
            <sz val="9"/>
            <color indexed="81"/>
            <rFont val="宋体"/>
            <family val="3"/>
            <charset val="134"/>
          </rPr>
          <t xml:space="preserve">
</t>
        </r>
      </text>
    </comment>
    <comment ref="AE9" authorId="0" shapeId="0" xr:uid="{36EA6B24-1E6A-4FE1-B7D6-FD5B1F7FAAD2}">
      <text>
        <r>
          <rPr>
            <b/>
            <sz val="9"/>
            <color indexed="81"/>
            <rFont val="宋体"/>
            <family val="3"/>
            <charset val="134"/>
          </rPr>
          <t xml:space="preserve">所在楼层
</t>
        </r>
        <r>
          <rPr>
            <sz val="9"/>
            <color indexed="81"/>
            <rFont val="宋体"/>
            <family val="3"/>
            <charset val="134"/>
          </rPr>
          <t xml:space="preserve">
</t>
        </r>
      </text>
    </comment>
    <comment ref="AF9" authorId="0" shapeId="0" xr:uid="{7D05060E-DC4B-4633-A867-63E00F484563}">
      <text>
        <r>
          <rPr>
            <b/>
            <sz val="9"/>
            <color indexed="81"/>
            <rFont val="宋体"/>
            <family val="3"/>
            <charset val="134"/>
          </rPr>
          <t xml:space="preserve">所在楼层
</t>
        </r>
        <r>
          <rPr>
            <sz val="9"/>
            <color indexed="81"/>
            <rFont val="宋体"/>
            <family val="3"/>
            <charset val="134"/>
          </rPr>
          <t xml:space="preserve">
</t>
        </r>
      </text>
    </comment>
    <comment ref="AG9" authorId="0" shapeId="0" xr:uid="{000FE65B-95AD-463B-8A10-9D29EB0A7ABF}">
      <text>
        <r>
          <rPr>
            <b/>
            <sz val="9"/>
            <color indexed="81"/>
            <rFont val="宋体"/>
            <family val="3"/>
            <charset val="134"/>
          </rPr>
          <t xml:space="preserve">所在楼层
</t>
        </r>
        <r>
          <rPr>
            <sz val="9"/>
            <color indexed="81"/>
            <rFont val="宋体"/>
            <family val="3"/>
            <charset val="134"/>
          </rPr>
          <t xml:space="preserve">
</t>
        </r>
      </text>
    </comment>
    <comment ref="AH9" authorId="0" shapeId="0" xr:uid="{56700CA9-CD7A-4CDC-914F-FD7F45F667C3}">
      <text>
        <r>
          <rPr>
            <b/>
            <sz val="9"/>
            <color indexed="81"/>
            <rFont val="宋体"/>
            <family val="3"/>
            <charset val="134"/>
          </rPr>
          <t xml:space="preserve">所在楼层
</t>
        </r>
        <r>
          <rPr>
            <sz val="9"/>
            <color indexed="81"/>
            <rFont val="宋体"/>
            <family val="3"/>
            <charset val="134"/>
          </rPr>
          <t xml:space="preserve">
</t>
        </r>
      </text>
    </comment>
    <comment ref="AI9" authorId="0" shapeId="0" xr:uid="{EFB7DEA4-9A78-4D4E-80A9-368459C02A28}">
      <text>
        <r>
          <rPr>
            <b/>
            <sz val="9"/>
            <color indexed="81"/>
            <rFont val="宋体"/>
            <family val="3"/>
            <charset val="134"/>
          </rPr>
          <t xml:space="preserve">所在楼层
</t>
        </r>
        <r>
          <rPr>
            <sz val="9"/>
            <color indexed="81"/>
            <rFont val="宋体"/>
            <family val="3"/>
            <charset val="134"/>
          </rPr>
          <t xml:space="preserve">
</t>
        </r>
      </text>
    </comment>
    <comment ref="AJ9" authorId="0" shapeId="0" xr:uid="{D610AEC7-4B6C-4B67-82B5-BE5694D1A7A2}">
      <text>
        <r>
          <rPr>
            <b/>
            <sz val="9"/>
            <color indexed="81"/>
            <rFont val="宋体"/>
            <family val="3"/>
            <charset val="134"/>
          </rPr>
          <t xml:space="preserve">所在楼层
</t>
        </r>
        <r>
          <rPr>
            <sz val="9"/>
            <color indexed="81"/>
            <rFont val="宋体"/>
            <family val="3"/>
            <charset val="134"/>
          </rPr>
          <t xml:space="preserve">
</t>
        </r>
      </text>
    </comment>
    <comment ref="Y12" authorId="0" shapeId="0" xr:uid="{9A1AA5BA-5371-44D2-B12A-0C79D7D9B503}">
      <text>
        <r>
          <rPr>
            <b/>
            <sz val="9"/>
            <color indexed="81"/>
            <rFont val="宋体"/>
            <family val="3"/>
            <charset val="134"/>
          </rPr>
          <t xml:space="preserve">所在楼层
</t>
        </r>
        <r>
          <rPr>
            <sz val="9"/>
            <color indexed="81"/>
            <rFont val="宋体"/>
            <family val="3"/>
            <charset val="134"/>
          </rPr>
          <t xml:space="preserve">
</t>
        </r>
      </text>
    </comment>
    <comment ref="Z12" authorId="0" shapeId="0" xr:uid="{4F129944-43A8-42C5-B67C-CE70482B400E}">
      <text>
        <r>
          <rPr>
            <b/>
            <sz val="9"/>
            <color indexed="81"/>
            <rFont val="宋体"/>
            <family val="3"/>
            <charset val="134"/>
          </rPr>
          <t xml:space="preserve">所在楼层
</t>
        </r>
        <r>
          <rPr>
            <sz val="9"/>
            <color indexed="81"/>
            <rFont val="宋体"/>
            <family val="3"/>
            <charset val="134"/>
          </rPr>
          <t xml:space="preserve">
</t>
        </r>
      </text>
    </comment>
    <comment ref="AA12" authorId="0" shapeId="0" xr:uid="{4C0849F0-8D90-484B-B2D2-69A0546106E2}">
      <text>
        <r>
          <rPr>
            <b/>
            <sz val="9"/>
            <color indexed="81"/>
            <rFont val="宋体"/>
            <family val="3"/>
            <charset val="134"/>
          </rPr>
          <t xml:space="preserve">所在楼层
</t>
        </r>
        <r>
          <rPr>
            <sz val="9"/>
            <color indexed="81"/>
            <rFont val="宋体"/>
            <family val="3"/>
            <charset val="134"/>
          </rPr>
          <t xml:space="preserve">
</t>
        </r>
      </text>
    </comment>
    <comment ref="AB12" authorId="0" shapeId="0" xr:uid="{EC2768BB-FE6C-4A36-BEC1-672273FCE9B5}">
      <text>
        <r>
          <rPr>
            <b/>
            <sz val="9"/>
            <color indexed="81"/>
            <rFont val="宋体"/>
            <family val="3"/>
            <charset val="134"/>
          </rPr>
          <t xml:space="preserve">所在楼层
</t>
        </r>
        <r>
          <rPr>
            <sz val="9"/>
            <color indexed="81"/>
            <rFont val="宋体"/>
            <family val="3"/>
            <charset val="134"/>
          </rPr>
          <t xml:space="preserve">
</t>
        </r>
      </text>
    </comment>
    <comment ref="AC12" authorId="0" shapeId="0" xr:uid="{2528A515-1BB1-4762-B5CC-CCC18375E0F8}">
      <text>
        <r>
          <rPr>
            <b/>
            <sz val="9"/>
            <color indexed="81"/>
            <rFont val="宋体"/>
            <family val="3"/>
            <charset val="134"/>
          </rPr>
          <t xml:space="preserve">所在楼层
</t>
        </r>
        <r>
          <rPr>
            <sz val="9"/>
            <color indexed="81"/>
            <rFont val="宋体"/>
            <family val="3"/>
            <charset val="134"/>
          </rPr>
          <t xml:space="preserve">
</t>
        </r>
      </text>
    </comment>
    <comment ref="AD12" authorId="0" shapeId="0" xr:uid="{CE21D3D9-1DC8-41A5-B749-30F69F9C3699}">
      <text>
        <r>
          <rPr>
            <b/>
            <sz val="9"/>
            <color indexed="81"/>
            <rFont val="宋体"/>
            <family val="3"/>
            <charset val="134"/>
          </rPr>
          <t xml:space="preserve">所在楼层
</t>
        </r>
        <r>
          <rPr>
            <sz val="9"/>
            <color indexed="81"/>
            <rFont val="宋体"/>
            <family val="3"/>
            <charset val="134"/>
          </rPr>
          <t xml:space="preserve">
</t>
        </r>
      </text>
    </comment>
    <comment ref="AE12" authorId="0" shapeId="0" xr:uid="{65BE59AA-8D86-4B3F-A3A9-9BE5911F9730}">
      <text>
        <r>
          <rPr>
            <b/>
            <sz val="9"/>
            <color indexed="81"/>
            <rFont val="宋体"/>
            <family val="3"/>
            <charset val="134"/>
          </rPr>
          <t xml:space="preserve">所在楼层
</t>
        </r>
        <r>
          <rPr>
            <sz val="9"/>
            <color indexed="81"/>
            <rFont val="宋体"/>
            <family val="3"/>
            <charset val="134"/>
          </rPr>
          <t xml:space="preserve">
</t>
        </r>
      </text>
    </comment>
    <comment ref="AF12" authorId="0" shapeId="0" xr:uid="{2F59FCA7-DD26-41A2-9501-355A0780EE73}">
      <text>
        <r>
          <rPr>
            <b/>
            <sz val="9"/>
            <color indexed="81"/>
            <rFont val="宋体"/>
            <family val="3"/>
            <charset val="134"/>
          </rPr>
          <t xml:space="preserve">所在楼层
</t>
        </r>
        <r>
          <rPr>
            <sz val="9"/>
            <color indexed="81"/>
            <rFont val="宋体"/>
            <family val="3"/>
            <charset val="134"/>
          </rPr>
          <t xml:space="preserve">
</t>
        </r>
      </text>
    </comment>
    <comment ref="AG12" authorId="0" shapeId="0" xr:uid="{2AB878E5-10D1-418D-BE1C-48EC142B6E51}">
      <text>
        <r>
          <rPr>
            <b/>
            <sz val="9"/>
            <color indexed="81"/>
            <rFont val="宋体"/>
            <family val="3"/>
            <charset val="134"/>
          </rPr>
          <t xml:space="preserve">所在楼层
</t>
        </r>
        <r>
          <rPr>
            <sz val="9"/>
            <color indexed="81"/>
            <rFont val="宋体"/>
            <family val="3"/>
            <charset val="134"/>
          </rPr>
          <t xml:space="preserve">
</t>
        </r>
      </text>
    </comment>
    <comment ref="AH12" authorId="0" shapeId="0" xr:uid="{98422055-C520-4BAA-ACBA-D9821139A4A0}">
      <text>
        <r>
          <rPr>
            <b/>
            <sz val="9"/>
            <color indexed="81"/>
            <rFont val="宋体"/>
            <family val="3"/>
            <charset val="134"/>
          </rPr>
          <t xml:space="preserve">所在楼层
</t>
        </r>
        <r>
          <rPr>
            <sz val="9"/>
            <color indexed="81"/>
            <rFont val="宋体"/>
            <family val="3"/>
            <charset val="134"/>
          </rPr>
          <t xml:space="preserve">
</t>
        </r>
      </text>
    </comment>
    <comment ref="AI12" authorId="0" shapeId="0" xr:uid="{AE470C51-2896-4FE3-A643-C53A989F14D1}">
      <text>
        <r>
          <rPr>
            <b/>
            <sz val="9"/>
            <color indexed="81"/>
            <rFont val="宋体"/>
            <family val="3"/>
            <charset val="134"/>
          </rPr>
          <t xml:space="preserve">所在楼层
</t>
        </r>
        <r>
          <rPr>
            <sz val="9"/>
            <color indexed="81"/>
            <rFont val="宋体"/>
            <family val="3"/>
            <charset val="134"/>
          </rPr>
          <t xml:space="preserve">
</t>
        </r>
      </text>
    </comment>
    <comment ref="AJ12" authorId="0" shapeId="0" xr:uid="{8923E430-AA7F-459E-9427-EF5854FE2B5E}">
      <text>
        <r>
          <rPr>
            <b/>
            <sz val="9"/>
            <color indexed="81"/>
            <rFont val="宋体"/>
            <family val="3"/>
            <charset val="134"/>
          </rPr>
          <t xml:space="preserve">所在楼层
</t>
        </r>
        <r>
          <rPr>
            <sz val="9"/>
            <color indexed="81"/>
            <rFont val="宋体"/>
            <family val="3"/>
            <charset val="134"/>
          </rPr>
          <t xml:space="preserve">
</t>
        </r>
      </text>
    </comment>
    <comment ref="D17" authorId="2" shapeId="0" xr:uid="{CB643F69-C2B9-4F06-8249-E8422EE3C7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D001C80E-DDE6-432A-94A5-7E8E2D55276A}">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512AA4B8-7BA7-4771-B46A-2E46D676AED8}">
      <text>
        <r>
          <rPr>
            <sz val="10"/>
            <color indexed="81"/>
            <rFont val="宋体"/>
            <family val="3"/>
            <charset val="134"/>
          </rPr>
          <t xml:space="preserve">需在此处填写剩余土地年限
</t>
        </r>
      </text>
    </comment>
    <comment ref="C99" authorId="0" shapeId="0" xr:uid="{2577706E-013E-4087-9DA9-1C03836D23FD}">
      <text>
        <r>
          <rPr>
            <b/>
            <sz val="9"/>
            <color indexed="81"/>
            <rFont val="宋体"/>
            <family val="3"/>
            <charset val="134"/>
          </rPr>
          <t xml:space="preserve">所在楼层
</t>
        </r>
        <r>
          <rPr>
            <sz val="9"/>
            <color indexed="81"/>
            <rFont val="宋体"/>
            <family val="3"/>
            <charset val="134"/>
          </rPr>
          <t xml:space="preserve">
</t>
        </r>
      </text>
    </comment>
    <comment ref="D99" authorId="0" shapeId="0" xr:uid="{15284EF5-6949-4A38-B4A6-F6240DE8BEF8}">
      <text>
        <r>
          <rPr>
            <b/>
            <sz val="9"/>
            <color indexed="81"/>
            <rFont val="宋体"/>
            <family val="3"/>
            <charset val="134"/>
          </rPr>
          <t xml:space="preserve">所在楼层
</t>
        </r>
        <r>
          <rPr>
            <sz val="9"/>
            <color indexed="81"/>
            <rFont val="宋体"/>
            <family val="3"/>
            <charset val="134"/>
          </rPr>
          <t xml:space="preserve">
</t>
        </r>
      </text>
    </comment>
    <comment ref="E99" authorId="0" shapeId="0" xr:uid="{5472D1A7-F647-41AD-A9EB-D5175AAA1878}">
      <text>
        <r>
          <rPr>
            <b/>
            <sz val="9"/>
            <color indexed="81"/>
            <rFont val="宋体"/>
            <family val="3"/>
            <charset val="134"/>
          </rPr>
          <t xml:space="preserve">所在楼层
</t>
        </r>
        <r>
          <rPr>
            <sz val="9"/>
            <color indexed="81"/>
            <rFont val="宋体"/>
            <family val="3"/>
            <charset val="134"/>
          </rPr>
          <t xml:space="preserve">
</t>
        </r>
      </text>
    </comment>
    <comment ref="F99" authorId="0" shapeId="0" xr:uid="{FC9DFC6D-B7FC-42F9-AB85-EE07E3357B14}">
      <text>
        <r>
          <rPr>
            <b/>
            <sz val="9"/>
            <color indexed="81"/>
            <rFont val="宋体"/>
            <family val="3"/>
            <charset val="134"/>
          </rPr>
          <t xml:space="preserve">所在楼层
</t>
        </r>
        <r>
          <rPr>
            <sz val="9"/>
            <color indexed="81"/>
            <rFont val="宋体"/>
            <family val="3"/>
            <charset val="134"/>
          </rPr>
          <t xml:space="preserve">
</t>
        </r>
      </text>
    </comment>
    <comment ref="G99" authorId="0" shapeId="0" xr:uid="{EF4C07F8-9FF2-4403-8067-AD65F5C3C3FF}">
      <text>
        <r>
          <rPr>
            <b/>
            <sz val="9"/>
            <color indexed="81"/>
            <rFont val="宋体"/>
            <family val="3"/>
            <charset val="134"/>
          </rPr>
          <t xml:space="preserve">所在楼层
</t>
        </r>
        <r>
          <rPr>
            <sz val="9"/>
            <color indexed="81"/>
            <rFont val="宋体"/>
            <family val="3"/>
            <charset val="134"/>
          </rPr>
          <t xml:space="preserve">
</t>
        </r>
      </text>
    </comment>
    <comment ref="H99" authorId="0" shapeId="0" xr:uid="{D1813940-FAB1-4809-A1DB-FEAE47356D49}">
      <text>
        <r>
          <rPr>
            <b/>
            <sz val="9"/>
            <color indexed="81"/>
            <rFont val="宋体"/>
            <family val="3"/>
            <charset val="134"/>
          </rPr>
          <t xml:space="preserve">所在楼层
</t>
        </r>
        <r>
          <rPr>
            <sz val="9"/>
            <color indexed="81"/>
            <rFont val="宋体"/>
            <family val="3"/>
            <charset val="134"/>
          </rPr>
          <t xml:space="preserve">
</t>
        </r>
      </text>
    </comment>
    <comment ref="I99" authorId="0" shapeId="0" xr:uid="{71EE370F-F09C-487F-9846-26564E855293}">
      <text>
        <r>
          <rPr>
            <b/>
            <sz val="9"/>
            <color indexed="81"/>
            <rFont val="宋体"/>
            <family val="3"/>
            <charset val="134"/>
          </rPr>
          <t xml:space="preserve">所在楼层
</t>
        </r>
        <r>
          <rPr>
            <sz val="9"/>
            <color indexed="81"/>
            <rFont val="宋体"/>
            <family val="3"/>
            <charset val="134"/>
          </rPr>
          <t xml:space="preserve">
</t>
        </r>
      </text>
    </comment>
    <comment ref="J99" authorId="0" shapeId="0" xr:uid="{2AA64C58-6EC6-43A5-B206-549C56733D2D}">
      <text>
        <r>
          <rPr>
            <b/>
            <sz val="9"/>
            <color indexed="81"/>
            <rFont val="宋体"/>
            <family val="3"/>
            <charset val="134"/>
          </rPr>
          <t xml:space="preserve">所在楼层
</t>
        </r>
        <r>
          <rPr>
            <sz val="9"/>
            <color indexed="81"/>
            <rFont val="宋体"/>
            <family val="3"/>
            <charset val="134"/>
          </rPr>
          <t xml:space="preserve">
</t>
        </r>
      </text>
    </comment>
    <comment ref="K99" authorId="0" shapeId="0" xr:uid="{0F02A4E1-776E-4CD0-8821-B145F49D8E9C}">
      <text>
        <r>
          <rPr>
            <b/>
            <sz val="9"/>
            <color indexed="81"/>
            <rFont val="宋体"/>
            <family val="3"/>
            <charset val="134"/>
          </rPr>
          <t xml:space="preserve">所在楼层
</t>
        </r>
        <r>
          <rPr>
            <sz val="9"/>
            <color indexed="81"/>
            <rFont val="宋体"/>
            <family val="3"/>
            <charset val="134"/>
          </rPr>
          <t xml:space="preserve">
</t>
        </r>
      </text>
    </comment>
    <comment ref="L99" authorId="0" shapeId="0" xr:uid="{0A34E844-13E4-4554-B370-F0AD36A7F8C0}">
      <text>
        <r>
          <rPr>
            <b/>
            <sz val="9"/>
            <color indexed="81"/>
            <rFont val="宋体"/>
            <family val="3"/>
            <charset val="134"/>
          </rPr>
          <t xml:space="preserve">所在楼层
</t>
        </r>
        <r>
          <rPr>
            <sz val="9"/>
            <color indexed="81"/>
            <rFont val="宋体"/>
            <family val="3"/>
            <charset val="134"/>
          </rPr>
          <t xml:space="preserve">
</t>
        </r>
      </text>
    </comment>
    <comment ref="M99" authorId="0" shapeId="0" xr:uid="{86843C20-AD16-419F-884C-DD95F57FAC50}">
      <text>
        <r>
          <rPr>
            <b/>
            <sz val="9"/>
            <color indexed="81"/>
            <rFont val="宋体"/>
            <family val="3"/>
            <charset val="134"/>
          </rPr>
          <t xml:space="preserve">所在楼层
</t>
        </r>
        <r>
          <rPr>
            <sz val="9"/>
            <color indexed="81"/>
            <rFont val="宋体"/>
            <family val="3"/>
            <charset val="134"/>
          </rPr>
          <t xml:space="preserve">
</t>
        </r>
      </text>
    </comment>
    <comment ref="N99" authorId="0" shapeId="0" xr:uid="{886E2F3B-61C3-42FA-88D8-45595E5E202C}">
      <text>
        <r>
          <rPr>
            <b/>
            <sz val="9"/>
            <color indexed="81"/>
            <rFont val="宋体"/>
            <family val="3"/>
            <charset val="134"/>
          </rPr>
          <t xml:space="preserve">所在楼层
</t>
        </r>
        <r>
          <rPr>
            <sz val="9"/>
            <color indexed="81"/>
            <rFont val="宋体"/>
            <family val="3"/>
            <charset val="134"/>
          </rPr>
          <t xml:space="preserve">
</t>
        </r>
      </text>
    </comment>
    <comment ref="C101" authorId="0" shapeId="0" xr:uid="{DB67451E-5962-4779-81C1-6D493E44211C}">
      <text>
        <r>
          <rPr>
            <b/>
            <sz val="9"/>
            <color indexed="81"/>
            <rFont val="宋体"/>
            <family val="3"/>
            <charset val="134"/>
          </rPr>
          <t xml:space="preserve">容积率
</t>
        </r>
      </text>
    </comment>
    <comment ref="D101" authorId="0" shapeId="0" xr:uid="{E4FC6744-6194-426D-A8AD-204C60609A7F}">
      <text>
        <r>
          <rPr>
            <b/>
            <sz val="9"/>
            <color indexed="81"/>
            <rFont val="宋体"/>
            <family val="3"/>
            <charset val="134"/>
          </rPr>
          <t xml:space="preserve">容积率
</t>
        </r>
      </text>
    </comment>
    <comment ref="E101" authorId="0" shapeId="0" xr:uid="{6CB1CEBD-6B0C-4180-A132-44EC6AA4B203}">
      <text>
        <r>
          <rPr>
            <b/>
            <sz val="9"/>
            <color indexed="81"/>
            <rFont val="宋体"/>
            <family val="3"/>
            <charset val="134"/>
          </rPr>
          <t xml:space="preserve">容积率
</t>
        </r>
      </text>
    </comment>
    <comment ref="F101" authorId="0" shapeId="0" xr:uid="{2FB1CE3D-941E-4965-A490-912305DDB633}">
      <text>
        <r>
          <rPr>
            <b/>
            <sz val="9"/>
            <color indexed="81"/>
            <rFont val="宋体"/>
            <family val="3"/>
            <charset val="134"/>
          </rPr>
          <t xml:space="preserve">容积率
</t>
        </r>
      </text>
    </comment>
    <comment ref="G101" authorId="0" shapeId="0" xr:uid="{138D7064-5E89-4907-AF7A-73531BBA2B94}">
      <text>
        <r>
          <rPr>
            <b/>
            <sz val="9"/>
            <color indexed="81"/>
            <rFont val="宋体"/>
            <family val="3"/>
            <charset val="134"/>
          </rPr>
          <t xml:space="preserve">容积率
</t>
        </r>
      </text>
    </comment>
    <comment ref="H101" authorId="0" shapeId="0" xr:uid="{4989FA83-879E-4FE7-ADEC-705F821E5E79}">
      <text>
        <r>
          <rPr>
            <b/>
            <sz val="9"/>
            <color indexed="81"/>
            <rFont val="宋体"/>
            <family val="3"/>
            <charset val="134"/>
          </rPr>
          <t xml:space="preserve">容积率
</t>
        </r>
      </text>
    </comment>
    <comment ref="I101" authorId="0" shapeId="0" xr:uid="{1774AA96-6AE7-4910-A04D-5215DA81DA62}">
      <text>
        <r>
          <rPr>
            <b/>
            <sz val="9"/>
            <color indexed="81"/>
            <rFont val="宋体"/>
            <family val="3"/>
            <charset val="134"/>
          </rPr>
          <t xml:space="preserve">容积率
</t>
        </r>
      </text>
    </comment>
    <comment ref="J101" authorId="0" shapeId="0" xr:uid="{04F9C4E8-0304-4C10-A13C-7E88D9266D6D}">
      <text>
        <r>
          <rPr>
            <b/>
            <sz val="9"/>
            <color indexed="81"/>
            <rFont val="宋体"/>
            <family val="3"/>
            <charset val="134"/>
          </rPr>
          <t xml:space="preserve">容积率
</t>
        </r>
      </text>
    </comment>
    <comment ref="K101" authorId="0" shapeId="0" xr:uid="{C02D729B-42B7-43AA-9398-381F87D26A81}">
      <text>
        <r>
          <rPr>
            <b/>
            <sz val="9"/>
            <color indexed="81"/>
            <rFont val="宋体"/>
            <family val="3"/>
            <charset val="134"/>
          </rPr>
          <t xml:space="preserve">容积率
</t>
        </r>
      </text>
    </comment>
    <comment ref="L101" authorId="0" shapeId="0" xr:uid="{BF91FD48-9A3B-4CD5-B813-E3664B199FBF}">
      <text>
        <r>
          <rPr>
            <b/>
            <sz val="9"/>
            <color indexed="81"/>
            <rFont val="宋体"/>
            <family val="3"/>
            <charset val="134"/>
          </rPr>
          <t xml:space="preserve">容积率
</t>
        </r>
      </text>
    </comment>
    <comment ref="M101" authorId="0" shapeId="0" xr:uid="{D7A9EA3C-766D-4490-9128-513353FBE572}">
      <text>
        <r>
          <rPr>
            <b/>
            <sz val="9"/>
            <color indexed="81"/>
            <rFont val="宋体"/>
            <family val="3"/>
            <charset val="134"/>
          </rPr>
          <t xml:space="preserve">容积率
</t>
        </r>
      </text>
    </comment>
    <comment ref="N101" authorId="0" shapeId="0" xr:uid="{4C30BF53-1063-499A-A2D0-5116E13ABB10}">
      <text>
        <r>
          <rPr>
            <b/>
            <sz val="9"/>
            <color indexed="81"/>
            <rFont val="宋体"/>
            <family val="3"/>
            <charset val="134"/>
          </rPr>
          <t xml:space="preserve">容积率
</t>
        </r>
      </text>
    </comment>
    <comment ref="C108" authorId="0" shapeId="0" xr:uid="{40BE4AF9-F684-4CC2-99B8-ED5B6067680C}">
      <text>
        <r>
          <rPr>
            <b/>
            <sz val="9"/>
            <color indexed="81"/>
            <rFont val="宋体"/>
            <family val="3"/>
            <charset val="134"/>
          </rPr>
          <t xml:space="preserve">所在楼层
</t>
        </r>
        <r>
          <rPr>
            <sz val="9"/>
            <color indexed="81"/>
            <rFont val="宋体"/>
            <family val="3"/>
            <charset val="134"/>
          </rPr>
          <t xml:space="preserve">
</t>
        </r>
      </text>
    </comment>
    <comment ref="D108" authorId="0" shapeId="0" xr:uid="{06FA609F-1A38-45AC-9BB1-FECC265CF90F}">
      <text>
        <r>
          <rPr>
            <b/>
            <sz val="9"/>
            <color indexed="81"/>
            <rFont val="宋体"/>
            <family val="3"/>
            <charset val="134"/>
          </rPr>
          <t xml:space="preserve">所在楼层
</t>
        </r>
        <r>
          <rPr>
            <sz val="9"/>
            <color indexed="81"/>
            <rFont val="宋体"/>
            <family val="3"/>
            <charset val="134"/>
          </rPr>
          <t xml:space="preserve">
</t>
        </r>
      </text>
    </comment>
    <comment ref="E108" authorId="0" shapeId="0" xr:uid="{CA798910-9A3D-4259-B42B-9E5A40770E94}">
      <text>
        <r>
          <rPr>
            <b/>
            <sz val="9"/>
            <color indexed="81"/>
            <rFont val="宋体"/>
            <family val="3"/>
            <charset val="134"/>
          </rPr>
          <t xml:space="preserve">所在楼层
</t>
        </r>
        <r>
          <rPr>
            <sz val="9"/>
            <color indexed="81"/>
            <rFont val="宋体"/>
            <family val="3"/>
            <charset val="134"/>
          </rPr>
          <t xml:space="preserve">
</t>
        </r>
      </text>
    </comment>
    <comment ref="F108" authorId="0" shapeId="0" xr:uid="{F63945CE-A22D-423B-AF78-34A8DFC240D7}">
      <text>
        <r>
          <rPr>
            <b/>
            <sz val="9"/>
            <color indexed="81"/>
            <rFont val="宋体"/>
            <family val="3"/>
            <charset val="134"/>
          </rPr>
          <t xml:space="preserve">所在楼层
</t>
        </r>
        <r>
          <rPr>
            <sz val="9"/>
            <color indexed="81"/>
            <rFont val="宋体"/>
            <family val="3"/>
            <charset val="134"/>
          </rPr>
          <t xml:space="preserve">
</t>
        </r>
      </text>
    </comment>
    <comment ref="G108" authorId="0" shapeId="0" xr:uid="{6D63EFDD-8FCF-439E-A1E0-9216E36B78B4}">
      <text>
        <r>
          <rPr>
            <b/>
            <sz val="9"/>
            <color indexed="81"/>
            <rFont val="宋体"/>
            <family val="3"/>
            <charset val="134"/>
          </rPr>
          <t xml:space="preserve">所在楼层
</t>
        </r>
        <r>
          <rPr>
            <sz val="9"/>
            <color indexed="81"/>
            <rFont val="宋体"/>
            <family val="3"/>
            <charset val="134"/>
          </rPr>
          <t xml:space="preserve">
</t>
        </r>
      </text>
    </comment>
    <comment ref="H108" authorId="0" shapeId="0" xr:uid="{CB285552-C7BE-4C9B-9349-D6B77532233B}">
      <text>
        <r>
          <rPr>
            <b/>
            <sz val="9"/>
            <color indexed="81"/>
            <rFont val="宋体"/>
            <family val="3"/>
            <charset val="134"/>
          </rPr>
          <t xml:space="preserve">所在楼层
</t>
        </r>
        <r>
          <rPr>
            <sz val="9"/>
            <color indexed="81"/>
            <rFont val="宋体"/>
            <family val="3"/>
            <charset val="134"/>
          </rPr>
          <t xml:space="preserve">
</t>
        </r>
      </text>
    </comment>
    <comment ref="I108" authorId="0" shapeId="0" xr:uid="{51E9A9B0-9CCC-4030-B985-3355B53E9777}">
      <text>
        <r>
          <rPr>
            <b/>
            <sz val="9"/>
            <color indexed="81"/>
            <rFont val="宋体"/>
            <family val="3"/>
            <charset val="134"/>
          </rPr>
          <t xml:space="preserve">所在楼层
</t>
        </r>
        <r>
          <rPr>
            <sz val="9"/>
            <color indexed="81"/>
            <rFont val="宋体"/>
            <family val="3"/>
            <charset val="134"/>
          </rPr>
          <t xml:space="preserve">
</t>
        </r>
      </text>
    </comment>
    <comment ref="J108" authorId="0" shapeId="0" xr:uid="{5D326D0A-4218-48F2-B9E9-69261F7B4F71}">
      <text>
        <r>
          <rPr>
            <b/>
            <sz val="9"/>
            <color indexed="81"/>
            <rFont val="宋体"/>
            <family val="3"/>
            <charset val="134"/>
          </rPr>
          <t xml:space="preserve">所在楼层
</t>
        </r>
        <r>
          <rPr>
            <sz val="9"/>
            <color indexed="81"/>
            <rFont val="宋体"/>
            <family val="3"/>
            <charset val="134"/>
          </rPr>
          <t xml:space="preserve">
</t>
        </r>
      </text>
    </comment>
    <comment ref="K108" authorId="0" shapeId="0" xr:uid="{BEDE2270-AB43-420F-8189-2BE3EAB7DB08}">
      <text>
        <r>
          <rPr>
            <b/>
            <sz val="9"/>
            <color indexed="81"/>
            <rFont val="宋体"/>
            <family val="3"/>
            <charset val="134"/>
          </rPr>
          <t xml:space="preserve">所在楼层
</t>
        </r>
        <r>
          <rPr>
            <sz val="9"/>
            <color indexed="81"/>
            <rFont val="宋体"/>
            <family val="3"/>
            <charset val="134"/>
          </rPr>
          <t xml:space="preserve">
</t>
        </r>
      </text>
    </comment>
    <comment ref="L108" authorId="0" shapeId="0" xr:uid="{1BBCA85F-74F9-4AC0-B1DB-7AC83263F863}">
      <text>
        <r>
          <rPr>
            <b/>
            <sz val="9"/>
            <color indexed="81"/>
            <rFont val="宋体"/>
            <family val="3"/>
            <charset val="134"/>
          </rPr>
          <t xml:space="preserve">所在楼层
</t>
        </r>
        <r>
          <rPr>
            <sz val="9"/>
            <color indexed="81"/>
            <rFont val="宋体"/>
            <family val="3"/>
            <charset val="134"/>
          </rPr>
          <t xml:space="preserve">
</t>
        </r>
      </text>
    </comment>
    <comment ref="M108" authorId="0" shapeId="0" xr:uid="{5E5706C3-8E92-4062-9063-A0A55E2C8573}">
      <text>
        <r>
          <rPr>
            <b/>
            <sz val="9"/>
            <color indexed="81"/>
            <rFont val="宋体"/>
            <family val="3"/>
            <charset val="134"/>
          </rPr>
          <t xml:space="preserve">所在楼层
</t>
        </r>
        <r>
          <rPr>
            <sz val="9"/>
            <color indexed="81"/>
            <rFont val="宋体"/>
            <family val="3"/>
            <charset val="134"/>
          </rPr>
          <t xml:space="preserve">
</t>
        </r>
      </text>
    </comment>
    <comment ref="N108" authorId="0" shapeId="0" xr:uid="{4C3C7F49-F05D-43FE-A196-AF396D784C64}">
      <text>
        <r>
          <rPr>
            <b/>
            <sz val="9"/>
            <color indexed="81"/>
            <rFont val="宋体"/>
            <family val="3"/>
            <charset val="134"/>
          </rPr>
          <t xml:space="preserve">所在楼层
</t>
        </r>
        <r>
          <rPr>
            <sz val="9"/>
            <color indexed="81"/>
            <rFont val="宋体"/>
            <family val="3"/>
            <charset val="134"/>
          </rPr>
          <t xml:space="preserve">
</t>
        </r>
      </text>
    </comment>
    <comment ref="D113" authorId="0" shapeId="0" xr:uid="{8D4D64F2-E53B-4FDC-8D46-71505710A1C5}">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404B339-B37A-4295-8E61-2BDC9C454F3D}">
      <text>
        <r>
          <rPr>
            <b/>
            <sz val="9"/>
            <color indexed="81"/>
            <rFont val="宋体"/>
            <family val="3"/>
            <charset val="134"/>
          </rPr>
          <t>对应区片地价表</t>
        </r>
        <r>
          <rPr>
            <sz val="9"/>
            <color indexed="81"/>
            <rFont val="宋体"/>
            <family val="3"/>
            <charset val="134"/>
          </rPr>
          <t xml:space="preserve">
</t>
        </r>
      </text>
    </comment>
    <comment ref="Y9" authorId="1" shapeId="0" xr:uid="{75D80AE5-0FDF-4A13-BF8E-4C90F9804860}">
      <text>
        <r>
          <rPr>
            <sz val="11"/>
            <color indexed="81"/>
            <rFont val="宋体"/>
            <family val="3"/>
            <charset val="134"/>
          </rPr>
          <t xml:space="preserve">录入层数，将对应的结果录入至左侧相应层的楼层修正系数单元格中
</t>
        </r>
      </text>
    </comment>
    <comment ref="Z9" authorId="0" shapeId="0" xr:uid="{E6A33791-308D-4DFB-BDB5-2F9BE1CF6597}">
      <text>
        <r>
          <rPr>
            <b/>
            <sz val="9"/>
            <color indexed="81"/>
            <rFont val="宋体"/>
            <family val="3"/>
            <charset val="134"/>
          </rPr>
          <t xml:space="preserve">所在楼层
</t>
        </r>
        <r>
          <rPr>
            <sz val="9"/>
            <color indexed="81"/>
            <rFont val="宋体"/>
            <family val="3"/>
            <charset val="134"/>
          </rPr>
          <t xml:space="preserve">
</t>
        </r>
      </text>
    </comment>
    <comment ref="AA9" authorId="0" shapeId="0" xr:uid="{9011C90D-0D9E-418D-BA31-74D35B01D5D8}">
      <text>
        <r>
          <rPr>
            <b/>
            <sz val="9"/>
            <color indexed="81"/>
            <rFont val="宋体"/>
            <family val="3"/>
            <charset val="134"/>
          </rPr>
          <t xml:space="preserve">所在楼层
</t>
        </r>
        <r>
          <rPr>
            <sz val="9"/>
            <color indexed="81"/>
            <rFont val="宋体"/>
            <family val="3"/>
            <charset val="134"/>
          </rPr>
          <t xml:space="preserve">
</t>
        </r>
      </text>
    </comment>
    <comment ref="AB9" authorId="0" shapeId="0" xr:uid="{EDA3CEFA-D993-455C-B508-68C2ADF5480B}">
      <text>
        <r>
          <rPr>
            <b/>
            <sz val="9"/>
            <color indexed="81"/>
            <rFont val="宋体"/>
            <family val="3"/>
            <charset val="134"/>
          </rPr>
          <t xml:space="preserve">所在楼层
</t>
        </r>
        <r>
          <rPr>
            <sz val="9"/>
            <color indexed="81"/>
            <rFont val="宋体"/>
            <family val="3"/>
            <charset val="134"/>
          </rPr>
          <t xml:space="preserve">
</t>
        </r>
      </text>
    </comment>
    <comment ref="AC9" authorId="0" shapeId="0" xr:uid="{C852BB83-66FF-4D3B-BCBE-CE62E736BA7C}">
      <text>
        <r>
          <rPr>
            <b/>
            <sz val="9"/>
            <color indexed="81"/>
            <rFont val="宋体"/>
            <family val="3"/>
            <charset val="134"/>
          </rPr>
          <t xml:space="preserve">所在楼层
</t>
        </r>
        <r>
          <rPr>
            <sz val="9"/>
            <color indexed="81"/>
            <rFont val="宋体"/>
            <family val="3"/>
            <charset val="134"/>
          </rPr>
          <t xml:space="preserve">
</t>
        </r>
      </text>
    </comment>
    <comment ref="AD9" authorId="0" shapeId="0" xr:uid="{2416EB2D-0220-462C-9DC6-47B428773ECD}">
      <text>
        <r>
          <rPr>
            <b/>
            <sz val="9"/>
            <color indexed="81"/>
            <rFont val="宋体"/>
            <family val="3"/>
            <charset val="134"/>
          </rPr>
          <t xml:space="preserve">所在楼层
</t>
        </r>
        <r>
          <rPr>
            <sz val="9"/>
            <color indexed="81"/>
            <rFont val="宋体"/>
            <family val="3"/>
            <charset val="134"/>
          </rPr>
          <t xml:space="preserve">
</t>
        </r>
      </text>
    </comment>
    <comment ref="AE9" authorId="0" shapeId="0" xr:uid="{701EA4DE-334C-40EC-B3D2-7F47DE797DD4}">
      <text>
        <r>
          <rPr>
            <b/>
            <sz val="9"/>
            <color indexed="81"/>
            <rFont val="宋体"/>
            <family val="3"/>
            <charset val="134"/>
          </rPr>
          <t xml:space="preserve">所在楼层
</t>
        </r>
        <r>
          <rPr>
            <sz val="9"/>
            <color indexed="81"/>
            <rFont val="宋体"/>
            <family val="3"/>
            <charset val="134"/>
          </rPr>
          <t xml:space="preserve">
</t>
        </r>
      </text>
    </comment>
    <comment ref="AF9" authorId="0" shapeId="0" xr:uid="{6925BC41-4C13-4505-B31D-D2935A50FD99}">
      <text>
        <r>
          <rPr>
            <b/>
            <sz val="9"/>
            <color indexed="81"/>
            <rFont val="宋体"/>
            <family val="3"/>
            <charset val="134"/>
          </rPr>
          <t xml:space="preserve">所在楼层
</t>
        </r>
        <r>
          <rPr>
            <sz val="9"/>
            <color indexed="81"/>
            <rFont val="宋体"/>
            <family val="3"/>
            <charset val="134"/>
          </rPr>
          <t xml:space="preserve">
</t>
        </r>
      </text>
    </comment>
    <comment ref="AG9" authorId="0" shapeId="0" xr:uid="{69B4703F-4F09-4C9C-8A80-9C4D39D541CE}">
      <text>
        <r>
          <rPr>
            <b/>
            <sz val="9"/>
            <color indexed="81"/>
            <rFont val="宋体"/>
            <family val="3"/>
            <charset val="134"/>
          </rPr>
          <t xml:space="preserve">所在楼层
</t>
        </r>
        <r>
          <rPr>
            <sz val="9"/>
            <color indexed="81"/>
            <rFont val="宋体"/>
            <family val="3"/>
            <charset val="134"/>
          </rPr>
          <t xml:space="preserve">
</t>
        </r>
      </text>
    </comment>
    <comment ref="AH9" authorId="0" shapeId="0" xr:uid="{4E98F04F-90F2-4ED2-AF61-48960FB0CA2D}">
      <text>
        <r>
          <rPr>
            <b/>
            <sz val="9"/>
            <color indexed="81"/>
            <rFont val="宋体"/>
            <family val="3"/>
            <charset val="134"/>
          </rPr>
          <t xml:space="preserve">所在楼层
</t>
        </r>
        <r>
          <rPr>
            <sz val="9"/>
            <color indexed="81"/>
            <rFont val="宋体"/>
            <family val="3"/>
            <charset val="134"/>
          </rPr>
          <t xml:space="preserve">
</t>
        </r>
      </text>
    </comment>
    <comment ref="AI9" authorId="0" shapeId="0" xr:uid="{50C4EE98-8AAE-4A14-BA6D-0D8B687239DB}">
      <text>
        <r>
          <rPr>
            <b/>
            <sz val="9"/>
            <color indexed="81"/>
            <rFont val="宋体"/>
            <family val="3"/>
            <charset val="134"/>
          </rPr>
          <t xml:space="preserve">所在楼层
</t>
        </r>
        <r>
          <rPr>
            <sz val="9"/>
            <color indexed="81"/>
            <rFont val="宋体"/>
            <family val="3"/>
            <charset val="134"/>
          </rPr>
          <t xml:space="preserve">
</t>
        </r>
      </text>
    </comment>
    <comment ref="AJ9" authorId="0" shapeId="0" xr:uid="{3C5DF8EB-321D-4918-908A-AC5FF2AA1203}">
      <text>
        <r>
          <rPr>
            <b/>
            <sz val="9"/>
            <color indexed="81"/>
            <rFont val="宋体"/>
            <family val="3"/>
            <charset val="134"/>
          </rPr>
          <t xml:space="preserve">所在楼层
</t>
        </r>
        <r>
          <rPr>
            <sz val="9"/>
            <color indexed="81"/>
            <rFont val="宋体"/>
            <family val="3"/>
            <charset val="134"/>
          </rPr>
          <t xml:space="preserve">
</t>
        </r>
      </text>
    </comment>
    <comment ref="Y12" authorId="0" shapeId="0" xr:uid="{1AED5F46-1138-4DFD-B9FC-F0314BABC243}">
      <text>
        <r>
          <rPr>
            <b/>
            <sz val="9"/>
            <color indexed="81"/>
            <rFont val="宋体"/>
            <family val="3"/>
            <charset val="134"/>
          </rPr>
          <t xml:space="preserve">所在楼层
</t>
        </r>
        <r>
          <rPr>
            <sz val="9"/>
            <color indexed="81"/>
            <rFont val="宋体"/>
            <family val="3"/>
            <charset val="134"/>
          </rPr>
          <t xml:space="preserve">
</t>
        </r>
      </text>
    </comment>
    <comment ref="Z12" authorId="0" shapeId="0" xr:uid="{14C448A2-8657-4B11-B6BD-6482B3D89F0E}">
      <text>
        <r>
          <rPr>
            <b/>
            <sz val="9"/>
            <color indexed="81"/>
            <rFont val="宋体"/>
            <family val="3"/>
            <charset val="134"/>
          </rPr>
          <t xml:space="preserve">所在楼层
</t>
        </r>
        <r>
          <rPr>
            <sz val="9"/>
            <color indexed="81"/>
            <rFont val="宋体"/>
            <family val="3"/>
            <charset val="134"/>
          </rPr>
          <t xml:space="preserve">
</t>
        </r>
      </text>
    </comment>
    <comment ref="AA12" authorId="0" shapeId="0" xr:uid="{5D2B8D3B-AE3B-4AFB-9BDC-7A7E0F2FA8CB}">
      <text>
        <r>
          <rPr>
            <b/>
            <sz val="9"/>
            <color indexed="81"/>
            <rFont val="宋体"/>
            <family val="3"/>
            <charset val="134"/>
          </rPr>
          <t xml:space="preserve">所在楼层
</t>
        </r>
        <r>
          <rPr>
            <sz val="9"/>
            <color indexed="81"/>
            <rFont val="宋体"/>
            <family val="3"/>
            <charset val="134"/>
          </rPr>
          <t xml:space="preserve">
</t>
        </r>
      </text>
    </comment>
    <comment ref="AB12" authorId="0" shapeId="0" xr:uid="{259D1AD6-A363-43DE-AD75-8EF781048D3D}">
      <text>
        <r>
          <rPr>
            <b/>
            <sz val="9"/>
            <color indexed="81"/>
            <rFont val="宋体"/>
            <family val="3"/>
            <charset val="134"/>
          </rPr>
          <t xml:space="preserve">所在楼层
</t>
        </r>
        <r>
          <rPr>
            <sz val="9"/>
            <color indexed="81"/>
            <rFont val="宋体"/>
            <family val="3"/>
            <charset val="134"/>
          </rPr>
          <t xml:space="preserve">
</t>
        </r>
      </text>
    </comment>
    <comment ref="AC12" authorId="0" shapeId="0" xr:uid="{ED0320A5-3F00-4AFC-A0EB-3D97ABDBE63A}">
      <text>
        <r>
          <rPr>
            <b/>
            <sz val="9"/>
            <color indexed="81"/>
            <rFont val="宋体"/>
            <family val="3"/>
            <charset val="134"/>
          </rPr>
          <t xml:space="preserve">所在楼层
</t>
        </r>
        <r>
          <rPr>
            <sz val="9"/>
            <color indexed="81"/>
            <rFont val="宋体"/>
            <family val="3"/>
            <charset val="134"/>
          </rPr>
          <t xml:space="preserve">
</t>
        </r>
      </text>
    </comment>
    <comment ref="AD12" authorId="0" shapeId="0" xr:uid="{F855D051-1750-4122-8009-965F4EE7A2B5}">
      <text>
        <r>
          <rPr>
            <b/>
            <sz val="9"/>
            <color indexed="81"/>
            <rFont val="宋体"/>
            <family val="3"/>
            <charset val="134"/>
          </rPr>
          <t xml:space="preserve">所在楼层
</t>
        </r>
        <r>
          <rPr>
            <sz val="9"/>
            <color indexed="81"/>
            <rFont val="宋体"/>
            <family val="3"/>
            <charset val="134"/>
          </rPr>
          <t xml:space="preserve">
</t>
        </r>
      </text>
    </comment>
    <comment ref="AE12" authorId="0" shapeId="0" xr:uid="{701385F3-220B-4FE3-B0A5-52AD59CF1653}">
      <text>
        <r>
          <rPr>
            <b/>
            <sz val="9"/>
            <color indexed="81"/>
            <rFont val="宋体"/>
            <family val="3"/>
            <charset val="134"/>
          </rPr>
          <t xml:space="preserve">所在楼层
</t>
        </r>
        <r>
          <rPr>
            <sz val="9"/>
            <color indexed="81"/>
            <rFont val="宋体"/>
            <family val="3"/>
            <charset val="134"/>
          </rPr>
          <t xml:space="preserve">
</t>
        </r>
      </text>
    </comment>
    <comment ref="AF12" authorId="0" shapeId="0" xr:uid="{269E6009-8A5A-4896-9429-0DA8D3E3298E}">
      <text>
        <r>
          <rPr>
            <b/>
            <sz val="9"/>
            <color indexed="81"/>
            <rFont val="宋体"/>
            <family val="3"/>
            <charset val="134"/>
          </rPr>
          <t xml:space="preserve">所在楼层
</t>
        </r>
        <r>
          <rPr>
            <sz val="9"/>
            <color indexed="81"/>
            <rFont val="宋体"/>
            <family val="3"/>
            <charset val="134"/>
          </rPr>
          <t xml:space="preserve">
</t>
        </r>
      </text>
    </comment>
    <comment ref="AG12" authorId="0" shapeId="0" xr:uid="{E7866727-2B8B-486D-B852-A63EBCEF8FD0}">
      <text>
        <r>
          <rPr>
            <b/>
            <sz val="9"/>
            <color indexed="81"/>
            <rFont val="宋体"/>
            <family val="3"/>
            <charset val="134"/>
          </rPr>
          <t xml:space="preserve">所在楼层
</t>
        </r>
        <r>
          <rPr>
            <sz val="9"/>
            <color indexed="81"/>
            <rFont val="宋体"/>
            <family val="3"/>
            <charset val="134"/>
          </rPr>
          <t xml:space="preserve">
</t>
        </r>
      </text>
    </comment>
    <comment ref="AH12" authorId="0" shapeId="0" xr:uid="{35990657-517D-4427-AD33-54C17740552D}">
      <text>
        <r>
          <rPr>
            <b/>
            <sz val="9"/>
            <color indexed="81"/>
            <rFont val="宋体"/>
            <family val="3"/>
            <charset val="134"/>
          </rPr>
          <t xml:space="preserve">所在楼层
</t>
        </r>
        <r>
          <rPr>
            <sz val="9"/>
            <color indexed="81"/>
            <rFont val="宋体"/>
            <family val="3"/>
            <charset val="134"/>
          </rPr>
          <t xml:space="preserve">
</t>
        </r>
      </text>
    </comment>
    <comment ref="AI12" authorId="0" shapeId="0" xr:uid="{26960FCB-733A-4204-ACE0-1606F477E4D1}">
      <text>
        <r>
          <rPr>
            <b/>
            <sz val="9"/>
            <color indexed="81"/>
            <rFont val="宋体"/>
            <family val="3"/>
            <charset val="134"/>
          </rPr>
          <t xml:space="preserve">所在楼层
</t>
        </r>
        <r>
          <rPr>
            <sz val="9"/>
            <color indexed="81"/>
            <rFont val="宋体"/>
            <family val="3"/>
            <charset val="134"/>
          </rPr>
          <t xml:space="preserve">
</t>
        </r>
      </text>
    </comment>
    <comment ref="AJ12" authorId="0" shapeId="0" xr:uid="{52170FD3-2C47-43DE-85FD-01585C522368}">
      <text>
        <r>
          <rPr>
            <b/>
            <sz val="9"/>
            <color indexed="81"/>
            <rFont val="宋体"/>
            <family val="3"/>
            <charset val="134"/>
          </rPr>
          <t xml:space="preserve">所在楼层
</t>
        </r>
        <r>
          <rPr>
            <sz val="9"/>
            <color indexed="81"/>
            <rFont val="宋体"/>
            <family val="3"/>
            <charset val="134"/>
          </rPr>
          <t xml:space="preserve">
</t>
        </r>
      </text>
    </comment>
    <comment ref="D17" authorId="2" shapeId="0" xr:uid="{A95D46AC-F6FF-4DA6-B272-262E5EFD6EB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6CB44616-5ED7-422F-8A42-2F0F1E76271E}">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34860B1C-3934-4961-9406-D14AD92B473F}">
      <text>
        <r>
          <rPr>
            <sz val="10"/>
            <color indexed="81"/>
            <rFont val="宋体"/>
            <family val="3"/>
            <charset val="134"/>
          </rPr>
          <t xml:space="preserve">需在此处填写剩余土地年限
</t>
        </r>
      </text>
    </comment>
    <comment ref="C99" authorId="0" shapeId="0" xr:uid="{01E52383-BB2C-49BE-884C-E27DC180EDCF}">
      <text>
        <r>
          <rPr>
            <b/>
            <sz val="9"/>
            <color indexed="81"/>
            <rFont val="宋体"/>
            <family val="3"/>
            <charset val="134"/>
          </rPr>
          <t xml:space="preserve">所在楼层
</t>
        </r>
        <r>
          <rPr>
            <sz val="9"/>
            <color indexed="81"/>
            <rFont val="宋体"/>
            <family val="3"/>
            <charset val="134"/>
          </rPr>
          <t xml:space="preserve">
</t>
        </r>
      </text>
    </comment>
    <comment ref="D99" authorId="0" shapeId="0" xr:uid="{AE34891B-B864-43DA-8BC6-56FEAC970433}">
      <text>
        <r>
          <rPr>
            <b/>
            <sz val="9"/>
            <color indexed="81"/>
            <rFont val="宋体"/>
            <family val="3"/>
            <charset val="134"/>
          </rPr>
          <t xml:space="preserve">所在楼层
</t>
        </r>
        <r>
          <rPr>
            <sz val="9"/>
            <color indexed="81"/>
            <rFont val="宋体"/>
            <family val="3"/>
            <charset val="134"/>
          </rPr>
          <t xml:space="preserve">
</t>
        </r>
      </text>
    </comment>
    <comment ref="E99" authorId="0" shapeId="0" xr:uid="{C3CABA05-EBC0-4ADF-8EE2-439E7B7EB0A3}">
      <text>
        <r>
          <rPr>
            <b/>
            <sz val="9"/>
            <color indexed="81"/>
            <rFont val="宋体"/>
            <family val="3"/>
            <charset val="134"/>
          </rPr>
          <t xml:space="preserve">所在楼层
</t>
        </r>
        <r>
          <rPr>
            <sz val="9"/>
            <color indexed="81"/>
            <rFont val="宋体"/>
            <family val="3"/>
            <charset val="134"/>
          </rPr>
          <t xml:space="preserve">
</t>
        </r>
      </text>
    </comment>
    <comment ref="F99" authorId="0" shapeId="0" xr:uid="{4DF3ACBB-B8B4-4EAE-AFD3-8948715AD9F3}">
      <text>
        <r>
          <rPr>
            <b/>
            <sz val="9"/>
            <color indexed="81"/>
            <rFont val="宋体"/>
            <family val="3"/>
            <charset val="134"/>
          </rPr>
          <t xml:space="preserve">所在楼层
</t>
        </r>
        <r>
          <rPr>
            <sz val="9"/>
            <color indexed="81"/>
            <rFont val="宋体"/>
            <family val="3"/>
            <charset val="134"/>
          </rPr>
          <t xml:space="preserve">
</t>
        </r>
      </text>
    </comment>
    <comment ref="G99" authorId="0" shapeId="0" xr:uid="{8386BDC2-1F24-4A68-914E-FC953E9E3D62}">
      <text>
        <r>
          <rPr>
            <b/>
            <sz val="9"/>
            <color indexed="81"/>
            <rFont val="宋体"/>
            <family val="3"/>
            <charset val="134"/>
          </rPr>
          <t xml:space="preserve">所在楼层
</t>
        </r>
        <r>
          <rPr>
            <sz val="9"/>
            <color indexed="81"/>
            <rFont val="宋体"/>
            <family val="3"/>
            <charset val="134"/>
          </rPr>
          <t xml:space="preserve">
</t>
        </r>
      </text>
    </comment>
    <comment ref="H99" authorId="0" shapeId="0" xr:uid="{5BBE5708-5032-4083-8BDE-1D46ABDD526C}">
      <text>
        <r>
          <rPr>
            <b/>
            <sz val="9"/>
            <color indexed="81"/>
            <rFont val="宋体"/>
            <family val="3"/>
            <charset val="134"/>
          </rPr>
          <t xml:space="preserve">所在楼层
</t>
        </r>
        <r>
          <rPr>
            <sz val="9"/>
            <color indexed="81"/>
            <rFont val="宋体"/>
            <family val="3"/>
            <charset val="134"/>
          </rPr>
          <t xml:space="preserve">
</t>
        </r>
      </text>
    </comment>
    <comment ref="I99" authorId="0" shapeId="0" xr:uid="{3CF32398-39DC-49E9-B44D-0A748124E96F}">
      <text>
        <r>
          <rPr>
            <b/>
            <sz val="9"/>
            <color indexed="81"/>
            <rFont val="宋体"/>
            <family val="3"/>
            <charset val="134"/>
          </rPr>
          <t xml:space="preserve">所在楼层
</t>
        </r>
        <r>
          <rPr>
            <sz val="9"/>
            <color indexed="81"/>
            <rFont val="宋体"/>
            <family val="3"/>
            <charset val="134"/>
          </rPr>
          <t xml:space="preserve">
</t>
        </r>
      </text>
    </comment>
    <comment ref="J99" authorId="0" shapeId="0" xr:uid="{B75FB8CF-6A33-475C-8D5B-9599E8DFA455}">
      <text>
        <r>
          <rPr>
            <b/>
            <sz val="9"/>
            <color indexed="81"/>
            <rFont val="宋体"/>
            <family val="3"/>
            <charset val="134"/>
          </rPr>
          <t xml:space="preserve">所在楼层
</t>
        </r>
        <r>
          <rPr>
            <sz val="9"/>
            <color indexed="81"/>
            <rFont val="宋体"/>
            <family val="3"/>
            <charset val="134"/>
          </rPr>
          <t xml:space="preserve">
</t>
        </r>
      </text>
    </comment>
    <comment ref="K99" authorId="0" shapeId="0" xr:uid="{68C7317A-00F9-4E30-A8D8-05D88A252446}">
      <text>
        <r>
          <rPr>
            <b/>
            <sz val="9"/>
            <color indexed="81"/>
            <rFont val="宋体"/>
            <family val="3"/>
            <charset val="134"/>
          </rPr>
          <t xml:space="preserve">所在楼层
</t>
        </r>
        <r>
          <rPr>
            <sz val="9"/>
            <color indexed="81"/>
            <rFont val="宋体"/>
            <family val="3"/>
            <charset val="134"/>
          </rPr>
          <t xml:space="preserve">
</t>
        </r>
      </text>
    </comment>
    <comment ref="L99" authorId="0" shapeId="0" xr:uid="{99057CA3-AEC5-4A50-B3F3-652FA0C17050}">
      <text>
        <r>
          <rPr>
            <b/>
            <sz val="9"/>
            <color indexed="81"/>
            <rFont val="宋体"/>
            <family val="3"/>
            <charset val="134"/>
          </rPr>
          <t xml:space="preserve">所在楼层
</t>
        </r>
        <r>
          <rPr>
            <sz val="9"/>
            <color indexed="81"/>
            <rFont val="宋体"/>
            <family val="3"/>
            <charset val="134"/>
          </rPr>
          <t xml:space="preserve">
</t>
        </r>
      </text>
    </comment>
    <comment ref="M99" authorId="0" shapeId="0" xr:uid="{8EBAEC98-15FE-4D58-8D78-E60684DDBD75}">
      <text>
        <r>
          <rPr>
            <b/>
            <sz val="9"/>
            <color indexed="81"/>
            <rFont val="宋体"/>
            <family val="3"/>
            <charset val="134"/>
          </rPr>
          <t xml:space="preserve">所在楼层
</t>
        </r>
        <r>
          <rPr>
            <sz val="9"/>
            <color indexed="81"/>
            <rFont val="宋体"/>
            <family val="3"/>
            <charset val="134"/>
          </rPr>
          <t xml:space="preserve">
</t>
        </r>
      </text>
    </comment>
    <comment ref="N99" authorId="0" shapeId="0" xr:uid="{0F0CE42A-F188-4624-9CCD-39DFEC461174}">
      <text>
        <r>
          <rPr>
            <b/>
            <sz val="9"/>
            <color indexed="81"/>
            <rFont val="宋体"/>
            <family val="3"/>
            <charset val="134"/>
          </rPr>
          <t xml:space="preserve">所在楼层
</t>
        </r>
        <r>
          <rPr>
            <sz val="9"/>
            <color indexed="81"/>
            <rFont val="宋体"/>
            <family val="3"/>
            <charset val="134"/>
          </rPr>
          <t xml:space="preserve">
</t>
        </r>
      </text>
    </comment>
    <comment ref="C101" authorId="0" shapeId="0" xr:uid="{202261D9-D4DB-48C5-9DDA-30957A412E33}">
      <text>
        <r>
          <rPr>
            <b/>
            <sz val="9"/>
            <color indexed="81"/>
            <rFont val="宋体"/>
            <family val="3"/>
            <charset val="134"/>
          </rPr>
          <t xml:space="preserve">容积率
</t>
        </r>
      </text>
    </comment>
    <comment ref="D101" authorId="0" shapeId="0" xr:uid="{AFF09637-E6FA-476D-9094-E23B35D3ACF8}">
      <text>
        <r>
          <rPr>
            <b/>
            <sz val="9"/>
            <color indexed="81"/>
            <rFont val="宋体"/>
            <family val="3"/>
            <charset val="134"/>
          </rPr>
          <t xml:space="preserve">容积率
</t>
        </r>
      </text>
    </comment>
    <comment ref="E101" authorId="0" shapeId="0" xr:uid="{FA110810-8E12-4239-B9A8-DF7FA3253E71}">
      <text>
        <r>
          <rPr>
            <b/>
            <sz val="9"/>
            <color indexed="81"/>
            <rFont val="宋体"/>
            <family val="3"/>
            <charset val="134"/>
          </rPr>
          <t xml:space="preserve">容积率
</t>
        </r>
      </text>
    </comment>
    <comment ref="F101" authorId="0" shapeId="0" xr:uid="{F9263C99-7BA2-4C58-A2FB-9EA6945F4E91}">
      <text>
        <r>
          <rPr>
            <b/>
            <sz val="9"/>
            <color indexed="81"/>
            <rFont val="宋体"/>
            <family val="3"/>
            <charset val="134"/>
          </rPr>
          <t xml:space="preserve">容积率
</t>
        </r>
      </text>
    </comment>
    <comment ref="G101" authorId="0" shapeId="0" xr:uid="{F93F98DD-4016-4F89-8E10-07805D9DEAF9}">
      <text>
        <r>
          <rPr>
            <b/>
            <sz val="9"/>
            <color indexed="81"/>
            <rFont val="宋体"/>
            <family val="3"/>
            <charset val="134"/>
          </rPr>
          <t xml:space="preserve">容积率
</t>
        </r>
      </text>
    </comment>
    <comment ref="H101" authorId="0" shapeId="0" xr:uid="{791C4B66-7A12-4E81-B67C-E0CAD9C0EF89}">
      <text>
        <r>
          <rPr>
            <b/>
            <sz val="9"/>
            <color indexed="81"/>
            <rFont val="宋体"/>
            <family val="3"/>
            <charset val="134"/>
          </rPr>
          <t xml:space="preserve">容积率
</t>
        </r>
      </text>
    </comment>
    <comment ref="I101" authorId="0" shapeId="0" xr:uid="{CA39B78F-04E9-4E9B-B159-36549D9A8108}">
      <text>
        <r>
          <rPr>
            <b/>
            <sz val="9"/>
            <color indexed="81"/>
            <rFont val="宋体"/>
            <family val="3"/>
            <charset val="134"/>
          </rPr>
          <t xml:space="preserve">容积率
</t>
        </r>
      </text>
    </comment>
    <comment ref="J101" authorId="0" shapeId="0" xr:uid="{9A60F343-6912-4CCD-8CD3-91BAA8735822}">
      <text>
        <r>
          <rPr>
            <b/>
            <sz val="9"/>
            <color indexed="81"/>
            <rFont val="宋体"/>
            <family val="3"/>
            <charset val="134"/>
          </rPr>
          <t xml:space="preserve">容积率
</t>
        </r>
      </text>
    </comment>
    <comment ref="K101" authorId="0" shapeId="0" xr:uid="{6A7F3FCB-E0DF-4857-B52B-E444D5514A5B}">
      <text>
        <r>
          <rPr>
            <b/>
            <sz val="9"/>
            <color indexed="81"/>
            <rFont val="宋体"/>
            <family val="3"/>
            <charset val="134"/>
          </rPr>
          <t xml:space="preserve">容积率
</t>
        </r>
      </text>
    </comment>
    <comment ref="L101" authorId="0" shapeId="0" xr:uid="{89BB04C9-D94B-4536-8E32-B3D33979EDCA}">
      <text>
        <r>
          <rPr>
            <b/>
            <sz val="9"/>
            <color indexed="81"/>
            <rFont val="宋体"/>
            <family val="3"/>
            <charset val="134"/>
          </rPr>
          <t xml:space="preserve">容积率
</t>
        </r>
      </text>
    </comment>
    <comment ref="M101" authorId="0" shapeId="0" xr:uid="{F4DBDCF9-529F-4DAF-91E8-BD1525647A33}">
      <text>
        <r>
          <rPr>
            <b/>
            <sz val="9"/>
            <color indexed="81"/>
            <rFont val="宋体"/>
            <family val="3"/>
            <charset val="134"/>
          </rPr>
          <t xml:space="preserve">容积率
</t>
        </r>
      </text>
    </comment>
    <comment ref="N101" authorId="0" shapeId="0" xr:uid="{C539D52F-E6FF-4BFF-920C-04032B14A027}">
      <text>
        <r>
          <rPr>
            <b/>
            <sz val="9"/>
            <color indexed="81"/>
            <rFont val="宋体"/>
            <family val="3"/>
            <charset val="134"/>
          </rPr>
          <t xml:space="preserve">容积率
</t>
        </r>
      </text>
    </comment>
    <comment ref="C108" authorId="0" shapeId="0" xr:uid="{625E17A3-6355-4E56-B2CF-CEDBA59C75BD}">
      <text>
        <r>
          <rPr>
            <b/>
            <sz val="9"/>
            <color indexed="81"/>
            <rFont val="宋体"/>
            <family val="3"/>
            <charset val="134"/>
          </rPr>
          <t xml:space="preserve">所在楼层
</t>
        </r>
        <r>
          <rPr>
            <sz val="9"/>
            <color indexed="81"/>
            <rFont val="宋体"/>
            <family val="3"/>
            <charset val="134"/>
          </rPr>
          <t xml:space="preserve">
</t>
        </r>
      </text>
    </comment>
    <comment ref="D108" authorId="0" shapeId="0" xr:uid="{5C0BBB3A-005D-4808-9A5B-E7DCF5513CF2}">
      <text>
        <r>
          <rPr>
            <b/>
            <sz val="9"/>
            <color indexed="81"/>
            <rFont val="宋体"/>
            <family val="3"/>
            <charset val="134"/>
          </rPr>
          <t xml:space="preserve">所在楼层
</t>
        </r>
        <r>
          <rPr>
            <sz val="9"/>
            <color indexed="81"/>
            <rFont val="宋体"/>
            <family val="3"/>
            <charset val="134"/>
          </rPr>
          <t xml:space="preserve">
</t>
        </r>
      </text>
    </comment>
    <comment ref="E108" authorId="0" shapeId="0" xr:uid="{3E4C989B-6922-4BAC-9052-3AA814D96B49}">
      <text>
        <r>
          <rPr>
            <b/>
            <sz val="9"/>
            <color indexed="81"/>
            <rFont val="宋体"/>
            <family val="3"/>
            <charset val="134"/>
          </rPr>
          <t xml:space="preserve">所在楼层
</t>
        </r>
        <r>
          <rPr>
            <sz val="9"/>
            <color indexed="81"/>
            <rFont val="宋体"/>
            <family val="3"/>
            <charset val="134"/>
          </rPr>
          <t xml:space="preserve">
</t>
        </r>
      </text>
    </comment>
    <comment ref="F108" authorId="0" shapeId="0" xr:uid="{B790CA57-4181-4249-8CF6-BB730EEFB8A0}">
      <text>
        <r>
          <rPr>
            <b/>
            <sz val="9"/>
            <color indexed="81"/>
            <rFont val="宋体"/>
            <family val="3"/>
            <charset val="134"/>
          </rPr>
          <t xml:space="preserve">所在楼层
</t>
        </r>
        <r>
          <rPr>
            <sz val="9"/>
            <color indexed="81"/>
            <rFont val="宋体"/>
            <family val="3"/>
            <charset val="134"/>
          </rPr>
          <t xml:space="preserve">
</t>
        </r>
      </text>
    </comment>
    <comment ref="G108" authorId="0" shapeId="0" xr:uid="{B5601D71-C45E-451E-B484-52592D5C3FA0}">
      <text>
        <r>
          <rPr>
            <b/>
            <sz val="9"/>
            <color indexed="81"/>
            <rFont val="宋体"/>
            <family val="3"/>
            <charset val="134"/>
          </rPr>
          <t xml:space="preserve">所在楼层
</t>
        </r>
        <r>
          <rPr>
            <sz val="9"/>
            <color indexed="81"/>
            <rFont val="宋体"/>
            <family val="3"/>
            <charset val="134"/>
          </rPr>
          <t xml:space="preserve">
</t>
        </r>
      </text>
    </comment>
    <comment ref="H108" authorId="0" shapeId="0" xr:uid="{8F75636E-507E-4B1B-8036-D40486572CAE}">
      <text>
        <r>
          <rPr>
            <b/>
            <sz val="9"/>
            <color indexed="81"/>
            <rFont val="宋体"/>
            <family val="3"/>
            <charset val="134"/>
          </rPr>
          <t xml:space="preserve">所在楼层
</t>
        </r>
        <r>
          <rPr>
            <sz val="9"/>
            <color indexed="81"/>
            <rFont val="宋体"/>
            <family val="3"/>
            <charset val="134"/>
          </rPr>
          <t xml:space="preserve">
</t>
        </r>
      </text>
    </comment>
    <comment ref="I108" authorId="0" shapeId="0" xr:uid="{BCEA4DCB-4647-47C1-BB2F-9446FA2C2DC2}">
      <text>
        <r>
          <rPr>
            <b/>
            <sz val="9"/>
            <color indexed="81"/>
            <rFont val="宋体"/>
            <family val="3"/>
            <charset val="134"/>
          </rPr>
          <t xml:space="preserve">所在楼层
</t>
        </r>
        <r>
          <rPr>
            <sz val="9"/>
            <color indexed="81"/>
            <rFont val="宋体"/>
            <family val="3"/>
            <charset val="134"/>
          </rPr>
          <t xml:space="preserve">
</t>
        </r>
      </text>
    </comment>
    <comment ref="J108" authorId="0" shapeId="0" xr:uid="{17699C59-BE4C-4DE7-B4D6-BB1FD83B47D2}">
      <text>
        <r>
          <rPr>
            <b/>
            <sz val="9"/>
            <color indexed="81"/>
            <rFont val="宋体"/>
            <family val="3"/>
            <charset val="134"/>
          </rPr>
          <t xml:space="preserve">所在楼层
</t>
        </r>
        <r>
          <rPr>
            <sz val="9"/>
            <color indexed="81"/>
            <rFont val="宋体"/>
            <family val="3"/>
            <charset val="134"/>
          </rPr>
          <t xml:space="preserve">
</t>
        </r>
      </text>
    </comment>
    <comment ref="K108" authorId="0" shapeId="0" xr:uid="{18EA4F2D-2BEE-47DE-B1AC-D02C3BF4B78A}">
      <text>
        <r>
          <rPr>
            <b/>
            <sz val="9"/>
            <color indexed="81"/>
            <rFont val="宋体"/>
            <family val="3"/>
            <charset val="134"/>
          </rPr>
          <t xml:space="preserve">所在楼层
</t>
        </r>
        <r>
          <rPr>
            <sz val="9"/>
            <color indexed="81"/>
            <rFont val="宋体"/>
            <family val="3"/>
            <charset val="134"/>
          </rPr>
          <t xml:space="preserve">
</t>
        </r>
      </text>
    </comment>
    <comment ref="L108" authorId="0" shapeId="0" xr:uid="{9C40EB01-1E75-49A1-A3C3-8B814C775440}">
      <text>
        <r>
          <rPr>
            <b/>
            <sz val="9"/>
            <color indexed="81"/>
            <rFont val="宋体"/>
            <family val="3"/>
            <charset val="134"/>
          </rPr>
          <t xml:space="preserve">所在楼层
</t>
        </r>
        <r>
          <rPr>
            <sz val="9"/>
            <color indexed="81"/>
            <rFont val="宋体"/>
            <family val="3"/>
            <charset val="134"/>
          </rPr>
          <t xml:space="preserve">
</t>
        </r>
      </text>
    </comment>
    <comment ref="M108" authorId="0" shapeId="0" xr:uid="{E6BB3AB9-7ACD-4D62-AAB7-AFB69F485D7E}">
      <text>
        <r>
          <rPr>
            <b/>
            <sz val="9"/>
            <color indexed="81"/>
            <rFont val="宋体"/>
            <family val="3"/>
            <charset val="134"/>
          </rPr>
          <t xml:space="preserve">所在楼层
</t>
        </r>
        <r>
          <rPr>
            <sz val="9"/>
            <color indexed="81"/>
            <rFont val="宋体"/>
            <family val="3"/>
            <charset val="134"/>
          </rPr>
          <t xml:space="preserve">
</t>
        </r>
      </text>
    </comment>
    <comment ref="N108" authorId="0" shapeId="0" xr:uid="{B472E7EE-BFFA-443B-94B9-705D0140D48B}">
      <text>
        <r>
          <rPr>
            <b/>
            <sz val="9"/>
            <color indexed="81"/>
            <rFont val="宋体"/>
            <family val="3"/>
            <charset val="134"/>
          </rPr>
          <t xml:space="preserve">所在楼层
</t>
        </r>
        <r>
          <rPr>
            <sz val="9"/>
            <color indexed="81"/>
            <rFont val="宋体"/>
            <family val="3"/>
            <charset val="134"/>
          </rPr>
          <t xml:space="preserve">
</t>
        </r>
      </text>
    </comment>
    <comment ref="D113" authorId="0" shapeId="0" xr:uid="{AFFD08E2-4E6A-4CAB-959A-51D7C4351E36}">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<sst xmlns="http://schemas.openxmlformats.org/spreadsheetml/2006/main" count="7868" uniqueCount="3223">
  <si>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</si>
  <si>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</si>
  <si>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</si>
  <si>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</si>
  <si>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</si>
  <si>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</si>
  <si>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</si>
  <si>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</si>
  <si>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</si>
  <si>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</si>
  <si>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</si>
  <si>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</si>
  <si>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</si>
  <si>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</si>
  <si>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</si>
  <si>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</si>
  <si>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</si>
  <si>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</si>
  <si>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</si>
  <si>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</si>
  <si>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</si>
  <si>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</si>
  <si>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</si>
  <si>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</si>
  <si>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</si>
  <si>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</si>
  <si>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</si>
  <si>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</si>
  <si>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</si>
  <si>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</si>
  <si>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</si>
  <si>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</si>
  <si>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</si>
  <si>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</si>
  <si>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</si>
  <si>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</si>
  <si>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</si>
  <si>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</si>
  <si>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</si>
  <si>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</si>
  <si>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</si>
  <si>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</si>
  <si>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</si>
  <si>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</si>
  <si>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</si>
  <si>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</si>
  <si>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</si>
  <si>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</si>
  <si>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</si>
  <si>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</si>
  <si>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</si>
  <si>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</si>
  <si>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</si>
  <si>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</si>
  <si>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</si>
  <si>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</si>
  <si>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</si>
  <si>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</si>
  <si>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</si>
  <si>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</si>
  <si>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</si>
  <si>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</si>
  <si>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</si>
  <si>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</si>
  <si>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</si>
  <si>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</si>
  <si>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</si>
  <si>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</si>
  <si>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</si>
  <si>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</si>
  <si>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</si>
  <si>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</si>
  <si>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</si>
  <si>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</si>
  <si>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</si>
  <si>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</si>
  <si>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</si>
  <si>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</si>
  <si>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</si>
  <si>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</si>
  <si>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</si>
  <si>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</si>
  <si>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</si>
  <si>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</si>
  <si>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</si>
  <si>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</si>
  <si>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</si>
  <si>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</si>
  <si>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</si>
  <si>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</si>
  <si>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</si>
  <si>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</si>
  <si>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</si>
  <si>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</si>
  <si>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</si>
  <si>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</si>
  <si>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</si>
  <si>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</si>
  <si>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</si>
  <si>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</si>
  <si>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</si>
  <si>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</si>
  <si>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</si>
  <si>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</si>
  <si>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</si>
  <si>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</si>
  <si>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</si>
  <si>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</si>
  <si>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</si>
  <si>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</si>
  <si>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</si>
  <si>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</si>
  <si>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</si>
  <si>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</si>
  <si>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</si>
  <si>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</si>
  <si>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</si>
  <si>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</si>
  <si>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</si>
  <si>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</si>
  <si>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</si>
  <si>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</si>
  <si>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</si>
  <si>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</si>
  <si>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</si>
  <si>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</si>
  <si>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</si>
  <si>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</si>
  <si>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</si>
  <si>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</si>
  <si>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</si>
  <si>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</si>
  <si>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</si>
  <si>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</si>
  <si>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</si>
  <si>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</si>
  <si>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</si>
  <si>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</si>
  <si>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</si>
  <si>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</si>
  <si>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</si>
  <si>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</si>
  <si>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</si>
  <si>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</si>
  <si>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</si>
  <si>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</si>
  <si>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</si>
  <si>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</si>
  <si>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</si>
  <si>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</si>
  <si>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</si>
  <si>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</si>
  <si>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</si>
  <si>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</si>
  <si>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</si>
  <si>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</si>
  <si>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</si>
  <si>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</si>
  <si>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</si>
  <si>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</si>
  <si>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</si>
  <si>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</si>
  <si>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</si>
  <si>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</si>
  <si>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</si>
  <si>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</si>
  <si>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</si>
  <si>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</si>
  <si>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</si>
  <si>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</si>
  <si>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</si>
  <si>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</si>
  <si>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</si>
  <si>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</si>
  <si>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</si>
  <si>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</si>
  <si>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</si>
  <si>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</si>
  <si>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</si>
  <si>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</si>
  <si>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</si>
  <si>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</si>
  <si>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</si>
  <si>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</si>
  <si>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</si>
  <si>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</si>
  <si>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</si>
  <si>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</si>
  <si>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</si>
  <si>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</si>
  <si>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</si>
  <si>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</si>
  <si>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</si>
  <si>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</si>
  <si>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</si>
  <si>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</si>
  <si>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</si>
  <si>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</si>
  <si>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</si>
  <si>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</si>
  <si>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</si>
  <si>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</si>
  <si>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</si>
  <si>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</si>
  <si>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</si>
  <si>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</si>
  <si>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</si>
  <si>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</si>
  <si>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</si>
  <si>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</si>
  <si>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</si>
  <si>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</si>
  <si>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</si>
  <si>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</si>
  <si>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</si>
  <si>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</si>
  <si>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</si>
  <si>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</si>
  <si>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</si>
  <si>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</si>
  <si>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</si>
  <si>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</si>
  <si>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</si>
  <si>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</si>
  <si>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</si>
  <si>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</si>
  <si>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</si>
  <si>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</si>
  <si>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</si>
  <si>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</si>
  <si>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</si>
  <si>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</si>
  <si>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</si>
  <si>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</si>
  <si>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</si>
  <si>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</si>
  <si>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</si>
  <si>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</si>
  <si>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</si>
  <si>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</si>
  <si>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</si>
  <si>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</si>
  <si>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</si>
  <si>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</si>
  <si>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</si>
  <si>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</si>
  <si>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</si>
  <si>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</si>
  <si>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</si>
  <si>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</si>
  <si>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</si>
  <si>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</si>
  <si>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</si>
  <si>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</si>
  <si>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</si>
  <si>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</si>
  <si>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</si>
  <si>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</si>
  <si>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</si>
  <si>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</si>
  <si>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</si>
  <si>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</si>
  <si>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</si>
  <si>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</si>
  <si>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</si>
  <si>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</si>
  <si>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</si>
  <si>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</si>
  <si>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</si>
  <si>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</si>
  <si>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</si>
  <si>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</si>
  <si>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</si>
  <si>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</si>
  <si>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</si>
  <si>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</si>
  <si>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</si>
  <si>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</si>
  <si>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</si>
  <si>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</si>
  <si>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</si>
  <si>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</si>
  <si>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</si>
  <si>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</si>
  <si>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</si>
  <si>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</si>
  <si>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</si>
  <si>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</si>
  <si>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</si>
  <si>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</si>
  <si>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</si>
  <si>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</si>
  <si>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</si>
  <si>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</si>
  <si>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</si>
  <si>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</si>
  <si>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</si>
  <si>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</si>
  <si>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</si>
  <si>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</si>
  <si>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</si>
  <si>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</si>
  <si>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</si>
  <si>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</si>
  <si>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</si>
  <si>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</si>
  <si>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</si>
  <si>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</si>
  <si>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</si>
  <si>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</si>
  <si>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</si>
  <si>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</si>
  <si>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</si>
  <si>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</si>
  <si>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</si>
  <si>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</si>
  <si>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</si>
  <si>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</si>
  <si>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</si>
  <si>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</si>
  <si>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</si>
  <si>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</si>
  <si>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</si>
  <si>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</si>
  <si>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</si>
  <si>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</si>
  <si>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</si>
  <si>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</si>
  <si>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</si>
  <si>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</si>
  <si>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</si>
  <si>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</si>
  <si>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</si>
  <si>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</si>
  <si>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</si>
  <si>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</si>
  <si>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</si>
  <si>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</si>
  <si>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</si>
  <si>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</si>
  <si>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</si>
  <si>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</si>
  <si>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</si>
  <si>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</si>
  <si>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</si>
  <si>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</si>
  <si>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</si>
  <si>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</si>
  <si>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</si>
  <si>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</si>
  <si>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</si>
  <si>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</si>
  <si>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</si>
  <si>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</si>
  <si>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</si>
  <si>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</si>
  <si>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</si>
  <si>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</si>
  <si>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</si>
  <si>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</si>
  <si>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</si>
  <si>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</si>
  <si>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</si>
  <si>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</si>
  <si>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</si>
  <si>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</si>
  <si>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</si>
  <si>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</si>
  <si>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</si>
  <si>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</si>
  <si>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</si>
  <si>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</si>
  <si>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</si>
  <si>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</si>
  <si>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</si>
  <si>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</si>
  <si>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</si>
  <si>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</si>
  <si>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</si>
  <si>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</si>
  <si>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</si>
  <si>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</si>
  <si>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</si>
  <si>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</si>
  <si>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</si>
  <si>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</si>
  <si>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</si>
  <si>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</si>
  <si>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</si>
  <si>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</si>
  <si>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</si>
  <si>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</si>
  <si>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</si>
  <si>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</si>
  <si>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</si>
  <si>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</si>
  <si>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</si>
  <si>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</si>
  <si>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</si>
  <si>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</si>
  <si>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</si>
  <si>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</si>
  <si>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</si>
  <si>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</si>
  <si>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</si>
  <si>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</si>
  <si>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</si>
  <si>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</si>
  <si>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</si>
  <si>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</si>
  <si>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</si>
  <si>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</si>
  <si>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</si>
  <si>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</si>
  <si>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</si>
  <si>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</si>
  <si>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</si>
  <si>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</si>
  <si>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</si>
  <si>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</si>
  <si>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</si>
  <si>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</si>
  <si>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</si>
  <si>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</si>
  <si>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</si>
  <si>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</si>
  <si>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</si>
  <si>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</si>
  <si>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</si>
  <si>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</si>
  <si>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</si>
  <si>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</si>
  <si>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</si>
  <si>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</si>
  <si>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</si>
  <si>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</si>
  <si>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</si>
  <si>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</si>
  <si>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</si>
  <si>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</si>
  <si>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</si>
  <si>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</si>
  <si>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</si>
  <si>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</si>
  <si>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</si>
  <si>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</si>
  <si>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</si>
  <si>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</si>
  <si>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</si>
  <si>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</si>
  <si>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</si>
  <si>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</si>
  <si>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</si>
  <si>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</si>
  <si>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</si>
  <si>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</si>
  <si>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</si>
  <si>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</si>
  <si>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</si>
  <si>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</si>
  <si>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</si>
  <si>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</si>
  <si>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</si>
  <si>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</si>
  <si>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</si>
  <si>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</si>
  <si>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</si>
  <si>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</si>
  <si>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</si>
  <si>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</si>
  <si>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</si>
  <si>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</si>
  <si>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</si>
  <si>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</si>
  <si>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</si>
  <si>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</si>
  <si>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</si>
  <si>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</si>
  <si>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</si>
  <si>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</si>
  <si>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</si>
  <si>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</si>
  <si>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</si>
  <si>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</si>
  <si>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</si>
  <si>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</si>
  <si>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</si>
  <si>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</si>
  <si>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</si>
  <si>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</si>
  <si>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</si>
  <si>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</si>
  <si>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</si>
  <si>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</si>
  <si>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</si>
  <si>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</si>
  <si>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</si>
  <si>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</si>
  <si>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</si>
  <si>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</si>
  <si>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</si>
  <si>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</si>
  <si>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</si>
  <si>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</si>
  <si>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</si>
  <si>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</si>
  <si>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</si>
  <si>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</si>
  <si>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</si>
  <si>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</si>
  <si>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</si>
  <si>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</si>
  <si>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</si>
  <si>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</si>
  <si>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</si>
  <si>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</si>
  <si>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</si>
  <si>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</si>
  <si>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</si>
  <si>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</si>
  <si>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</si>
  <si>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</si>
  <si>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</si>
  <si>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</si>
  <si>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</si>
  <si>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</si>
  <si>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</si>
  <si>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</si>
  <si>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</si>
  <si>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</si>
  <si>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</si>
  <si>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</si>
  <si>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</si>
  <si>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</si>
  <si>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</si>
  <si>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</si>
  <si>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</si>
  <si>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</si>
  <si>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</si>
  <si>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</si>
  <si>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</si>
  <si>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</si>
  <si>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</si>
  <si>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</si>
  <si>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</si>
  <si>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</si>
  <si>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</si>
  <si>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</si>
  <si>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</si>
  <si>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</si>
  <si>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</si>
  <si>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</si>
  <si>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</si>
  <si>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</si>
  <si>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</si>
  <si>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</si>
  <si>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</si>
  <si>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</si>
  <si>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</si>
  <si>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</si>
  <si>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</si>
  <si>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</si>
  <si>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</si>
  <si>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</si>
  <si>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</si>
  <si>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</si>
  <si>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</si>
  <si>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</si>
  <si>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</si>
  <si>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</si>
  <si>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</si>
  <si>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</si>
  <si>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</si>
  <si>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</si>
  <si>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</si>
  <si>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</si>
  <si>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</si>
  <si>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</si>
  <si>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</si>
  <si>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</si>
  <si>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</si>
  <si>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</si>
  <si>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</si>
  <si>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</si>
  <si>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</si>
  <si>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</si>
  <si>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</si>
  <si>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</si>
  <si>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</si>
  <si>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</si>
  <si>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</si>
  <si>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</si>
  <si>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</si>
  <si>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</si>
  <si>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</si>
  <si>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</si>
  <si>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</si>
  <si>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</si>
  <si>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</si>
  <si>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</si>
  <si>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</si>
  <si>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</si>
  <si>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</si>
  <si>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</si>
  <si>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</si>
  <si>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</si>
  <si>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</si>
  <si>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</si>
  <si>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</si>
  <si>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</si>
  <si>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</si>
  <si>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</si>
  <si>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</si>
  <si>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</si>
  <si>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</si>
  <si>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</si>
  <si>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</si>
  <si>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</si>
  <si>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</si>
  <si>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</si>
  <si>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</si>
  <si>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</si>
  <si>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</si>
  <si>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</si>
  <si>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</si>
  <si>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</si>
  <si>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</si>
  <si>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</si>
  <si>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</si>
  <si>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</si>
  <si>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</si>
  <si>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</si>
  <si>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</si>
  <si>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</si>
  <si>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</si>
  <si>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</si>
  <si>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</si>
  <si>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</si>
  <si>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</si>
  <si>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</si>
  <si>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</si>
  <si>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</si>
  <si>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</si>
  <si>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</si>
  <si>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</si>
  <si>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</si>
  <si>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</si>
  <si>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</si>
  <si>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</si>
  <si>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</si>
  <si>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</si>
  <si>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</si>
  <si>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</si>
  <si>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</si>
  <si>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</si>
  <si>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</si>
  <si>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</si>
  <si>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</si>
  <si>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</si>
  <si>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</si>
  <si>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</si>
  <si>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</si>
  <si>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</si>
  <si>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</si>
  <si>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</si>
  <si>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</si>
  <si>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</si>
  <si>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</si>
  <si>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</si>
  <si>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</si>
  <si>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</si>
  <si>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</si>
  <si>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</si>
  <si>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</si>
  <si>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</si>
  <si>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</si>
  <si>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</si>
  <si>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</si>
  <si>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</si>
  <si>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</si>
  <si>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</si>
  <si>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</si>
  <si>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</si>
  <si>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</si>
  <si>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</si>
  <si>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</si>
  <si>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</si>
  <si>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</si>
  <si>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</si>
  <si>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</si>
  <si>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</si>
  <si>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</si>
  <si>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</si>
  <si>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</si>
  <si>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</si>
  <si>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</si>
  <si>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</si>
  <si>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</si>
  <si>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</si>
  <si>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</si>
  <si>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</si>
  <si>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</si>
  <si>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</si>
  <si>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</si>
  <si>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</si>
  <si>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</si>
  <si>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</si>
  <si>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</si>
  <si>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</si>
  <si>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</si>
  <si>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</si>
  <si>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</si>
  <si>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</si>
  <si>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</si>
  <si>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</si>
  <si>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</si>
  <si>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</si>
  <si>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</si>
  <si>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</si>
  <si>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</si>
  <si>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</si>
  <si>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</si>
  <si>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</si>
  <si>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</si>
  <si>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</si>
  <si>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</si>
  <si>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</si>
  <si>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</si>
  <si>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</si>
  <si>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</si>
  <si>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</si>
  <si>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</si>
  <si>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</si>
  <si>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</si>
  <si>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</si>
  <si>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</si>
  <si>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</si>
  <si>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</si>
  <si>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</si>
  <si>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</si>
  <si>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</si>
  <si>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</si>
  <si>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</si>
  <si>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</si>
  <si>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</si>
  <si>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</si>
  <si>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</si>
  <si>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</si>
  <si>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</si>
  <si>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</si>
  <si>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</si>
  <si>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</si>
  <si>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</si>
  <si>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</si>
  <si>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</si>
  <si>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</si>
  <si>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</si>
  <si>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</si>
  <si>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</si>
  <si>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</si>
  <si>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</si>
  <si>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</si>
  <si>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</si>
  <si>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</si>
  <si>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</si>
  <si>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</si>
  <si>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</si>
  <si>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</si>
  <si>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</si>
  <si>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</si>
  <si>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</si>
  <si>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</si>
  <si>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</si>
  <si>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</si>
  <si>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</si>
  <si>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</si>
  <si>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</si>
  <si>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</si>
  <si>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</si>
  <si>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</si>
  <si>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</si>
  <si>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</si>
  <si>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</si>
  <si>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</si>
  <si>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</si>
  <si>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</si>
  <si>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</si>
  <si>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</si>
  <si>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</si>
  <si>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</si>
  <si>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</si>
  <si>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</si>
  <si>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</si>
  <si>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</si>
  <si>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</si>
  <si>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</si>
  <si>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</si>
  <si>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</si>
  <si>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</si>
  <si>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</si>
  <si>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</si>
  <si>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</si>
  <si>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</si>
  <si>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</si>
  <si>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</si>
  <si>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</si>
  <si>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</si>
  <si>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</si>
  <si>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</si>
  <si>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</si>
  <si>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</si>
  <si>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</si>
  <si>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</si>
  <si>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</si>
  <si>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</si>
  <si>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</si>
  <si>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</si>
  <si>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</si>
  <si>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</si>
  <si>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</si>
  <si>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</si>
  <si>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</si>
  <si>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</si>
  <si>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</si>
  <si>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</si>
  <si>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</si>
  <si>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</si>
  <si>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</si>
  <si>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</si>
  <si>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</si>
  <si>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</si>
  <si>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</si>
  <si>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</si>
  <si>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</si>
  <si>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</si>
  <si>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</si>
  <si>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</si>
  <si>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</si>
  <si>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</si>
  <si>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</si>
  <si>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</si>
  <si>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</si>
  <si>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</si>
  <si>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</si>
  <si>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</si>
  <si>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</si>
  <si>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</si>
  <si>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</si>
  <si>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</si>
  <si>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</si>
  <si>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</si>
  <si>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</si>
  <si>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</si>
  <si>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</si>
  <si>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</si>
  <si>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</si>
  <si>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</si>
  <si>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</si>
  <si>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</si>
  <si>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</si>
  <si>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</si>
  <si>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</si>
  <si>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</si>
  <si>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</si>
  <si>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</si>
  <si>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</si>
  <si>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</si>
  <si>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</si>
  <si>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</si>
  <si>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</si>
  <si>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</si>
  <si>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</si>
  <si>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</si>
  <si>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</si>
  <si>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</si>
  <si>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</si>
  <si>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</si>
  <si>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</si>
  <si>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</si>
  <si>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</si>
  <si>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</si>
  <si>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</si>
  <si>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</si>
  <si>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</si>
  <si>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</si>
  <si>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</si>
  <si>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</si>
  <si>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</si>
  <si>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</si>
  <si>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</si>
  <si>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</si>
  <si>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</si>
  <si>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</si>
  <si>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</si>
  <si>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</si>
  <si>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</si>
  <si>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</si>
  <si>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</si>
  <si>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</si>
  <si>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</si>
  <si>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</si>
  <si>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</si>
  <si>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</si>
  <si>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</si>
  <si>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</si>
  <si>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</si>
  <si>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</si>
  <si>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</si>
  <si>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</si>
  <si>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</si>
  <si>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</si>
  <si>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</si>
  <si>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</si>
  <si>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</si>
  <si>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</si>
  <si>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</si>
  <si>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</si>
  <si>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</si>
  <si>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</si>
  <si>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</si>
  <si>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</si>
  <si>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</si>
  <si>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</si>
  <si>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</si>
  <si>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</si>
  <si>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</si>
  <si>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</si>
  <si>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</si>
  <si>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</si>
  <si>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</si>
  <si>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</si>
  <si>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</si>
  <si>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</si>
  <si>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</si>
  <si>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</si>
  <si>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</si>
  <si>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</si>
  <si>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</si>
  <si>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</si>
  <si>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</si>
  <si>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</si>
  <si>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</si>
  <si>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</si>
  <si>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</si>
  <si>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</si>
  <si>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</si>
  <si>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</si>
  <si>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</si>
  <si>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</si>
  <si>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</si>
  <si>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</si>
  <si>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</si>
  <si>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</si>
  <si>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</si>
  <si>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</si>
  <si>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</si>
  <si>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</si>
  <si>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</si>
  <si>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</si>
  <si>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</si>
  <si>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</si>
  <si>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</si>
  <si>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</si>
  <si>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</si>
  <si>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</si>
  <si>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</si>
  <si>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</si>
  <si>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</si>
  <si>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</si>
  <si>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</si>
  <si>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</si>
  <si>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</si>
  <si>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</si>
  <si>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</si>
  <si>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</si>
  <si>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</si>
  <si>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</si>
  <si>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</si>
  <si>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</si>
  <si>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</si>
  <si>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</si>
  <si>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</si>
  <si>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</si>
  <si>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</si>
  <si>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</si>
  <si>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</si>
  <si>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</si>
  <si>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</si>
  <si>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</si>
  <si>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</si>
  <si>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</si>
  <si>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</si>
  <si>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</si>
  <si>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</si>
  <si>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</si>
  <si>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</si>
  <si>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</si>
  <si>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</si>
  <si>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</si>
  <si>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</si>
  <si>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</si>
  <si>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</si>
  <si>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</si>
  <si>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</si>
  <si>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</si>
  <si>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</si>
  <si>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</si>
  <si>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</si>
  <si>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</si>
  <si>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</si>
  <si>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</si>
  <si>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</si>
  <si>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</si>
  <si>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</si>
  <si>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</si>
  <si>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</si>
  <si>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</si>
  <si>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</si>
  <si>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</si>
  <si>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</si>
  <si>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</si>
  <si>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</si>
  <si>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</si>
  <si>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</si>
  <si>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</si>
  <si>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</si>
  <si>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</si>
  <si>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</si>
  <si>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</si>
  <si>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</si>
  <si>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</si>
  <si>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</si>
  <si>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</si>
  <si>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</si>
  <si>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</si>
  <si>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</si>
  <si>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</si>
  <si>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</si>
  <si>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</si>
  <si>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</si>
  <si>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</si>
  <si>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</si>
  <si>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</si>
  <si>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</si>
  <si>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</si>
  <si>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</si>
  <si>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</si>
  <si>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</si>
  <si>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</si>
  <si>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</si>
  <si>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</si>
  <si>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</si>
  <si>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</si>
  <si>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</si>
  <si>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</si>
  <si>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</si>
  <si>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</si>
  <si>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</si>
  <si>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</si>
  <si>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</si>
  <si>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</si>
  <si>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</si>
  <si>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</si>
  <si>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</si>
  <si>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</si>
  <si>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</si>
  <si>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</si>
  <si>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</si>
  <si>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</si>
  <si>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</si>
  <si>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</si>
  <si>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</si>
  <si>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</si>
  <si>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</si>
  <si>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</si>
  <si>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</si>
  <si>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</si>
  <si>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</si>
  <si>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</si>
  <si>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</si>
  <si>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</si>
  <si>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</si>
  <si>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</si>
  <si>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</si>
  <si>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</si>
  <si>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</si>
  <si>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</si>
  <si>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</si>
  <si>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</si>
  <si>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</si>
  <si>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</si>
  <si>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</si>
  <si>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</si>
  <si>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</si>
  <si>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</si>
  <si>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</si>
  <si>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</si>
  <si>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</si>
  <si>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</si>
  <si>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</si>
  <si>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</si>
  <si>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</si>
  <si>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</si>
  <si>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</si>
  <si>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</si>
  <si>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</si>
  <si>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</si>
  <si>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</si>
  <si>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</si>
  <si>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</si>
  <si>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</si>
  <si>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</si>
  <si>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</si>
  <si>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</si>
  <si>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</si>
  <si>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</si>
  <si>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</si>
  <si>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</si>
  <si>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</si>
  <si>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</si>
  <si>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</si>
  <si>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</si>
  <si>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</si>
  <si>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</si>
  <si>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</si>
  <si>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</si>
  <si>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</si>
  <si>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</si>
  <si>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</si>
  <si>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</si>
  <si>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</si>
  <si>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</si>
  <si>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</si>
  <si>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</si>
  <si>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</si>
  <si>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</si>
  <si>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</si>
  <si>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</si>
  <si>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</si>
  <si>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</si>
  <si>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</si>
  <si>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</si>
  <si>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</si>
  <si>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</si>
  <si>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</si>
  <si>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</si>
  <si>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</si>
  <si>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</si>
  <si>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</si>
  <si>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</si>
  <si>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</si>
  <si>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</si>
  <si>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</si>
  <si>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</si>
  <si>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</si>
  <si>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</si>
  <si>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</si>
  <si>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</si>
  <si>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</si>
  <si>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</si>
  <si>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</si>
  <si>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</si>
  <si>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</si>
  <si>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</si>
  <si>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</si>
  <si>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</si>
  <si>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</si>
  <si>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</si>
  <si>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</si>
  <si>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</si>
  <si>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</si>
  <si>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</si>
  <si>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</si>
  <si>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</si>
  <si>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</si>
  <si>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</si>
  <si>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</si>
  <si>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</si>
  <si>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</si>
  <si>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</si>
  <si>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</si>
  <si>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</si>
  <si>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</si>
  <si>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</si>
  <si>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</si>
  <si>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</si>
  <si>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</si>
  <si>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</si>
  <si>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</si>
  <si>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</si>
  <si>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</si>
  <si>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</si>
  <si>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</si>
  <si>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</si>
  <si>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</si>
  <si>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</si>
  <si>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</si>
  <si>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</si>
  <si>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</si>
  <si>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</si>
  <si>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</si>
  <si>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</si>
  <si>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</si>
  <si>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</si>
  <si>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</si>
  <si>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</si>
  <si>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</si>
  <si>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</si>
  <si>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</si>
  <si>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</si>
  <si>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</si>
  <si>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</si>
  <si>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</si>
  <si>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</si>
  <si>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</si>
  <si>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</si>
  <si>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</si>
  <si>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</si>
  <si>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</si>
  <si>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</si>
  <si>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</si>
  <si>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</si>
  <si>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</si>
  <si>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</si>
  <si>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</si>
  <si>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</si>
  <si>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</si>
  <si>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</si>
  <si>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</si>
  <si>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</si>
  <si>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</si>
  <si>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</si>
  <si>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</si>
  <si>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</si>
  <si>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</si>
  <si>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</si>
  <si>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</si>
  <si>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</si>
  <si>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</si>
  <si>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</si>
  <si>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</si>
  <si>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</si>
  <si>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</si>
  <si>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</si>
  <si>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</si>
  <si>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</si>
  <si>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</si>
  <si>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</si>
  <si>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</si>
  <si>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</si>
  <si>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</si>
  <si>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</si>
  <si>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</si>
  <si>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</si>
  <si>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</si>
  <si>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</si>
  <si>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</si>
  <si>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</si>
  <si>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</si>
  <si>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</si>
  <si>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</si>
  <si>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</si>
  <si>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</si>
  <si>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</si>
  <si>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</si>
  <si>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</si>
  <si>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</si>
  <si>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</si>
  <si>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</si>
  <si>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</si>
  <si>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</si>
  <si>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</si>
  <si>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</si>
  <si>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</si>
  <si>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</si>
  <si>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</si>
  <si>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</si>
  <si>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</si>
  <si>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</si>
  <si>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</si>
  <si>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</si>
  <si>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</si>
  <si>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</si>
  <si>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</si>
  <si>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</si>
  <si>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</si>
  <si>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</si>
  <si>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</si>
  <si>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</si>
  <si>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</si>
  <si>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</si>
  <si>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</si>
  <si>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</si>
  <si>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</si>
  <si>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</si>
  <si>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</si>
  <si>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</si>
  <si>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</si>
  <si>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</si>
  <si>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</si>
  <si>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</si>
  <si>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</si>
  <si>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</si>
  <si>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</si>
  <si>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</si>
  <si>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</si>
  <si>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</si>
  <si>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</si>
  <si>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</si>
  <si>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</si>
  <si>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</si>
  <si>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</si>
  <si>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</si>
  <si>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</si>
  <si>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</si>
  <si>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</si>
  <si>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</si>
  <si>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</si>
  <si>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</si>
  <si>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</si>
  <si>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</si>
  <si>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</si>
  <si>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</si>
  <si>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</si>
  <si>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</si>
  <si>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</si>
  <si>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</si>
  <si>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</si>
  <si>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</si>
  <si>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</si>
  <si>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</si>
  <si>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</si>
  <si>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</si>
  <si>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</si>
  <si>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</si>
  <si>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</si>
  <si>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</si>
  <si>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</si>
  <si>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</si>
  <si>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</si>
  <si>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</si>
  <si>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</si>
  <si>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</si>
  <si>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</si>
  <si>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</si>
  <si>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</si>
  <si>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</si>
  <si>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</si>
  <si>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</si>
  <si>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</si>
  <si>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</si>
  <si>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</si>
  <si>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</si>
  <si>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</si>
  <si>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</si>
  <si>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</si>
  <si>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</si>
  <si>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</si>
  <si>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</si>
  <si>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</si>
  <si>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</si>
  <si>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</si>
  <si>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</si>
  <si>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</si>
  <si>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</si>
  <si>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</si>
  <si>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</si>
  <si>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</si>
  <si>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</si>
  <si>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</si>
  <si>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</si>
  <si>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</si>
  <si>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</si>
  <si>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</si>
  <si>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</si>
  <si>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</si>
  <si>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</si>
  <si>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</si>
  <si>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</si>
  <si>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</si>
  <si>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</si>
  <si>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</si>
  <si>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</si>
  <si>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</si>
  <si>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</si>
  <si>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</si>
  <si>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</si>
  <si>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</si>
  <si>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</si>
  <si>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</si>
  <si>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</si>
  <si>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</si>
  <si>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</si>
  <si>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</si>
  <si>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</si>
  <si>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</si>
  <si>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</si>
  <si>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</si>
  <si>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</si>
  <si>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</si>
  <si>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</si>
  <si>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</si>
  <si>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</si>
  <si>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</si>
  <si>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</si>
  <si>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</si>
  <si>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</si>
  <si>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</si>
  <si>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</si>
  <si>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</si>
  <si>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</si>
  <si>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</si>
  <si>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</si>
  <si>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</si>
  <si>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</si>
  <si>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</si>
  <si>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</si>
  <si>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</si>
  <si>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</si>
  <si>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</si>
  <si>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</si>
  <si>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</si>
  <si>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</si>
  <si>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</si>
  <si>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</si>
  <si>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</si>
  <si>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</si>
  <si>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</si>
  <si>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</si>
  <si>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</si>
  <si>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</si>
  <si>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</si>
  <si>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</si>
  <si>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</si>
  <si>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</si>
  <si>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</si>
  <si>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</si>
  <si>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</si>
  <si>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</si>
  <si>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</si>
  <si>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</si>
  <si>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</si>
  <si>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</si>
  <si>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</si>
  <si>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</si>
  <si>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</si>
  <si>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</si>
  <si>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</si>
  <si>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</si>
  <si>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</si>
  <si>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</si>
  <si>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</si>
  <si>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</si>
  <si>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</si>
  <si>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</si>
  <si>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</si>
  <si>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</si>
  <si>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</si>
  <si>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</si>
  <si>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</si>
  <si>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</si>
  <si>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</si>
  <si>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</si>
  <si>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</si>
  <si>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</si>
  <si>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</si>
  <si>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</si>
  <si>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</si>
  <si>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</si>
  <si>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</si>
  <si>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</si>
  <si>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</si>
  <si>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</si>
  <si>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</si>
  <si>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</si>
  <si>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</si>
  <si>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</si>
  <si>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</si>
  <si>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</si>
  <si>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</si>
  <si>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</si>
  <si>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</si>
  <si>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</si>
  <si>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</si>
  <si>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</si>
  <si>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</si>
  <si>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</si>
  <si>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</si>
  <si>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</si>
  <si>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</si>
  <si>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</si>
  <si>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</si>
  <si>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</si>
  <si>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</si>
  <si>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</si>
  <si>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</si>
  <si>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</si>
  <si>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</si>
  <si>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</si>
  <si>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</si>
  <si>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</si>
  <si>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</si>
  <si>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</si>
  <si>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</si>
  <si>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</si>
  <si>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</si>
  <si>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</si>
  <si>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</si>
  <si>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</si>
  <si>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</si>
  <si>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</si>
  <si>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</si>
  <si>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</si>
  <si>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</si>
  <si>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</si>
  <si>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</si>
  <si>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</si>
  <si>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</si>
  <si>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</si>
  <si>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</si>
  <si>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</si>
  <si>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</si>
  <si>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</si>
  <si>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</si>
  <si>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</si>
  <si>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</si>
  <si>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</si>
  <si>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</si>
  <si>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</si>
  <si>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</si>
  <si>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</si>
  <si>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</si>
  <si>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</si>
  <si>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</si>
  <si>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</si>
  <si>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</si>
  <si>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</si>
  <si>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</si>
  <si>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</si>
  <si>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</si>
  <si>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</si>
  <si>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</si>
  <si>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</si>
  <si>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</si>
  <si>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</si>
  <si>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</si>
  <si>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</si>
  <si>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</si>
  <si>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</si>
  <si>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</si>
  <si>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</si>
  <si>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</si>
  <si>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</si>
  <si>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</si>
  <si>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</si>
  <si>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</si>
  <si>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</si>
  <si>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</si>
  <si>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</si>
  <si>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</si>
  <si>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</si>
  <si>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</si>
  <si>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</si>
  <si>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</si>
  <si>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</si>
  <si>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</si>
  <si>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</si>
  <si>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</si>
  <si>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</si>
  <si>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</si>
  <si>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</si>
  <si>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</si>
  <si>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</si>
  <si>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</si>
  <si>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</si>
  <si>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</si>
  <si>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</si>
  <si>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</si>
  <si>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</si>
  <si>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</si>
  <si>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</si>
  <si>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</si>
  <si>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</si>
  <si>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</si>
  <si>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</si>
  <si>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</si>
  <si>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</si>
  <si>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</si>
  <si>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</si>
  <si>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</si>
  <si>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</si>
  <si>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</si>
  <si>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</si>
  <si>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</si>
  <si>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</si>
  <si>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</si>
  <si>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</si>
  <si>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</si>
  <si>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</si>
  <si>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</si>
  <si>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</si>
  <si>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</si>
  <si>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</si>
  <si>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</si>
  <si>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</si>
  <si>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</si>
  <si>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</si>
  <si>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</si>
  <si>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</si>
  <si>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</si>
  <si>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</si>
  <si>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</si>
  <si>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</si>
  <si>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</si>
  <si>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</si>
  <si>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</si>
  <si>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</si>
  <si>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</si>
  <si>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</si>
  <si>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</si>
  <si>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</si>
  <si>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</si>
  <si>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</si>
  <si>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</si>
  <si>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</si>
  <si>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</si>
  <si>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</si>
  <si>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</si>
  <si>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</si>
  <si>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</si>
  <si>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</si>
  <si>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</si>
  <si>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</si>
  <si>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</si>
  <si>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</si>
  <si>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</si>
  <si>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</si>
  <si>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</si>
  <si>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</si>
  <si>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</si>
  <si>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</si>
  <si>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</si>
  <si>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</si>
  <si>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</si>
  <si>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</si>
  <si>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</si>
  <si>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</si>
  <si>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</si>
  <si>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</si>
  <si>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</si>
  <si>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</si>
  <si>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</si>
  <si>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</si>
  <si>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</si>
  <si>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</si>
  <si>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</si>
  <si>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</si>
  <si>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</si>
  <si>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</si>
  <si>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</si>
  <si>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</si>
  <si>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</si>
  <si>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</si>
  <si>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</si>
  <si>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</si>
  <si>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</si>
  <si>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</si>
  <si>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</si>
  <si>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</si>
  <si>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</si>
  <si>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</si>
  <si>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</si>
  <si>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</si>
  <si>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</si>
  <si>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</si>
  <si>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</si>
  <si>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</si>
  <si>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</si>
  <si>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</si>
  <si>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</si>
  <si>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</si>
  <si>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</si>
  <si>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</si>
  <si>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</si>
  <si>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</si>
  <si>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</si>
  <si>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</si>
  <si>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</si>
  <si>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</si>
  <si>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</si>
  <si>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</si>
  <si>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</si>
  <si>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</si>
  <si>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</si>
  <si>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</si>
  <si>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</si>
  <si>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</si>
  <si>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</si>
  <si>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</si>
  <si>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</si>
  <si>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</si>
  <si>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</si>
  <si>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</si>
  <si>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</si>
  <si>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</si>
  <si>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</si>
  <si>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</si>
  <si>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</si>
  <si>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</si>
  <si>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</si>
  <si>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</si>
  <si>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</si>
  <si>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</si>
  <si>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</si>
  <si>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</si>
  <si>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</si>
  <si>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</si>
  <si>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</si>
  <si>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</si>
  <si>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</si>
  <si>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</si>
  <si>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</si>
  <si>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</si>
  <si>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</si>
  <si>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</si>
  <si>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</si>
  <si>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</si>
  <si>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</si>
  <si>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</si>
  <si>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</si>
  <si>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</si>
  <si>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</si>
  <si>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</si>
  <si>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</si>
  <si>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</si>
  <si>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</si>
  <si>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</si>
  <si>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</si>
  <si>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</si>
  <si>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</si>
  <si>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</si>
  <si>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</si>
  <si>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</si>
  <si>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</si>
  <si>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</si>
  <si>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</si>
  <si>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</si>
  <si>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</si>
  <si>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</si>
  <si>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</si>
  <si>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</si>
  <si>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</si>
  <si>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</si>
  <si>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</si>
  <si>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</si>
  <si>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</si>
  <si>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</si>
  <si>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</si>
  <si>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</si>
  <si>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</si>
  <si>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</si>
  <si>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</si>
  <si>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</si>
  <si>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</si>
  <si>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</si>
  <si>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</si>
  <si>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</si>
  <si>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</si>
  <si>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</si>
  <si>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</si>
  <si>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</si>
  <si>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</si>
  <si>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</si>
  <si>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</si>
  <si>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</si>
  <si>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</si>
  <si>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</si>
  <si>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</si>
  <si>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</si>
  <si>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</si>
  <si>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</si>
  <si>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</si>
  <si>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</si>
  <si>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</si>
  <si>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</si>
  <si>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</si>
  <si>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</si>
  <si>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</si>
  <si>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</si>
  <si>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</si>
  <si>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</si>
  <si>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</si>
  <si>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</si>
  <si>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</si>
  <si>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</si>
  <si>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</si>
  <si>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</si>
  <si>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</si>
  <si>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</si>
  <si>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</si>
  <si>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</si>
  <si>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</si>
  <si>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</si>
  <si>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</si>
  <si>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</si>
  <si>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</si>
  <si>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</si>
  <si>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</si>
  <si>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</si>
  <si>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</si>
  <si>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</si>
  <si>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</si>
  <si>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</si>
  <si>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</si>
  <si>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</si>
  <si>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</si>
  <si>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</si>
  <si>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</si>
  <si>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</si>
  <si>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</si>
  <si>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</si>
  <si>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</si>
  <si>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</si>
  <si>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</si>
  <si>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</si>
  <si>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</si>
  <si>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</si>
  <si>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</si>
  <si>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</si>
  <si>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</si>
  <si>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</si>
  <si>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</si>
  <si>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</si>
  <si>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</si>
  <si>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</si>
  <si>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</si>
  <si>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</si>
  <si>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</si>
  <si>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</si>
  <si>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</si>
  <si>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</si>
  <si>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</si>
  <si>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</si>
  <si>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</si>
  <si>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</si>
  <si>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</si>
  <si>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</si>
  <si>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</si>
  <si>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</si>
  <si>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</si>
  <si>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</si>
  <si>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</si>
  <si>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</si>
  <si>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</si>
  <si>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</si>
  <si>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</si>
  <si>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</si>
  <si>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</si>
  <si>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</si>
  <si>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</si>
  <si>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</si>
  <si>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</si>
  <si>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</si>
  <si>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</si>
  <si>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</si>
  <si>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</si>
  <si>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</si>
  <si>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</si>
  <si>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</si>
  <si>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</si>
  <si>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</si>
  <si>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</si>
  <si>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</si>
  <si>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</si>
  <si>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</si>
  <si>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</si>
  <si>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</si>
  <si>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</si>
  <si>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</si>
  <si>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</si>
  <si>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</si>
  <si>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</si>
  <si>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</si>
  <si>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</si>
  <si>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</si>
  <si>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</si>
  <si>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</si>
  <si>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</si>
  <si>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</si>
  <si>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</si>
  <si>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</si>
  <si>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</si>
  <si>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</si>
  <si>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</si>
  <si>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</si>
  <si>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</si>
  <si>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</si>
  <si>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</si>
  <si>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</si>
  <si>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</si>
  <si>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</si>
  <si>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</si>
  <si>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</si>
  <si>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</si>
  <si>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</si>
  <si>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</si>
  <si>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</si>
  <si>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</si>
  <si>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</si>
  <si>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</si>
  <si>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</si>
  <si>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</si>
  <si>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</si>
  <si>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</si>
  <si>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</si>
  <si>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</si>
  <si>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</si>
  <si>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</si>
  <si>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</si>
  <si>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</si>
  <si>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</si>
  <si>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</si>
  <si>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</si>
  <si>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</si>
  <si>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</si>
  <si>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</si>
  <si>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</si>
  <si>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</si>
  <si>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</si>
  <si>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</si>
  <si>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</si>
  <si>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</si>
  <si>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</si>
  <si>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</si>
  <si>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</si>
  <si>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</si>
  <si>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</si>
  <si>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</si>
  <si>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</si>
  <si>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</si>
  <si>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</si>
  <si>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</si>
  <si>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</si>
  <si>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</si>
  <si>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</si>
  <si>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</si>
  <si>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</si>
  <si>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</si>
  <si>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</si>
  <si>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</si>
  <si>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</si>
  <si>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</si>
  <si>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</si>
  <si>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</si>
  <si>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</si>
  <si>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</si>
  <si>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</si>
  <si>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</si>
  <si>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</si>
  <si>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</si>
  <si>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</si>
  <si>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</si>
  <si>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</si>
  <si>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</si>
  <si>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</si>
  <si>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</si>
  <si>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</si>
  <si>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</si>
  <si>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</si>
  <si>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</si>
  <si>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</si>
  <si>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</si>
  <si>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</si>
  <si>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</si>
  <si>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</si>
  <si>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</si>
  <si>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</si>
  <si>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</si>
  <si>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</si>
  <si>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</si>
  <si>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</si>
  <si>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</si>
  <si>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</si>
  <si>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</si>
  <si>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</si>
  <si>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</si>
  <si>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</si>
  <si>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</si>
  <si>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</si>
  <si>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</si>
  <si>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</si>
  <si>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</si>
  <si>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</si>
  <si>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</si>
  <si>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</si>
  <si>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</si>
  <si>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</si>
  <si>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</si>
  <si>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</si>
  <si>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</si>
  <si>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</si>
  <si>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</si>
  <si>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</si>
  <si>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</si>
  <si>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</si>
  <si>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</si>
  <si>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</si>
  <si>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</si>
  <si>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</si>
  <si>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</si>
  <si>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</si>
  <si>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</si>
  <si>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</si>
  <si>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</si>
  <si>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</si>
  <si>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</si>
  <si>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</si>
  <si>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</si>
  <si>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</si>
  <si>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</si>
  <si>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</si>
  <si>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</si>
  <si>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</si>
  <si>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</si>
  <si>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</si>
  <si>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</si>
  <si>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</si>
  <si>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</si>
  <si>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</si>
  <si>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</si>
  <si>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</si>
  <si>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</si>
  <si>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</si>
  <si>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</si>
  <si>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</si>
  <si>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</si>
  <si>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</si>
  <si>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</si>
  <si>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</si>
  <si>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</si>
  <si>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</si>
  <si>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</si>
  <si>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</si>
  <si>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</si>
  <si>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</si>
  <si>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</si>
  <si>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</si>
  <si>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</si>
  <si>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</si>
  <si>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</si>
  <si>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</si>
  <si>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</si>
  <si>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</si>
  <si>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</si>
  <si>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</si>
  <si>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</si>
  <si>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</si>
  <si>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</si>
  <si>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</si>
  <si>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</si>
  <si>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</si>
  <si>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</si>
  <si>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</si>
  <si>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</si>
  <si>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</si>
  <si>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</si>
  <si>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</si>
  <si>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</si>
  <si>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</si>
  <si>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</si>
  <si>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</si>
  <si>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</si>
  <si>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</si>
  <si>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</si>
  <si>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</si>
  <si>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</si>
  <si>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</si>
  <si>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</si>
  <si>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</si>
  <si>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</si>
  <si>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</si>
  <si>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</si>
  <si>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</si>
  <si>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</si>
  <si>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</si>
  <si>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</si>
  <si>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</si>
  <si>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</si>
  <si>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</si>
  <si>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</si>
  <si>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</si>
  <si>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</si>
  <si>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</si>
  <si>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</si>
  <si>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</si>
  <si>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</si>
  <si>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</si>
  <si>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</si>
  <si>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</si>
  <si>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</si>
  <si>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</si>
  <si>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</si>
  <si>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</si>
  <si>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</si>
  <si>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</si>
  <si>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</si>
  <si>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</si>
  <si>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</si>
  <si>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</si>
  <si>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</si>
  <si>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</si>
  <si>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</si>
  <si>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</si>
  <si>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</si>
  <si>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</si>
  <si>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</si>
  <si>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</si>
  <si>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</si>
  <si>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</si>
  <si>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</si>
  <si>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</si>
  <si>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</si>
  <si>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</si>
  <si>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</si>
  <si>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</si>
  <si>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</si>
  <si>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</si>
  <si>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</si>
  <si>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</si>
  <si>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</si>
  <si>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</si>
  <si>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</si>
  <si>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</si>
  <si>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</si>
  <si>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</si>
  <si>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</si>
  <si>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</si>
  <si>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</si>
  <si>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</si>
  <si>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</si>
  <si>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</si>
  <si>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</si>
  <si>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</si>
  <si>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</si>
  <si>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</si>
  <si>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</si>
  <si>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</si>
  <si>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</si>
  <si>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</si>
  <si>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</si>
  <si>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</si>
  <si>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</si>
  <si>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</si>
  <si>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</si>
  <si>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</si>
  <si>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</si>
  <si>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</si>
  <si>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</si>
  <si>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</si>
  <si>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</si>
  <si>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</si>
  <si>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</si>
  <si>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</si>
  <si>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</si>
  <si>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</si>
  <si>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</si>
  <si>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</si>
  <si>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</si>
  <si>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</si>
  <si>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</si>
  <si>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</si>
  <si>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</si>
  <si>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</si>
  <si>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</si>
  <si>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</si>
  <si>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</si>
  <si>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</si>
  <si>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</si>
  <si>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</si>
  <si>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</si>
  <si>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</si>
  <si>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</si>
  <si>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</si>
  <si>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</si>
  <si>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</si>
  <si>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</si>
  <si>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</si>
  <si>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</si>
  <si>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</si>
  <si>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</si>
  <si>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</si>
  <si>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</si>
  <si>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</si>
  <si>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</si>
  <si>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</si>
  <si>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</si>
  <si>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</si>
  <si>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</si>
  <si>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</si>
  <si>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</si>
  <si>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</si>
  <si>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</si>
  <si>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</si>
  <si>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</si>
  <si>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</si>
  <si>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</si>
  <si>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</si>
  <si>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</si>
  <si>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</si>
  <si>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</si>
  <si>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</si>
  <si>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</si>
  <si>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</si>
  <si>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</si>
  <si>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</si>
  <si>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</si>
  <si>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</si>
  <si>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</si>
  <si>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</si>
  <si>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</si>
  <si>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</si>
  <si>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</si>
  <si>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</si>
  <si>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</si>
  <si>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</si>
  <si>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</si>
  <si>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</si>
  <si>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</si>
  <si>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</si>
  <si>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</si>
  <si>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</si>
  <si>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</si>
  <si>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</si>
  <si>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</si>
  <si>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</si>
  <si>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</si>
  <si>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</si>
  <si>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</si>
  <si>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</si>
  <si>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</si>
  <si>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</si>
  <si>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</si>
  <si>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</si>
  <si>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</si>
  <si>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</si>
  <si>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</si>
  <si>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</si>
  <si>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</si>
  <si>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</si>
  <si>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</si>
  <si>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</si>
  <si>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</si>
  <si>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</si>
  <si>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</si>
  <si>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</si>
  <si>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</si>
  <si>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</si>
  <si>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</si>
  <si>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</si>
  <si>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</si>
  <si>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</si>
  <si>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</si>
  <si>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</si>
  <si>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</si>
  <si>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</si>
  <si>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</si>
  <si>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</si>
  <si>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</si>
  <si>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</si>
  <si>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</si>
  <si>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</si>
  <si>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</si>
  <si>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</si>
  <si>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</si>
  <si>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</si>
  <si>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</si>
  <si>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</si>
  <si>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</si>
  <si>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</si>
  <si>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</si>
  <si>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</si>
  <si>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</si>
  <si>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</si>
  <si>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</si>
  <si>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</si>
  <si>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</si>
  <si>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</si>
  <si>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</si>
  <si>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</si>
  <si>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</si>
  <si>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</si>
  <si>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</si>
  <si>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</si>
  <si>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</si>
  <si>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</si>
  <si>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</si>
  <si>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</si>
  <si>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</si>
  <si>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</si>
  <si>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</si>
  <si>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</si>
  <si>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</si>
  <si>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</si>
  <si>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</si>
  <si>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</si>
  <si>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</si>
  <si>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</si>
  <si>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</si>
  <si>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</si>
  <si>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</si>
  <si>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</si>
  <si>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</si>
  <si>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</si>
  <si>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</si>
  <si>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</si>
  <si>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</si>
  <si>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</si>
  <si>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</si>
  <si>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</si>
  <si>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</si>
  <si>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</si>
  <si>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</si>
  <si>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</si>
  <si>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</si>
  <si>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</si>
  <si>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</si>
  <si>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</si>
  <si>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</si>
  <si>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</si>
  <si>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</si>
  <si>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</si>
  <si>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</si>
  <si>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</si>
  <si>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</si>
  <si>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</si>
  <si>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</si>
  <si>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</si>
  <si>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</si>
  <si>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</si>
  <si>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</si>
  <si>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</si>
  <si>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</si>
  <si>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</si>
  <si>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</si>
  <si>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</si>
  <si>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</si>
  <si>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</si>
  <si>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</si>
  <si>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</si>
  <si>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</si>
  <si>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</si>
  <si>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</si>
  <si>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</si>
  <si>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</si>
  <si>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</si>
  <si>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</si>
  <si>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</si>
  <si>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</si>
  <si>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</si>
  <si>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</si>
  <si>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</si>
  <si>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</si>
  <si>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</si>
  <si>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</si>
  <si>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</si>
  <si>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</si>
  <si>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</si>
  <si>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</si>
  <si>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</si>
  <si>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</si>
  <si>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</si>
  <si>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</si>
  <si>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</si>
  <si>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</si>
  <si>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</si>
  <si>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</si>
  <si>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</si>
  <si>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</si>
  <si>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</si>
  <si>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</si>
  <si>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</si>
  <si>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</si>
  <si>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</si>
  <si>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</si>
  <si>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</si>
  <si>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</si>
  <si>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</si>
  <si>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</si>
  <si>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</si>
  <si>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</si>
  <si>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</si>
  <si>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</si>
  <si>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</si>
  <si>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</si>
  <si>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</si>
  <si>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</si>
  <si>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</si>
  <si>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</si>
  <si>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</si>
  <si>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</si>
  <si>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</si>
  <si>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</si>
  <si>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</si>
  <si>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</si>
  <si>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</si>
  <si>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</si>
  <si>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</si>
  <si>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</si>
  <si>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</si>
  <si>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</si>
  <si>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</si>
  <si>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</si>
  <si>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</si>
  <si>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</si>
  <si>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</si>
  <si>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</si>
  <si>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</si>
  <si>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</si>
  <si>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</si>
  <si>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</si>
  <si>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</si>
  <si>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</si>
  <si>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</si>
  <si>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</si>
  <si>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</si>
  <si>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</si>
  <si>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</si>
  <si>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</si>
  <si>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</si>
  <si>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</si>
  <si>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</si>
  <si>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</si>
  <si>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</si>
  <si>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</si>
  <si>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</si>
  <si>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</si>
  <si>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</si>
  <si>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</si>
  <si>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</si>
  <si>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</si>
  <si>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</si>
  <si>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</si>
  <si>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</si>
  <si>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</si>
  <si>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</si>
  <si>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</si>
  <si>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</si>
  <si>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</si>
  <si>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</si>
  <si>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</si>
  <si>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</si>
  <si>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</si>
  <si>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</si>
  <si>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</si>
  <si>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</si>
  <si>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</si>
  <si>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</si>
  <si>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</si>
  <si>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</si>
  <si>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</si>
  <si>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</si>
  <si>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</si>
  <si>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</si>
  <si>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</si>
  <si>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</si>
  <si>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</si>
  <si>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</si>
  <si>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</si>
  <si>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</si>
  <si>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</si>
  <si>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</si>
  <si>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</si>
  <si>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</si>
  <si>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</si>
  <si>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</si>
  <si>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</si>
  <si>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</si>
  <si>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</si>
  <si>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</si>
  <si>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</si>
  <si>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</si>
  <si>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</si>
  <si>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</si>
  <si>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</si>
  <si>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</si>
  <si>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</si>
  <si>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</si>
  <si>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</si>
  <si>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</si>
  <si>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</si>
  <si>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</si>
  <si>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</si>
  <si>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</si>
  <si>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</si>
  <si>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</si>
  <si>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</si>
  <si>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</si>
  <si>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</si>
  <si>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</si>
  <si>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</si>
  <si>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</si>
  <si>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</si>
  <si>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</si>
  <si>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</si>
  <si>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</si>
  <si>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</si>
  <si>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</si>
  <si>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</si>
  <si>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</si>
  <si>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</si>
  <si>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</si>
  <si>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</si>
  <si>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</si>
  <si>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</si>
  <si>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</si>
  <si>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</si>
  <si>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</si>
  <si>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</si>
  <si>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</si>
  <si>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</si>
  <si>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</si>
  <si>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</si>
  <si>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</si>
  <si>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</si>
  <si>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</si>
  <si>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</si>
  <si>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</si>
  <si>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</si>
  <si>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</si>
  <si>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</si>
  <si>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</si>
  <si>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</si>
  <si>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</si>
  <si>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</si>
  <si>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</si>
  <si>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</si>
  <si>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</si>
  <si>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</si>
  <si>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</si>
  <si>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</si>
  <si>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</si>
  <si>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</si>
  <si>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</si>
  <si>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</si>
  <si>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</si>
  <si>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</si>
  <si>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</si>
  <si>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</si>
  <si>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</si>
  <si>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</si>
  <si>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</si>
  <si>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</si>
  <si>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</si>
  <si>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</si>
  <si>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</si>
  <si>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</si>
  <si>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</si>
  <si>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</si>
  <si>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</si>
  <si>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</si>
  <si>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</si>
  <si>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</si>
  <si>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</si>
  <si>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</si>
  <si>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</si>
  <si>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</si>
  <si>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</si>
  <si>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</si>
  <si>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</si>
  <si>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</si>
  <si>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</si>
  <si>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</si>
  <si>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</si>
  <si>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</si>
  <si>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</si>
  <si>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</si>
  <si>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</si>
  <si>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</si>
  <si>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</si>
  <si>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</si>
  <si>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</si>
  <si>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</si>
  <si>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</si>
  <si>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</si>
  <si>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</si>
  <si>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</si>
  <si>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</si>
  <si>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</si>
  <si>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</si>
  <si>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</si>
  <si>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</si>
  <si>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</si>
  <si>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</si>
  <si>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</si>
  <si>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</si>
  <si>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</si>
  <si>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</si>
  <si>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</si>
  <si>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</si>
  <si>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</si>
  <si>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</si>
  <si>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</si>
  <si>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</si>
  <si>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</si>
  <si>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</si>
  <si>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</si>
  <si>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</si>
  <si>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</si>
  <si>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</si>
  <si>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</si>
  <si>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</si>
  <si>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</si>
  <si>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</si>
  <si>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</si>
  <si>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</si>
  <si>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</si>
  <si>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</si>
  <si>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</si>
  <si>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</si>
  <si>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</si>
  <si>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</si>
  <si>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</si>
  <si>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</si>
  <si>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</si>
  <si>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</si>
  <si>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</si>
  <si>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</si>
  <si>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</si>
  <si>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</si>
  <si>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</si>
  <si>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</si>
  <si>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</si>
  <si>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</si>
  <si>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</si>
  <si>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</si>
  <si>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</si>
  <si>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</si>
  <si>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</si>
  <si>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</si>
  <si>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</si>
  <si>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</si>
  <si>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</si>
  <si>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</si>
  <si>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</si>
  <si>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</si>
  <si>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</si>
  <si>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</si>
  <si>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</si>
  <si>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</si>
  <si>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</si>
  <si>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</si>
  <si>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</si>
  <si>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</si>
  <si>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</si>
  <si>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</si>
  <si>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</si>
  <si>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</si>
  <si>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</si>
  <si>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</si>
  <si>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</si>
  <si>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</si>
  <si>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</si>
  <si>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</si>
  <si>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</si>
  <si>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</si>
  <si>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</si>
  <si>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</si>
  <si>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</si>
  <si>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</si>
  <si>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</si>
  <si>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</si>
  <si>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</si>
  <si>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</si>
  <si>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</si>
  <si>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</si>
  <si>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</si>
  <si>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</si>
  <si>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</si>
  <si>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</si>
  <si>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</si>
  <si>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</si>
  <si>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</si>
  <si>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</si>
  <si>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</si>
  <si>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</si>
  <si>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</si>
  <si>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</si>
  <si>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</si>
  <si>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</si>
  <si>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</si>
  <si>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</si>
  <si>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</si>
  <si>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</si>
  <si>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</si>
  <si>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</si>
  <si>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</si>
  <si>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</si>
  <si>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</si>
  <si>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</si>
  <si>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</si>
  <si>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</si>
  <si>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</si>
  <si>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</si>
  <si>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</si>
  <si>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</si>
  <si>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</si>
  <si>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</si>
  <si>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</si>
  <si>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</si>
  <si>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</si>
  <si>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</si>
  <si>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</si>
  <si>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</si>
  <si>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</si>
  <si>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</si>
  <si>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</si>
  <si>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</si>
  <si>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</si>
  <si>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</si>
  <si>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</si>
  <si>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</si>
  <si>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</si>
  <si>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</si>
  <si>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</si>
  <si>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</si>
  <si>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</si>
  <si>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</si>
  <si>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</si>
  <si>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</si>
  <si>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</si>
  <si>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</si>
  <si>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</si>
  <si>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</si>
  <si>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</si>
  <si>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</si>
  <si>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</si>
  <si>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</si>
  <si>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</si>
  <si>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</si>
  <si>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</si>
  <si>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</si>
  <si>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</si>
  <si>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</si>
  <si>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</si>
  <si>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</si>
  <si>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</si>
  <si>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</si>
  <si>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</si>
  <si>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</si>
  <si>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</si>
  <si>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</si>
  <si>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</si>
  <si>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</si>
  <si>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</si>
  <si>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</si>
  <si>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</si>
  <si>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</si>
  <si>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</si>
  <si>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</si>
  <si>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</si>
  <si>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</si>
  <si>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</si>
  <si>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</si>
  <si>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</si>
  <si>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</si>
  <si>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</si>
  <si>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</si>
  <si>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</si>
  <si>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</si>
  <si>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</si>
  <si>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</si>
  <si>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</si>
  <si>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</si>
  <si>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</si>
  <si>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</si>
  <si>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</si>
  <si>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</si>
  <si>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</si>
  <si>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</si>
  <si>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</si>
  <si>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</si>
  <si>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</si>
  <si>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</si>
  <si>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</si>
  <si>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</si>
  <si>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</si>
  <si>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</si>
  <si>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</si>
  <si>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</si>
  <si>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</si>
  <si>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</si>
  <si>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</si>
  <si>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</si>
  <si>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</si>
  <si>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</si>
  <si>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</si>
  <si>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</si>
  <si>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</si>
  <si>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</si>
  <si>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</si>
  <si>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</si>
  <si>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</si>
  <si>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</si>
  <si>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</si>
  <si>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</si>
  <si>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</si>
  <si>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</si>
  <si>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</si>
  <si>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</si>
  <si>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</si>
  <si>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</si>
  <si>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</si>
  <si>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</si>
  <si>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</si>
  <si>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</si>
  <si>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</si>
  <si>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</si>
  <si>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</si>
  <si>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</si>
  <si>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</si>
  <si>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</si>
  <si>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</si>
  <si>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</si>
  <si>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</si>
  <si>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</si>
  <si>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</si>
  <si>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</si>
  <si>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</si>
  <si>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</si>
  <si>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</si>
  <si>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</si>
  <si>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</si>
  <si>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</si>
  <si>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</si>
  <si>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</si>
  <si>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</si>
  <si>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</si>
  <si>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</si>
  <si>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</si>
  <si>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</si>
  <si>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</si>
  <si>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</si>
  <si>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</si>
  <si>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</si>
  <si>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</si>
  <si>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</si>
  <si>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</si>
  <si>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</si>
  <si>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</si>
  <si>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</si>
  <si>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</si>
  <si>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</si>
  <si>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</si>
  <si>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</si>
  <si>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</si>
  <si>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</si>
  <si>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</si>
  <si>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</si>
  <si>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</si>
  <si>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</si>
  <si>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</si>
  <si>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</si>
  <si>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</si>
  <si>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</si>
  <si>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</si>
  <si>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</si>
  <si>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</si>
  <si>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</si>
  <si>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</si>
  <si>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</si>
  <si>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</si>
  <si>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</si>
  <si>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</si>
  <si>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</si>
  <si>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</si>
  <si>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</si>
  <si>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</si>
  <si>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</si>
  <si>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</si>
  <si>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</si>
  <si>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</si>
  <si>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</si>
  <si>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</si>
  <si>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</si>
  <si>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</si>
  <si>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</si>
  <si>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</si>
  <si>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</si>
  <si>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</si>
  <si>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</si>
  <si>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</si>
  <si>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</si>
  <si>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</si>
  <si>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</si>
  <si>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</si>
  <si>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</si>
  <si>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</si>
  <si>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</si>
  <si>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</si>
  <si>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</si>
  <si>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</si>
  <si>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</si>
  <si>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</si>
  <si>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</si>
  <si>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</si>
  <si>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</si>
  <si>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</si>
  <si>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</si>
  <si>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</si>
  <si>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</si>
  <si>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</si>
  <si>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</si>
  <si>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</si>
  <si>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</si>
  <si>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</si>
  <si>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</si>
  <si>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</si>
  <si>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</si>
  <si>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</si>
  <si>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</si>
  <si>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</si>
  <si>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</si>
  <si>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</si>
  <si>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</si>
  <si>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</si>
  <si>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</si>
  <si>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</si>
  <si>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</si>
  <si>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</si>
  <si>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</si>
  <si>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</si>
  <si>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</si>
  <si>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</si>
  <si>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</si>
  <si>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</si>
  <si>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</si>
  <si>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</si>
  <si>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</si>
  <si>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</si>
  <si>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</si>
  <si>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</si>
  <si>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</si>
  <si>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</si>
  <si>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</si>
  <si>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</si>
  <si>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</si>
  <si>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</si>
  <si>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</si>
  <si>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</si>
  <si>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</si>
  <si>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</si>
  <si>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</si>
  <si>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</si>
  <si>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</si>
  <si>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</si>
  <si>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</si>
  <si>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</si>
  <si>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</si>
  <si>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</si>
  <si>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</si>
  <si>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</si>
  <si>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</si>
  <si>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</si>
  <si>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</si>
  <si>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</si>
  <si>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</si>
  <si>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</si>
  <si>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</si>
  <si>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</si>
  <si>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</si>
  <si>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</si>
  <si>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</si>
  <si>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</si>
  <si>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</si>
  <si>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</si>
  <si>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</si>
  <si>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</si>
  <si>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</si>
  <si>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</si>
  <si>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</si>
  <si>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</si>
  <si>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</si>
  <si>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</si>
  <si>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</si>
  <si>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</si>
  <si>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</si>
  <si>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</si>
  <si>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</si>
  <si>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</si>
  <si>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</si>
  <si>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</si>
  <si>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</si>
  <si>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</si>
  <si>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</si>
  <si>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</si>
  <si>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</si>
  <si>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</si>
  <si>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</si>
  <si>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</si>
  <si>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</si>
  <si>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</si>
  <si>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</si>
  <si>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</si>
  <si>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</si>
  <si>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</si>
  <si>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</si>
  <si>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</si>
  <si>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</si>
  <si>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</si>
  <si>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</si>
  <si>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</si>
  <si>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</si>
  <si>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</si>
  <si>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</si>
  <si>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</si>
  <si>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</si>
  <si>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</si>
  <si>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</si>
  <si>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</si>
  <si>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</si>
  <si>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</si>
  <si>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</si>
  <si>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</si>
  <si>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</si>
  <si>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</si>
  <si>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</si>
  <si>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</si>
  <si>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</si>
  <si>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</si>
  <si>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</si>
  <si>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</si>
  <si>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</si>
  <si>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</si>
  <si>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</si>
  <si>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</si>
  <si>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</si>
  <si>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</si>
  <si>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</si>
  <si>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</si>
  <si>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</si>
  <si>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</si>
  <si>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</si>
  <si>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</si>
  <si>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</si>
  <si>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</si>
  <si>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</si>
  <si>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</si>
  <si>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</si>
  <si>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</si>
  <si>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</si>
  <si>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</si>
  <si>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</si>
  <si>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</si>
  <si>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</si>
  <si>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</si>
  <si>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</si>
  <si>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</si>
  <si>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</si>
  <si>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</si>
  <si>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</si>
  <si>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</si>
  <si>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</si>
  <si>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</si>
  <si>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</si>
  <si>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</si>
  <si>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</si>
  <si>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</si>
  <si>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</si>
  <si>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</si>
  <si>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</si>
  <si>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</si>
  <si>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</si>
  <si>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</si>
  <si>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</si>
  <si>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</si>
  <si>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</si>
  <si>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</si>
  <si>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</si>
  <si>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</si>
  <si>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</si>
  <si>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</si>
  <si>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</si>
  <si>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</si>
  <si>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</si>
  <si>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</si>
  <si>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</si>
  <si>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</si>
  <si>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</si>
  <si>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</si>
  <si>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</si>
  <si>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</si>
  <si>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</si>
  <si>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</si>
  <si>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</si>
  <si>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</si>
  <si>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</si>
  <si>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</si>
  <si>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</si>
  <si>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</si>
  <si>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</si>
  <si>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</si>
  <si>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</si>
  <si>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</si>
  <si>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</si>
  <si>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</si>
  <si>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</si>
  <si>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</si>
  <si>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</si>
  <si>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</si>
  <si>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</si>
  <si>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</si>
  <si>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</si>
  <si>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</si>
  <si>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</si>
  <si>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</si>
  <si>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</si>
  <si>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</si>
  <si>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</si>
  <si>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</si>
  <si>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</si>
  <si>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</si>
  <si>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</si>
  <si>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</si>
  <si>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</si>
  <si>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</si>
  <si>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</si>
  <si>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</si>
  <si>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</si>
  <si>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</si>
  <si>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</si>
  <si>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</si>
  <si>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</si>
  <si>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</si>
  <si>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</si>
  <si>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</si>
  <si>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</si>
  <si>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</si>
  <si>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</si>
  <si>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</si>
  <si>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</si>
  <si>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</si>
  <si>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</si>
  <si>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</si>
  <si>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</si>
  <si>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</si>
  <si>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</si>
  <si>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</si>
  <si>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</si>
  <si>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</si>
  <si>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</si>
  <si>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</si>
  <si>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</si>
  <si>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</si>
  <si>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</si>
  <si>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</si>
  <si>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</si>
  <si>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</si>
  <si>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</si>
  <si>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</si>
  <si>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</si>
  <si>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</si>
  <si>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</si>
  <si>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</si>
  <si>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</si>
  <si>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</si>
  <si>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</si>
  <si>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</si>
  <si>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</si>
  <si>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</si>
  <si>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</si>
  <si>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</si>
  <si>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</si>
  <si>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</si>
  <si>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</si>
  <si>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</si>
  <si>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</si>
  <si>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</si>
  <si>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</si>
  <si>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</si>
  <si>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</si>
  <si>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</si>
  <si>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</si>
  <si>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</si>
  <si>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</si>
  <si>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</si>
  <si>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</si>
  <si>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</si>
  <si>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</si>
  <si>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</si>
  <si>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</si>
  <si>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</si>
  <si>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</si>
  <si>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</si>
  <si>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</si>
  <si>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</si>
  <si>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</si>
  <si>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</si>
  <si>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</si>
  <si>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</si>
  <si>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</si>
  <si>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</si>
  <si>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</si>
  <si>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</si>
  <si>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</si>
  <si>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</si>
  <si>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</si>
  <si>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</si>
  <si>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</si>
  <si>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</si>
  <si>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</si>
  <si>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</si>
  <si>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</si>
  <si>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按公示增长率计算</t>
  </si>
  <si>
    <t>容积率修正</t>
  </si>
  <si>
    <t>基准地价（住宅）</t>
  </si>
  <si>
    <t>基准地价（住宅）</t>
    <phoneticPr fontId="14" type="noConversion"/>
  </si>
  <si>
    <t>基准地价（商业）</t>
    <phoneticPr fontId="14" type="noConversion"/>
  </si>
  <si>
    <t>批发零售用地</t>
  </si>
  <si>
    <t>不临58条商业街</t>
  </si>
  <si>
    <t>无</t>
  </si>
  <si>
    <t>有</t>
  </si>
  <si>
    <t>工程进度</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</si>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</sst>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180" fontId="81" fillId="23" borderId="2" xfId="3" applyNumberFormat="1"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188" fontId="73"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3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H6">
            <v>0.04</v>
          </cell>
          <cell r="I6">
            <v>0.05</v>
          </cell>
          <cell r="J6">
            <v>7.0000000000000007E-2</v>
          </cell>
          <cell r="L6">
            <v>4500</v>
          </cell>
          <cell r="Q6">
            <v>0.25</v>
          </cell>
          <cell r="AK6">
            <v>1.4999999999999999E-2</v>
          </cell>
          <cell r="AL6">
            <v>1.5E-3</v>
          </cell>
          <cell r="AM6">
            <v>0.01</v>
          </cell>
        </row>
        <row r="7">
          <cell r="H7">
            <v>0.04</v>
          </cell>
          <cell r="I7">
            <v>0.05</v>
          </cell>
          <cell r="J7">
            <v>7.0000000000000007E-2</v>
          </cell>
          <cell r="L7">
            <v>4000</v>
          </cell>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3">
          <cell r="B33">
            <v>0.03</v>
          </cell>
        </row>
        <row r="34">
          <cell r="B34">
            <v>0.1</v>
          </cell>
        </row>
        <row r="35">
          <cell r="B35">
            <v>200</v>
          </cell>
        </row>
        <row r="36">
          <cell r="B36">
            <v>1.4999999999999999E-2</v>
          </cell>
        </row>
        <row r="37">
          <cell r="B37">
            <v>0.02</v>
          </cell>
        </row>
        <row r="38">
          <cell r="B38">
            <v>0.02</v>
          </cell>
        </row>
        <row r="42">
          <cell r="B42">
            <v>0.05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126069.5平方米。根据《建设工程规划许可证》[]、《出让合同》[]，估价对象规划建筑面积为217541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根据《国有土地使用证》[]，估价对象（分摊）出让国有建设用地使用权面积为126069.5平方米。根据《建设工程规划许可证》[]、《出让合同》[]，估价对象规划建筑面积为217541平方米。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126069.5</v>
      </c>
    </row>
    <row r="44" spans="1:2">
      <c r="A44" s="2562" t="s">
        <v>2693</v>
      </c>
      <c r="B44" s="2563" t="str">
        <f>'预评函-2'!O3</f>
        <v>规划建筑面积/㎡</v>
      </c>
    </row>
    <row r="45" spans="1:2">
      <c r="A45" s="2562" t="s">
        <v>2675</v>
      </c>
      <c r="B45" s="2563">
        <f>'预评函-2'!O5</f>
        <v>217541</v>
      </c>
    </row>
    <row r="46" spans="1:2">
      <c r="A46" s="2562" t="s">
        <v>2676</v>
      </c>
      <c r="B46" s="2563">
        <f ca="1">'预评函-2'!P5</f>
        <v>11757</v>
      </c>
    </row>
    <row r="47" spans="1:2">
      <c r="A47" s="2562" t="s">
        <v>2677</v>
      </c>
      <c r="B47" s="2563">
        <f ca="1">'预评函-2'!Q5</f>
        <v>6813</v>
      </c>
    </row>
    <row r="48" spans="1:2">
      <c r="A48" s="2562" t="s">
        <v>2678</v>
      </c>
      <c r="B48" s="2563">
        <f ca="1">'预评函-2'!R5</f>
        <v>148221</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D46" sqref="D46"/>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520" t="str">
        <f>IF(B10="北京市","北京市",C10)&amp;F10&amp;B16&amp;"国有建设用地使用权"&amp;B9&amp;"预评估"</f>
        <v>北京市出让国有建设用地使用权市场价格预评估</v>
      </c>
      <c r="C1" s="3521"/>
      <c r="D1" s="3521"/>
      <c r="E1" s="3521"/>
      <c r="F1" s="3521"/>
      <c r="G1" s="3521"/>
      <c r="H1" s="3521"/>
      <c r="I1" s="3522"/>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26" t="s">
        <v>1911</v>
      </c>
      <c r="E8" s="1729"/>
      <c r="F8" s="1572"/>
      <c r="G8" s="3040"/>
      <c r="H8" s="3040"/>
      <c r="I8" s="3043"/>
      <c r="J8" s="3039"/>
      <c r="K8" s="3022"/>
      <c r="L8" s="3018"/>
      <c r="M8" s="3018"/>
      <c r="N8" s="3019"/>
      <c r="O8" s="3020"/>
      <c r="P8" s="3019"/>
      <c r="Q8" s="3019"/>
      <c r="R8" s="3019"/>
      <c r="S8" s="3019"/>
      <c r="T8" s="3019"/>
      <c r="U8" s="3019"/>
    </row>
    <row r="9" spans="1:21" ht="15" thickBot="1">
      <c r="A9" s="2964" t="s">
        <v>1910</v>
      </c>
      <c r="B9" s="1573" t="s">
        <v>3199</v>
      </c>
      <c r="C9" s="1574"/>
      <c r="D9" s="3527"/>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23"/>
      <c r="C12" s="3524"/>
      <c r="D12" s="3525"/>
      <c r="E12" s="1593" t="s">
        <v>2028</v>
      </c>
      <c r="F12" s="3541" t="s">
        <v>2838</v>
      </c>
      <c r="G12" s="3542"/>
      <c r="H12" s="3542"/>
      <c r="I12" s="3543"/>
      <c r="J12" s="3039"/>
      <c r="K12" s="3022"/>
      <c r="L12" s="3018"/>
      <c r="M12" s="3018"/>
      <c r="N12" s="3019"/>
      <c r="O12" s="3020"/>
      <c r="P12" s="3019"/>
      <c r="Q12" s="3019"/>
      <c r="R12" s="3019"/>
      <c r="S12" s="3019"/>
      <c r="T12" s="3019"/>
      <c r="U12" s="3019"/>
    </row>
    <row r="13" spans="1:21">
      <c r="A13" s="1584" t="s">
        <v>2026</v>
      </c>
      <c r="B13" s="3523"/>
      <c r="C13" s="3524"/>
      <c r="D13" s="3525"/>
      <c r="E13" s="1593" t="s">
        <v>2028</v>
      </c>
      <c r="F13" s="3541" t="s">
        <v>2839</v>
      </c>
      <c r="G13" s="3542"/>
      <c r="H13" s="3542"/>
      <c r="I13" s="3543"/>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38"/>
      <c r="E20" s="3539"/>
      <c r="F20" s="3539"/>
      <c r="G20" s="3539"/>
      <c r="H20" s="3539"/>
      <c r="I20" s="3540"/>
      <c r="J20" s="3039"/>
      <c r="K20" s="3022"/>
      <c r="L20" s="3018"/>
      <c r="M20" s="3018"/>
      <c r="N20" s="3019"/>
      <c r="O20" s="3020"/>
      <c r="P20" s="3019"/>
      <c r="Q20" s="3019"/>
      <c r="R20" s="3019"/>
      <c r="S20" s="3019"/>
      <c r="T20" s="3019"/>
      <c r="U20" s="3019"/>
    </row>
    <row r="21" spans="1:21">
      <c r="A21" s="1652" t="s">
        <v>1925</v>
      </c>
      <c r="B21" s="1653" t="s">
        <v>1926</v>
      </c>
      <c r="C21" s="1648">
        <f>'数据-汇总表'!E3</f>
        <v>217541</v>
      </c>
      <c r="D21" s="1649" t="s">
        <v>1927</v>
      </c>
      <c r="E21" s="3528" t="s">
        <v>1965</v>
      </c>
      <c r="F21" s="3529"/>
      <c r="G21" s="3529"/>
      <c r="H21" s="3529"/>
      <c r="I21" s="3530"/>
      <c r="J21" s="3039"/>
      <c r="K21" s="3022"/>
      <c r="L21" s="3018"/>
      <c r="M21" s="3018"/>
      <c r="N21" s="3019"/>
      <c r="O21" s="3020"/>
      <c r="P21" s="3019"/>
      <c r="Q21" s="3019"/>
      <c r="R21" s="3019"/>
      <c r="S21" s="3019"/>
      <c r="T21" s="3019"/>
      <c r="U21" s="3019"/>
    </row>
    <row r="22" spans="1:21">
      <c r="A22" s="2767" t="s">
        <v>927</v>
      </c>
      <c r="B22" s="1561" t="s">
        <v>1928</v>
      </c>
      <c r="C22" s="1583">
        <f>'数据-汇总表'!D3</f>
        <v>126069.5</v>
      </c>
      <c r="D22" s="1584" t="s">
        <v>1927</v>
      </c>
      <c r="E22" s="3528" t="s">
        <v>2840</v>
      </c>
      <c r="F22" s="3529"/>
      <c r="G22" s="3529"/>
      <c r="H22" s="3529"/>
      <c r="I22" s="3530"/>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31" t="s">
        <v>1933</v>
      </c>
      <c r="C24" s="3532"/>
      <c r="D24" s="3533" t="s">
        <v>1934</v>
      </c>
      <c r="E24" s="3534"/>
      <c r="F24" s="1601" t="s">
        <v>1935</v>
      </c>
      <c r="G24" s="3039"/>
      <c r="H24" s="3039"/>
      <c r="I24" s="3043"/>
      <c r="J24" s="3039"/>
      <c r="K24" s="3519"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519"/>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519"/>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505" t="s">
        <v>1968</v>
      </c>
      <c r="B31" s="1653" t="s">
        <v>1969</v>
      </c>
      <c r="C31" s="3544"/>
      <c r="D31" s="3545"/>
      <c r="E31" s="3039"/>
      <c r="F31" s="3039"/>
      <c r="G31" s="3039"/>
      <c r="H31" s="3039"/>
      <c r="I31" s="3043"/>
      <c r="J31" s="3039"/>
      <c r="K31" s="3025"/>
      <c r="L31" s="3019"/>
      <c r="M31" s="3019"/>
      <c r="N31" s="3019"/>
      <c r="O31" s="3019"/>
      <c r="P31" s="3019"/>
      <c r="Q31" s="3019"/>
      <c r="R31" s="3019"/>
      <c r="S31" s="3019"/>
      <c r="T31" s="3019"/>
      <c r="U31" s="3019"/>
    </row>
    <row r="32" spans="1:21">
      <c r="A32" s="3505"/>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05"/>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06"/>
      <c r="B34" s="1561" t="s">
        <v>1972</v>
      </c>
      <c r="C34" s="3507"/>
      <c r="D34" s="3508"/>
      <c r="E34" s="3039"/>
      <c r="F34" s="3039"/>
      <c r="G34" s="3039"/>
      <c r="H34" s="3039"/>
      <c r="I34" s="3043"/>
      <c r="J34" s="3039"/>
      <c r="K34" s="3025"/>
      <c r="L34" s="3019"/>
      <c r="M34" s="3019"/>
      <c r="N34" s="3019"/>
      <c r="O34" s="3019"/>
      <c r="P34" s="3019"/>
      <c r="Q34" s="3019"/>
      <c r="R34" s="3019"/>
      <c r="S34" s="3019"/>
      <c r="T34" s="3019"/>
      <c r="U34" s="3019"/>
    </row>
    <row r="35" spans="1:28">
      <c r="A35" s="3509" t="s">
        <v>823</v>
      </c>
      <c r="B35" s="1615" t="s">
        <v>3204</v>
      </c>
      <c r="C35" s="1662" t="str">
        <f>IF(B35="场地平整","——","具体情况：")</f>
        <v>——</v>
      </c>
      <c r="D35" s="3511"/>
      <c r="E35" s="3512"/>
      <c r="F35" s="3512"/>
      <c r="G35" s="3512"/>
      <c r="H35" s="3512"/>
      <c r="I35" s="3513"/>
      <c r="J35" s="3039"/>
      <c r="K35" s="3026"/>
      <c r="L35" s="3018"/>
      <c r="M35" s="3018"/>
      <c r="N35" s="3019"/>
      <c r="O35" s="3020"/>
      <c r="P35" s="3019"/>
      <c r="Q35" s="3019"/>
      <c r="R35" s="3019"/>
      <c r="S35" s="3019"/>
      <c r="T35" s="3019"/>
      <c r="U35" s="3019"/>
    </row>
    <row r="36" spans="1:28">
      <c r="A36" s="3505"/>
      <c r="B36" s="3514" t="s">
        <v>2021</v>
      </c>
      <c r="C36" s="3515"/>
      <c r="D36" s="1678"/>
      <c r="E36" s="3516"/>
      <c r="F36" s="3516"/>
      <c r="G36" s="1584" t="str">
        <f>IF(B35="场地未平整","估价结果处理","")</f>
        <v/>
      </c>
      <c r="H36" s="3517"/>
      <c r="I36" s="3517"/>
      <c r="J36" s="3039"/>
      <c r="K36" s="3026"/>
      <c r="L36" s="3018"/>
      <c r="M36" s="3018"/>
      <c r="N36" s="3019"/>
      <c r="O36" s="3020"/>
      <c r="P36" s="3019"/>
      <c r="Q36" s="3019"/>
      <c r="R36" s="3019"/>
      <c r="S36" s="3019"/>
      <c r="T36" s="3019"/>
      <c r="U36" s="3019"/>
    </row>
    <row r="37" spans="1:28" ht="28.5">
      <c r="A37" s="3505"/>
      <c r="B37" s="3535"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05"/>
      <c r="B38" s="3536"/>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06"/>
      <c r="B39" s="3537"/>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18" t="s">
        <v>1952</v>
      </c>
      <c r="T40" s="1624" t="str">
        <f>NUMBERSTRING(7-K40,1)&amp;"通"</f>
        <v>七通</v>
      </c>
      <c r="U40" s="3019"/>
    </row>
    <row r="41" spans="1:28">
      <c r="A41" s="1563"/>
      <c r="B41" s="3510" t="s">
        <v>1696</v>
      </c>
      <c r="C41" s="3510"/>
      <c r="D41" s="3510"/>
      <c r="E41" s="3510"/>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18"/>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1390</v>
      </c>
      <c r="C43" s="1630"/>
      <c r="D43" s="1630" t="s">
        <v>1390</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1219</v>
      </c>
      <c r="C44" s="1630"/>
      <c r="D44" s="1630" t="s">
        <v>1219</v>
      </c>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FBA22-6981-4011-AD03-F19BFEF5D20B}">
  <sheetPr>
    <tabColor rgb="FFFFFF00"/>
  </sheetPr>
  <dimension ref="A1:K37"/>
  <sheetViews>
    <sheetView workbookViewId="0">
      <selection activeCell="B14" sqref="B14:B19"/>
    </sheetView>
  </sheetViews>
  <sheetFormatPr defaultRowHeight="13.5"/>
  <cols>
    <col min="1" max="1" width="5" customWidth="1"/>
    <col min="2" max="2" width="17.625" customWidth="1"/>
    <col min="3" max="3" width="10.125" customWidth="1"/>
    <col min="4" max="4" width="13.75" style="3457" customWidth="1"/>
    <col min="5" max="5" width="13.125" customWidth="1"/>
    <col min="6" max="6" width="0" hidden="1" customWidth="1"/>
    <col min="7" max="7" width="9.125" bestFit="1" customWidth="1"/>
    <col min="8" max="8" width="9.125" hidden="1" customWidth="1"/>
    <col min="9" max="9" width="10" bestFit="1" customWidth="1"/>
    <col min="10" max="11" width="9.125" hidden="1" customWidth="1"/>
  </cols>
  <sheetData>
    <row r="1" spans="1:11" ht="18" customHeight="1">
      <c r="A1" s="3550" t="s">
        <v>3144</v>
      </c>
      <c r="B1" s="3550"/>
      <c r="C1" s="3550"/>
      <c r="D1" s="3550"/>
      <c r="E1" s="3550"/>
      <c r="F1" s="3550"/>
      <c r="G1" s="3550"/>
      <c r="H1" s="3550"/>
      <c r="I1" s="3550"/>
      <c r="J1" s="3550"/>
      <c r="K1" s="3551"/>
    </row>
    <row r="2" spans="1:11" ht="49.5">
      <c r="A2" s="3461"/>
      <c r="B2" s="3458" t="s">
        <v>2821</v>
      </c>
      <c r="C2" s="3458" t="s">
        <v>2337</v>
      </c>
      <c r="D2" s="3459" t="s">
        <v>3150</v>
      </c>
      <c r="E2" s="3458" t="s">
        <v>3145</v>
      </c>
      <c r="F2" s="3458" t="s">
        <v>3151</v>
      </c>
      <c r="G2" s="3458" t="s">
        <v>1999</v>
      </c>
      <c r="H2" s="3458" t="s">
        <v>3152</v>
      </c>
      <c r="I2" s="3458" t="s">
        <v>3153</v>
      </c>
      <c r="J2" s="3458" t="s">
        <v>3154</v>
      </c>
      <c r="K2" s="3458" t="s">
        <v>3155</v>
      </c>
    </row>
    <row r="3" spans="1:11" ht="33">
      <c r="A3" s="3546">
        <v>1</v>
      </c>
      <c r="B3" s="3546" t="s">
        <v>3157</v>
      </c>
      <c r="C3" s="3458">
        <v>1</v>
      </c>
      <c r="D3" s="3459" t="s">
        <v>3148</v>
      </c>
      <c r="E3" s="3458" t="s">
        <v>3146</v>
      </c>
      <c r="F3" s="3458">
        <v>156125.35</v>
      </c>
      <c r="G3" s="3458">
        <v>1.2</v>
      </c>
      <c r="H3" s="3458">
        <v>18</v>
      </c>
      <c r="I3" s="3458">
        <v>187350.42</v>
      </c>
      <c r="J3" s="3458">
        <v>30</v>
      </c>
      <c r="K3" s="3458">
        <v>30</v>
      </c>
    </row>
    <row r="4" spans="1:11" ht="33">
      <c r="A4" s="3547"/>
      <c r="B4" s="3547"/>
      <c r="C4" s="3458">
        <v>2</v>
      </c>
      <c r="D4" s="3459" t="s">
        <v>3149</v>
      </c>
      <c r="E4" s="3458" t="s">
        <v>3147</v>
      </c>
      <c r="F4" s="3458">
        <v>5100</v>
      </c>
      <c r="G4" s="3458">
        <v>0.8</v>
      </c>
      <c r="H4" s="3458">
        <v>16</v>
      </c>
      <c r="I4" s="3458">
        <v>4080</v>
      </c>
      <c r="J4" s="3458">
        <v>30</v>
      </c>
      <c r="K4" s="3458">
        <v>30</v>
      </c>
    </row>
    <row r="5" spans="1:11" ht="16.5" customHeight="1">
      <c r="A5" s="3548"/>
      <c r="B5" s="3548"/>
      <c r="C5" s="3549" t="s">
        <v>3156</v>
      </c>
      <c r="D5" s="3549"/>
      <c r="E5" s="3549"/>
      <c r="F5" s="3458">
        <v>161225.35</v>
      </c>
      <c r="G5" s="3458" t="s">
        <v>927</v>
      </c>
      <c r="H5" s="3458" t="s">
        <v>927</v>
      </c>
      <c r="I5" s="3463">
        <v>191430.42</v>
      </c>
      <c r="J5" s="3458" t="s">
        <v>927</v>
      </c>
      <c r="K5" s="3458" t="s">
        <v>927</v>
      </c>
    </row>
    <row r="6" spans="1:11" ht="32.25" customHeight="1">
      <c r="A6" s="3549">
        <v>2</v>
      </c>
      <c r="B6" s="3549" t="s">
        <v>3158</v>
      </c>
      <c r="C6" s="3458">
        <v>1</v>
      </c>
      <c r="D6" s="3459" t="s">
        <v>3159</v>
      </c>
      <c r="E6" s="3458" t="s">
        <v>3146</v>
      </c>
      <c r="F6" s="3458">
        <v>69193.56</v>
      </c>
      <c r="G6" s="3458">
        <v>1.6</v>
      </c>
      <c r="H6" s="3458">
        <v>36</v>
      </c>
      <c r="I6" s="3458">
        <v>110710</v>
      </c>
      <c r="J6" s="3458">
        <v>30</v>
      </c>
      <c r="K6" s="3458">
        <v>30</v>
      </c>
    </row>
    <row r="7" spans="1:11" ht="16.5" customHeight="1">
      <c r="A7" s="3549"/>
      <c r="B7" s="3549"/>
      <c r="C7" s="3549" t="s">
        <v>3156</v>
      </c>
      <c r="D7" s="3549"/>
      <c r="E7" s="3549"/>
      <c r="F7" s="3458">
        <v>69193.56</v>
      </c>
      <c r="G7" s="3458" t="s">
        <v>927</v>
      </c>
      <c r="H7" s="3458" t="s">
        <v>927</v>
      </c>
      <c r="I7" s="3463">
        <v>110710</v>
      </c>
      <c r="J7" s="3458" t="s">
        <v>927</v>
      </c>
      <c r="K7" s="3458" t="s">
        <v>927</v>
      </c>
    </row>
    <row r="8" spans="1:11" ht="16.5" customHeight="1">
      <c r="A8" s="3549">
        <v>3</v>
      </c>
      <c r="B8" s="3549" t="s">
        <v>3160</v>
      </c>
      <c r="C8" s="3458">
        <v>1</v>
      </c>
      <c r="D8" s="3459" t="s">
        <v>3163</v>
      </c>
      <c r="E8" s="3458" t="s">
        <v>3146</v>
      </c>
      <c r="F8" s="3458">
        <v>2.84</v>
      </c>
      <c r="G8" s="3458">
        <v>2</v>
      </c>
      <c r="H8" s="3458">
        <v>36</v>
      </c>
      <c r="I8" s="3458">
        <v>5.68</v>
      </c>
      <c r="J8" s="3458">
        <v>40</v>
      </c>
      <c r="K8" s="3458">
        <v>30</v>
      </c>
    </row>
    <row r="9" spans="1:11" ht="16.5">
      <c r="A9" s="3549"/>
      <c r="B9" s="3549"/>
      <c r="C9" s="3458">
        <v>2</v>
      </c>
      <c r="D9" s="3459" t="s">
        <v>3161</v>
      </c>
      <c r="E9" s="3458" t="s">
        <v>3162</v>
      </c>
      <c r="F9" s="3458">
        <v>1.88</v>
      </c>
      <c r="G9" s="3458">
        <v>2</v>
      </c>
      <c r="H9" s="3458">
        <v>24</v>
      </c>
      <c r="I9" s="3458">
        <v>3.76</v>
      </c>
      <c r="J9" s="3458">
        <v>40</v>
      </c>
      <c r="K9" s="3458">
        <v>30</v>
      </c>
    </row>
    <row r="10" spans="1:11" ht="16.5" customHeight="1">
      <c r="A10" s="3549"/>
      <c r="B10" s="3549"/>
      <c r="C10" s="3549" t="s">
        <v>3156</v>
      </c>
      <c r="D10" s="3549"/>
      <c r="E10" s="3549"/>
      <c r="F10" s="3458">
        <v>4.72</v>
      </c>
      <c r="G10" s="3458" t="s">
        <v>927</v>
      </c>
      <c r="H10" s="3458" t="s">
        <v>927</v>
      </c>
      <c r="I10" s="3463">
        <v>9.44</v>
      </c>
      <c r="J10" s="3458" t="s">
        <v>927</v>
      </c>
      <c r="K10" s="3458" t="s">
        <v>927</v>
      </c>
    </row>
    <row r="11" spans="1:11" ht="16.5">
      <c r="A11" s="3549">
        <v>4</v>
      </c>
      <c r="B11" s="3549" t="s">
        <v>3166</v>
      </c>
      <c r="C11" s="3458">
        <v>1</v>
      </c>
      <c r="D11" s="3459" t="s">
        <v>3165</v>
      </c>
      <c r="E11" s="3458" t="s">
        <v>3146</v>
      </c>
      <c r="F11" s="3458">
        <v>6.11</v>
      </c>
      <c r="G11" s="3458">
        <v>1.8</v>
      </c>
      <c r="H11" s="3458">
        <v>36</v>
      </c>
      <c r="I11" s="3458">
        <v>11</v>
      </c>
      <c r="J11" s="3458">
        <v>30</v>
      </c>
      <c r="K11" s="3458">
        <v>30</v>
      </c>
    </row>
    <row r="12" spans="1:11" ht="16.5">
      <c r="A12" s="3549"/>
      <c r="B12" s="3549"/>
      <c r="C12" s="3458">
        <v>2</v>
      </c>
      <c r="D12" s="3459" t="s">
        <v>3164</v>
      </c>
      <c r="E12" s="3458" t="s">
        <v>3147</v>
      </c>
      <c r="F12" s="3458">
        <v>0.51</v>
      </c>
      <c r="G12" s="3458">
        <v>0.8</v>
      </c>
      <c r="H12" s="3458">
        <v>16</v>
      </c>
      <c r="I12" s="3458">
        <v>0.41</v>
      </c>
      <c r="J12" s="3458">
        <v>30</v>
      </c>
      <c r="K12" s="3458">
        <v>30</v>
      </c>
    </row>
    <row r="13" spans="1:11" ht="16.5">
      <c r="A13" s="3549"/>
      <c r="B13" s="3549"/>
      <c r="C13" s="3549" t="s">
        <v>3156</v>
      </c>
      <c r="D13" s="3549"/>
      <c r="E13" s="3549"/>
      <c r="F13" s="3458">
        <v>6.62</v>
      </c>
      <c r="G13" s="3458" t="s">
        <v>927</v>
      </c>
      <c r="H13" s="3458" t="s">
        <v>927</v>
      </c>
      <c r="I13" s="3463">
        <v>11.41</v>
      </c>
      <c r="J13" s="3458" t="s">
        <v>927</v>
      </c>
      <c r="K13" s="3458" t="s">
        <v>927</v>
      </c>
    </row>
    <row r="14" spans="1:11" ht="33">
      <c r="A14" s="3549">
        <v>5</v>
      </c>
      <c r="B14" s="3549" t="s">
        <v>3168</v>
      </c>
      <c r="C14" s="3458">
        <v>1</v>
      </c>
      <c r="D14" s="3458">
        <v>1</v>
      </c>
      <c r="E14" s="3458" t="s">
        <v>3167</v>
      </c>
      <c r="F14" s="3458">
        <v>2.15</v>
      </c>
      <c r="G14" s="3458">
        <v>1.6</v>
      </c>
      <c r="H14" s="3458">
        <v>30</v>
      </c>
      <c r="I14" s="3458">
        <v>3.44</v>
      </c>
      <c r="J14" s="3458">
        <v>30</v>
      </c>
      <c r="K14" s="3458">
        <v>30</v>
      </c>
    </row>
    <row r="15" spans="1:11" ht="16.5">
      <c r="A15" s="3549"/>
      <c r="B15" s="3549"/>
      <c r="C15" s="3458">
        <v>2</v>
      </c>
      <c r="D15" s="3458">
        <v>7</v>
      </c>
      <c r="E15" s="3458" t="s">
        <v>3146</v>
      </c>
      <c r="F15" s="3458">
        <v>3.91</v>
      </c>
      <c r="G15" s="3458">
        <v>1.4</v>
      </c>
      <c r="H15" s="3458">
        <v>30</v>
      </c>
      <c r="I15" s="3458">
        <v>5.47</v>
      </c>
      <c r="J15" s="3458">
        <v>30</v>
      </c>
      <c r="K15" s="3458">
        <v>30</v>
      </c>
    </row>
    <row r="16" spans="1:11" ht="16.5">
      <c r="A16" s="3549"/>
      <c r="B16" s="3549"/>
      <c r="C16" s="3458">
        <v>3</v>
      </c>
      <c r="D16" s="3458">
        <v>8</v>
      </c>
      <c r="E16" s="3458" t="s">
        <v>3146</v>
      </c>
      <c r="F16" s="3458">
        <v>2.67</v>
      </c>
      <c r="G16" s="3458">
        <v>1.4</v>
      </c>
      <c r="H16" s="3458">
        <v>30</v>
      </c>
      <c r="I16" s="3458">
        <v>3.74</v>
      </c>
      <c r="J16" s="3458">
        <v>30</v>
      </c>
      <c r="K16" s="3458">
        <v>30</v>
      </c>
    </row>
    <row r="17" spans="1:11" ht="16.5">
      <c r="A17" s="3549"/>
      <c r="B17" s="3549"/>
      <c r="C17" s="3458">
        <v>4</v>
      </c>
      <c r="D17" s="3458">
        <v>10</v>
      </c>
      <c r="E17" s="3458" t="s">
        <v>3146</v>
      </c>
      <c r="F17" s="3458">
        <v>4.05</v>
      </c>
      <c r="G17" s="3458">
        <v>1.6</v>
      </c>
      <c r="H17" s="3458">
        <v>30</v>
      </c>
      <c r="I17" s="3458">
        <v>6.48</v>
      </c>
      <c r="J17" s="3458">
        <v>30</v>
      </c>
      <c r="K17" s="3458">
        <v>30</v>
      </c>
    </row>
    <row r="18" spans="1:11" ht="16.5">
      <c r="A18" s="3549"/>
      <c r="B18" s="3549"/>
      <c r="C18" s="3458">
        <v>5</v>
      </c>
      <c r="D18" s="3458">
        <v>12</v>
      </c>
      <c r="E18" s="3458" t="s">
        <v>3146</v>
      </c>
      <c r="F18" s="3458">
        <v>2.87</v>
      </c>
      <c r="G18" s="3458">
        <v>1.6</v>
      </c>
      <c r="H18" s="3458">
        <v>30</v>
      </c>
      <c r="I18" s="3458">
        <v>4.59</v>
      </c>
      <c r="J18" s="3458">
        <v>30</v>
      </c>
      <c r="K18" s="3458">
        <v>30</v>
      </c>
    </row>
    <row r="19" spans="1:11" ht="16.5" customHeight="1">
      <c r="A19" s="3549"/>
      <c r="B19" s="3549"/>
      <c r="C19" s="3549" t="s">
        <v>3156</v>
      </c>
      <c r="D19" s="3549"/>
      <c r="E19" s="3549"/>
      <c r="F19" s="3458">
        <v>15.65</v>
      </c>
      <c r="G19" s="3458" t="s">
        <v>927</v>
      </c>
      <c r="H19" s="3458" t="s">
        <v>927</v>
      </c>
      <c r="I19" s="3463">
        <v>23.72</v>
      </c>
      <c r="J19" s="3458" t="s">
        <v>927</v>
      </c>
      <c r="K19" s="3458" t="s">
        <v>927</v>
      </c>
    </row>
    <row r="20" spans="1:11" ht="33">
      <c r="A20" s="3549">
        <v>6</v>
      </c>
      <c r="B20" s="3549" t="s">
        <v>3169</v>
      </c>
      <c r="C20" s="3458">
        <v>1</v>
      </c>
      <c r="D20" s="3458" t="s">
        <v>3170</v>
      </c>
      <c r="E20" s="3458" t="s">
        <v>3146</v>
      </c>
      <c r="F20" s="3458">
        <v>36300</v>
      </c>
      <c r="G20" s="3458">
        <v>1.6</v>
      </c>
      <c r="H20" s="3458">
        <v>30</v>
      </c>
      <c r="I20" s="3458">
        <v>58100</v>
      </c>
      <c r="J20" s="3458">
        <v>30</v>
      </c>
      <c r="K20" s="3458">
        <v>30</v>
      </c>
    </row>
    <row r="21" spans="1:11" ht="33">
      <c r="A21" s="3549"/>
      <c r="B21" s="3549"/>
      <c r="C21" s="3458">
        <v>2</v>
      </c>
      <c r="D21" s="3458" t="s">
        <v>3171</v>
      </c>
      <c r="E21" s="3458" t="s">
        <v>3147</v>
      </c>
      <c r="F21" s="3458">
        <v>5900</v>
      </c>
      <c r="G21" s="3458">
        <v>0.8</v>
      </c>
      <c r="H21" s="3458">
        <v>16</v>
      </c>
      <c r="I21" s="3458">
        <v>4700</v>
      </c>
      <c r="J21" s="3458">
        <v>30</v>
      </c>
      <c r="K21" s="3458">
        <v>30</v>
      </c>
    </row>
    <row r="22" spans="1:11" ht="14.25" customHeight="1">
      <c r="A22" s="3549"/>
      <c r="B22" s="3549"/>
      <c r="C22" s="3549" t="s">
        <v>3156</v>
      </c>
      <c r="D22" s="3549"/>
      <c r="E22" s="3549"/>
      <c r="F22" s="3458">
        <v>42200</v>
      </c>
      <c r="G22" s="3458" t="s">
        <v>927</v>
      </c>
      <c r="H22" s="3458" t="s">
        <v>927</v>
      </c>
      <c r="I22" s="3463">
        <v>62800</v>
      </c>
      <c r="J22" s="3458" t="s">
        <v>927</v>
      </c>
      <c r="K22" s="3458" t="s">
        <v>927</v>
      </c>
    </row>
    <row r="23" spans="1:11" ht="13.5" customHeight="1">
      <c r="A23" s="3549">
        <v>7</v>
      </c>
      <c r="B23" s="3549" t="s">
        <v>3172</v>
      </c>
      <c r="C23" s="3458">
        <v>1</v>
      </c>
      <c r="D23" s="3458" t="s">
        <v>3173</v>
      </c>
      <c r="E23" s="3458" t="s">
        <v>3146</v>
      </c>
      <c r="F23" s="3458">
        <v>120579.35</v>
      </c>
      <c r="G23" s="3458" t="s">
        <v>3174</v>
      </c>
      <c r="H23" s="3458" t="s">
        <v>3175</v>
      </c>
      <c r="I23" s="3458">
        <v>211713.77</v>
      </c>
      <c r="J23" s="3458">
        <v>30</v>
      </c>
      <c r="K23" s="3458">
        <v>30</v>
      </c>
    </row>
    <row r="24" spans="1:11" ht="13.5" customHeight="1">
      <c r="A24" s="3549"/>
      <c r="B24" s="3549"/>
      <c r="C24" s="3458">
        <v>2</v>
      </c>
      <c r="D24" s="3458" t="s">
        <v>3176</v>
      </c>
      <c r="E24" s="3458" t="s">
        <v>3177</v>
      </c>
      <c r="F24" s="3458">
        <v>3237.35</v>
      </c>
      <c r="G24" s="3458">
        <v>1.8</v>
      </c>
      <c r="H24" s="3458">
        <v>30</v>
      </c>
      <c r="I24" s="3458">
        <v>5827.23</v>
      </c>
      <c r="J24" s="3458">
        <v>30</v>
      </c>
      <c r="K24" s="3458">
        <v>30</v>
      </c>
    </row>
    <row r="25" spans="1:11" ht="13.5" customHeight="1">
      <c r="A25" s="3549"/>
      <c r="B25" s="3549"/>
      <c r="C25" s="3458">
        <v>3</v>
      </c>
      <c r="D25" s="3458" t="s">
        <v>3178</v>
      </c>
      <c r="E25" s="3458" t="s">
        <v>3147</v>
      </c>
      <c r="F25" s="3458">
        <v>4199.9799999999996</v>
      </c>
      <c r="G25" s="3458">
        <v>0.8</v>
      </c>
      <c r="H25" s="3458">
        <v>16</v>
      </c>
      <c r="I25" s="3458">
        <v>3359.98</v>
      </c>
      <c r="J25" s="3458">
        <v>30</v>
      </c>
      <c r="K25" s="3458">
        <v>30</v>
      </c>
    </row>
    <row r="26" spans="1:11" ht="13.5" customHeight="1">
      <c r="A26" s="3549"/>
      <c r="B26" s="3549"/>
      <c r="C26" s="3549" t="s">
        <v>3156</v>
      </c>
      <c r="D26" s="3549"/>
      <c r="E26" s="3549"/>
      <c r="F26" s="3458">
        <v>128016.68</v>
      </c>
      <c r="G26" s="3458" t="s">
        <v>927</v>
      </c>
      <c r="H26" s="3458" t="s">
        <v>927</v>
      </c>
      <c r="I26" s="3463">
        <v>220900.98</v>
      </c>
      <c r="J26" s="3458" t="s">
        <v>927</v>
      </c>
      <c r="K26" s="3458" t="s">
        <v>927</v>
      </c>
    </row>
    <row r="27" spans="1:11" ht="36.75" customHeight="1">
      <c r="A27" s="3549">
        <v>8</v>
      </c>
      <c r="B27" s="3549" t="s">
        <v>3179</v>
      </c>
      <c r="C27" s="3458">
        <v>1</v>
      </c>
      <c r="D27" s="3458" t="s">
        <v>3180</v>
      </c>
      <c r="E27" s="3458" t="s">
        <v>3146</v>
      </c>
      <c r="F27" s="3458">
        <v>25913.73</v>
      </c>
      <c r="G27" s="3458">
        <v>1.6</v>
      </c>
      <c r="H27" s="3458">
        <v>36</v>
      </c>
      <c r="I27" s="3458">
        <v>41461.96</v>
      </c>
      <c r="J27" s="3458">
        <v>30</v>
      </c>
      <c r="K27" s="3458">
        <v>30</v>
      </c>
    </row>
    <row r="28" spans="1:11" ht="33">
      <c r="A28" s="3549"/>
      <c r="B28" s="3549"/>
      <c r="C28" s="3458">
        <v>2</v>
      </c>
      <c r="D28" s="3458" t="s">
        <v>3181</v>
      </c>
      <c r="E28" s="3458" t="s">
        <v>3146</v>
      </c>
      <c r="F28" s="3458">
        <v>19073.8</v>
      </c>
      <c r="G28" s="3458">
        <v>1.6</v>
      </c>
      <c r="H28" s="3458">
        <v>36</v>
      </c>
      <c r="I28" s="3458">
        <v>30518.080000000002</v>
      </c>
      <c r="J28" s="3458">
        <v>30</v>
      </c>
      <c r="K28" s="3458">
        <v>30</v>
      </c>
    </row>
    <row r="29" spans="1:11" ht="33">
      <c r="A29" s="3549"/>
      <c r="B29" s="3549"/>
      <c r="C29" s="3458">
        <v>3</v>
      </c>
      <c r="D29" s="3458" t="s">
        <v>3182</v>
      </c>
      <c r="E29" s="3458" t="s">
        <v>3146</v>
      </c>
      <c r="F29" s="3458">
        <v>23507.15</v>
      </c>
      <c r="G29" s="3458">
        <v>1.8</v>
      </c>
      <c r="H29" s="3458">
        <v>45</v>
      </c>
      <c r="I29" s="3458">
        <v>42312.87</v>
      </c>
      <c r="J29" s="3458">
        <v>30</v>
      </c>
      <c r="K29" s="3458">
        <v>30</v>
      </c>
    </row>
    <row r="30" spans="1:11" ht="33">
      <c r="A30" s="3549"/>
      <c r="B30" s="3549"/>
      <c r="C30" s="3458">
        <v>4</v>
      </c>
      <c r="D30" s="3458" t="s">
        <v>3183</v>
      </c>
      <c r="E30" s="3458" t="s">
        <v>3147</v>
      </c>
      <c r="F30" s="3458">
        <v>6700</v>
      </c>
      <c r="G30" s="3458">
        <v>0.8</v>
      </c>
      <c r="H30" s="3458">
        <v>18</v>
      </c>
      <c r="I30" s="3458">
        <v>5360</v>
      </c>
      <c r="J30" s="3458">
        <v>30</v>
      </c>
      <c r="K30" s="3458">
        <v>30</v>
      </c>
    </row>
    <row r="31" spans="1:11" ht="33">
      <c r="A31" s="3549"/>
      <c r="B31" s="3549"/>
      <c r="C31" s="3458">
        <v>5</v>
      </c>
      <c r="D31" s="3458" t="s">
        <v>3184</v>
      </c>
      <c r="E31" s="3458" t="s">
        <v>3146</v>
      </c>
      <c r="F31" s="3458">
        <v>13890.12</v>
      </c>
      <c r="G31" s="3458">
        <v>1.6</v>
      </c>
      <c r="H31" s="3458">
        <v>36</v>
      </c>
      <c r="I31" s="3458">
        <v>22224.19</v>
      </c>
      <c r="J31" s="3458">
        <v>30</v>
      </c>
      <c r="K31" s="3458">
        <v>30</v>
      </c>
    </row>
    <row r="32" spans="1:11" ht="33">
      <c r="A32" s="3549"/>
      <c r="B32" s="3549"/>
      <c r="C32" s="3458">
        <v>6</v>
      </c>
      <c r="D32" s="3458" t="s">
        <v>3185</v>
      </c>
      <c r="E32" s="3458" t="s">
        <v>3190</v>
      </c>
      <c r="F32" s="3458">
        <v>41243.67</v>
      </c>
      <c r="G32" s="3458">
        <v>2.0699999999999998</v>
      </c>
      <c r="H32" s="3458">
        <v>45</v>
      </c>
      <c r="I32" s="3458">
        <v>85374.39</v>
      </c>
      <c r="J32" s="3458">
        <v>60</v>
      </c>
      <c r="K32" s="3458">
        <v>10</v>
      </c>
    </row>
    <row r="33" spans="1:11" ht="13.5" customHeight="1">
      <c r="A33" s="3549"/>
      <c r="B33" s="3549"/>
      <c r="C33" s="3549" t="s">
        <v>3156</v>
      </c>
      <c r="D33" s="3549"/>
      <c r="E33" s="3549"/>
      <c r="F33" s="3458">
        <v>130328.47</v>
      </c>
      <c r="G33" s="3462" t="s">
        <v>927</v>
      </c>
      <c r="H33" s="3462" t="s">
        <v>927</v>
      </c>
      <c r="I33" s="3463">
        <v>227251.49</v>
      </c>
      <c r="J33" s="3462" t="s">
        <v>927</v>
      </c>
      <c r="K33" s="3462" t="s">
        <v>927</v>
      </c>
    </row>
    <row r="34" spans="1:11" ht="51.75" customHeight="1">
      <c r="A34" s="3549">
        <v>9</v>
      </c>
      <c r="B34" s="3549" t="s">
        <v>3186</v>
      </c>
      <c r="C34" s="3458">
        <v>1</v>
      </c>
      <c r="D34" s="3458" t="s">
        <v>3187</v>
      </c>
      <c r="E34" s="3546" t="s">
        <v>3146</v>
      </c>
      <c r="F34" s="3458">
        <v>12532.43</v>
      </c>
      <c r="G34" s="3458" t="s">
        <v>3191</v>
      </c>
      <c r="H34" s="3546">
        <v>80</v>
      </c>
      <c r="I34" s="3546" t="s">
        <v>3192</v>
      </c>
      <c r="J34" s="3546">
        <v>40</v>
      </c>
      <c r="K34" s="3546">
        <v>30</v>
      </c>
    </row>
    <row r="35" spans="1:11" ht="51.75" customHeight="1">
      <c r="A35" s="3549"/>
      <c r="B35" s="3549"/>
      <c r="C35" s="3458">
        <v>2</v>
      </c>
      <c r="D35" s="3458" t="s">
        <v>3188</v>
      </c>
      <c r="E35" s="3547"/>
      <c r="F35" s="3458">
        <v>17469.509999999998</v>
      </c>
      <c r="G35" s="3458" t="s">
        <v>3191</v>
      </c>
      <c r="H35" s="3547"/>
      <c r="I35" s="3547"/>
      <c r="J35" s="3547"/>
      <c r="K35" s="3547"/>
    </row>
    <row r="36" spans="1:11" ht="51.75" customHeight="1">
      <c r="A36" s="3549"/>
      <c r="B36" s="3549"/>
      <c r="C36" s="3458">
        <v>3</v>
      </c>
      <c r="D36" s="3458" t="s">
        <v>3189</v>
      </c>
      <c r="E36" s="3548"/>
      <c r="F36" s="3458">
        <v>5452.53</v>
      </c>
      <c r="G36" s="3458" t="s">
        <v>3191</v>
      </c>
      <c r="H36" s="3548"/>
      <c r="I36" s="3548"/>
      <c r="J36" s="3548"/>
      <c r="K36" s="3548"/>
    </row>
    <row r="37" spans="1:11" ht="13.5" customHeight="1">
      <c r="A37" s="3549"/>
      <c r="B37" s="3549"/>
      <c r="C37" s="3549" t="s">
        <v>3156</v>
      </c>
      <c r="D37" s="3549"/>
      <c r="E37" s="3549"/>
      <c r="F37" s="3458">
        <v>35454.47</v>
      </c>
      <c r="G37" s="3458" t="s">
        <v>927</v>
      </c>
      <c r="H37" s="3458" t="s">
        <v>3191</v>
      </c>
      <c r="I37" s="3458" t="s">
        <v>927</v>
      </c>
      <c r="J37" s="3458" t="s">
        <v>927</v>
      </c>
      <c r="K37" s="3458" t="s">
        <v>3191</v>
      </c>
    </row>
  </sheetData>
  <mergeCells count="33">
    <mergeCell ref="C5:E5"/>
    <mergeCell ref="B20:B22"/>
    <mergeCell ref="A20:A22"/>
    <mergeCell ref="C13:E13"/>
    <mergeCell ref="B11:B13"/>
    <mergeCell ref="A6:A7"/>
    <mergeCell ref="A8:A10"/>
    <mergeCell ref="A11:A13"/>
    <mergeCell ref="C7:E7"/>
    <mergeCell ref="B6:B7"/>
    <mergeCell ref="C10:E10"/>
    <mergeCell ref="B8:B10"/>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J34:J36"/>
    <mergeCell ref="K34:K36"/>
    <mergeCell ref="C37:E37"/>
    <mergeCell ref="A34:A37"/>
    <mergeCell ref="B34:B3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9418-6CA3-4E0F-8117-9C47A542E558}">
  <sheetPr>
    <tabColor rgb="FFFFFF00"/>
  </sheetPr>
  <dimension ref="A1:G13"/>
  <sheetViews>
    <sheetView topLeftCell="A2" workbookViewId="0">
      <selection activeCell="I6" sqref="I6"/>
    </sheetView>
  </sheetViews>
  <sheetFormatPr defaultRowHeight="13.5"/>
  <cols>
    <col min="1" max="1" width="4.875" customWidth="1"/>
    <col min="2" max="2" width="26.125" customWidth="1"/>
    <col min="5" max="5" width="0" hidden="1" customWidth="1"/>
  </cols>
  <sheetData>
    <row r="1" spans="1:7" ht="21" hidden="1">
      <c r="A1" s="3552" t="s">
        <v>3125</v>
      </c>
      <c r="B1" s="3553"/>
      <c r="C1" s="3553"/>
      <c r="D1" s="3553"/>
      <c r="E1" s="3553"/>
      <c r="F1" s="3554"/>
    </row>
    <row r="2" spans="1:7" ht="30">
      <c r="A2" s="3555" t="s">
        <v>3143</v>
      </c>
      <c r="B2" s="3555"/>
      <c r="C2" s="3454" t="s">
        <v>3126</v>
      </c>
      <c r="D2" s="3448" t="s">
        <v>3128</v>
      </c>
      <c r="E2" s="3447" t="s">
        <v>3130</v>
      </c>
      <c r="F2" s="3555" t="s">
        <v>3132</v>
      </c>
      <c r="G2" s="3555" t="s">
        <v>3198</v>
      </c>
    </row>
    <row r="3" spans="1:7" ht="30">
      <c r="A3" s="3556"/>
      <c r="B3" s="3556"/>
      <c r="C3" s="3455" t="s">
        <v>3127</v>
      </c>
      <c r="D3" s="3449" t="s">
        <v>3129</v>
      </c>
      <c r="E3" s="3450" t="s">
        <v>3131</v>
      </c>
      <c r="F3" s="3556"/>
      <c r="G3" s="3557"/>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activeCell="I13" sqref="I13"/>
      <selection pane="topRight" activeCell="I13" sqref="I13"/>
      <selection pane="bottomLeft" activeCell="I13" sqref="I13"/>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120579.35+3237.35+4199.98</f>
        <v>128016.68000000001</v>
      </c>
      <c r="B3" s="22">
        <f>IF(C3="否",G5-AT5,G5)</f>
        <v>220900.98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220900.98</v>
      </c>
      <c r="H5" s="27">
        <f t="shared" ref="H5:AT5" si="0">SUM(H13:H641)</f>
        <v>220900.98</v>
      </c>
      <c r="I5" s="27">
        <f t="shared" si="0"/>
        <v>211713.77</v>
      </c>
      <c r="J5" s="27">
        <f t="shared" si="0"/>
        <v>0</v>
      </c>
      <c r="K5" s="27">
        <f t="shared" si="0"/>
        <v>5827.23</v>
      </c>
      <c r="L5" s="27">
        <f t="shared" si="0"/>
        <v>0</v>
      </c>
      <c r="M5" s="27">
        <f t="shared" si="0"/>
        <v>3359.98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217541</v>
      </c>
      <c r="BA5" s="29">
        <f t="shared" si="1"/>
        <v>217541</v>
      </c>
      <c r="BB5" s="29">
        <f t="shared" si="1"/>
        <v>211713.77</v>
      </c>
      <c r="BC5" s="29">
        <f t="shared" si="1"/>
        <v>5827.23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128016.68</v>
      </c>
      <c r="F6" s="27" t="s">
        <v>1</v>
      </c>
      <c r="G6" s="27" t="s">
        <v>2</v>
      </c>
      <c r="H6" s="33">
        <f>SUMIF(I$12:AB$12,"总值",I6:AB6)</f>
        <v>128016.68</v>
      </c>
      <c r="I6" s="27">
        <f t="shared" ref="I6:AB6" si="2">ROUND($A$3*I5/$B$3,2)</f>
        <v>122692.5</v>
      </c>
      <c r="J6" s="27">
        <f t="shared" si="2"/>
        <v>0</v>
      </c>
      <c r="K6" s="27">
        <f t="shared" si="2"/>
        <v>3377</v>
      </c>
      <c r="L6" s="27">
        <f t="shared" si="2"/>
        <v>0</v>
      </c>
      <c r="M6" s="27">
        <f t="shared" si="2"/>
        <v>1947.18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126069.5</v>
      </c>
      <c r="AZ6" s="27" t="s">
        <v>3</v>
      </c>
      <c r="BA6" s="27">
        <f>ROUND($AY$6*BA5/$AZ$5,2)</f>
        <v>126069.5</v>
      </c>
      <c r="BB6" s="27">
        <f>ROUND($AY$6*BB5/$AZ$5,2)</f>
        <v>122692.5</v>
      </c>
      <c r="BC6" s="27">
        <f t="shared" ref="BC6:BH6" si="4">ROUND($AY$6*BC5/$AZ$5,2)</f>
        <v>3377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1653</v>
      </c>
      <c r="E13" s="27">
        <f t="shared" ref="E13:E20" si="6">IF($C$3="是",ROUND($A$3*G13/$B$3,2),ROUND($A$3*(G13-AT13)/$B$3,2))</f>
        <v>126069.5</v>
      </c>
      <c r="F13" s="81"/>
      <c r="G13" s="82">
        <f t="shared" ref="G13:G20" si="7">H13+AC13+AT13</f>
        <v>217541</v>
      </c>
      <c r="H13" s="33">
        <f t="shared" ref="H13:H20" si="8">SUMIF(I$12:AB$12,"总值",I13:AB13)</f>
        <v>217541</v>
      </c>
      <c r="I13" s="2698">
        <v>211713.77</v>
      </c>
      <c r="J13" s="2698"/>
      <c r="K13" s="2698">
        <v>5827.23</v>
      </c>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126069.5</v>
      </c>
      <c r="AZ13" s="27">
        <f t="shared" ref="AZ13:AZ20" si="12">BA13+BL13</f>
        <v>217541</v>
      </c>
      <c r="BA13" s="27">
        <f t="shared" ref="BA13:BA20" si="13">SUM(BB13:BK13)</f>
        <v>217541</v>
      </c>
      <c r="BB13" s="27">
        <f t="shared" ref="BB13:BB20" si="14">IF($D13="是",I13-J13,0)</f>
        <v>211713.77</v>
      </c>
      <c r="BC13" s="27">
        <f t="shared" ref="BC13:BC20" si="15">IF($D13="是",K13-L13,0)</f>
        <v>5827.23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t="s">
        <v>3206</v>
      </c>
      <c r="E14" s="27">
        <f t="shared" si="6"/>
        <v>1947.18</v>
      </c>
      <c r="F14" s="81"/>
      <c r="G14" s="82">
        <f t="shared" si="7"/>
        <v>3359.98</v>
      </c>
      <c r="H14" s="33">
        <f t="shared" si="8"/>
        <v>3359.98</v>
      </c>
      <c r="I14" s="2698"/>
      <c r="J14" s="2698"/>
      <c r="K14" s="2698"/>
      <c r="L14" s="2698"/>
      <c r="M14" s="2698">
        <v>3359.98</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8" t="s">
        <v>0</v>
      </c>
      <c r="B1" s="3558" t="s">
        <v>4</v>
      </c>
      <c r="C1" s="3558" t="s">
        <v>5</v>
      </c>
      <c r="D1" s="3559" t="s">
        <v>40</v>
      </c>
      <c r="E1" s="3559" t="s">
        <v>41</v>
      </c>
      <c r="F1" s="3559"/>
      <c r="G1" s="3559"/>
      <c r="H1" s="3559"/>
      <c r="I1" s="3559"/>
      <c r="J1" s="3559"/>
      <c r="K1" s="3559"/>
      <c r="L1" s="3559"/>
      <c r="M1" s="3559"/>
    </row>
    <row r="2" spans="1:13" ht="27" customHeight="1">
      <c r="A2" s="3558"/>
      <c r="B2" s="3558"/>
      <c r="C2" s="3558"/>
      <c r="D2" s="3559"/>
      <c r="E2" s="3559" t="s">
        <v>24</v>
      </c>
      <c r="F2" s="3559" t="s">
        <v>25</v>
      </c>
      <c r="G2" s="3559"/>
      <c r="H2" s="3559"/>
      <c r="I2" s="3559"/>
      <c r="J2" s="3559" t="s">
        <v>26</v>
      </c>
      <c r="K2" s="3559"/>
      <c r="L2" s="3559"/>
      <c r="M2" s="3559"/>
    </row>
    <row r="3" spans="1:13" ht="28.5">
      <c r="A3" s="3558"/>
      <c r="B3" s="3558"/>
      <c r="C3" s="3558"/>
      <c r="D3" s="3559"/>
      <c r="E3" s="35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9" t="s">
        <v>42</v>
      </c>
      <c r="B9" s="3559"/>
      <c r="C9" s="35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69" t="s">
        <v>203</v>
      </c>
      <c r="B2" s="3569"/>
      <c r="C2" s="3569"/>
      <c r="D2" s="1860" t="s">
        <v>204</v>
      </c>
      <c r="E2" s="106" t="s">
        <v>205</v>
      </c>
      <c r="F2" s="3048"/>
      <c r="G2" s="1163"/>
      <c r="H2" s="1164"/>
      <c r="I2" s="1165" t="s">
        <v>833</v>
      </c>
      <c r="J2" s="3048"/>
      <c r="K2" s="3048"/>
      <c r="L2" s="3048"/>
      <c r="M2" s="3048"/>
      <c r="N2" s="3048"/>
      <c r="O2" s="3048"/>
      <c r="P2" s="3048"/>
    </row>
    <row r="3" spans="1:16" ht="15.75" thickBot="1">
      <c r="A3" s="3570" t="s">
        <v>206</v>
      </c>
      <c r="B3" s="3570"/>
      <c r="C3" s="3570"/>
      <c r="D3" s="107">
        <f>'数据-基础表'!AY6</f>
        <v>126069.5</v>
      </c>
      <c r="E3" s="107">
        <f>'数据-基础表'!AZ5</f>
        <v>217541</v>
      </c>
      <c r="F3" s="3048"/>
      <c r="G3" s="278" t="s">
        <v>834</v>
      </c>
      <c r="H3" s="273" t="s">
        <v>835</v>
      </c>
      <c r="I3" s="1861">
        <f>ROUND('数据-基础表'!B3/'数据-基础表'!A3,2)</f>
        <v>1.73</v>
      </c>
      <c r="J3" s="3048"/>
      <c r="K3" s="3048"/>
      <c r="L3" s="3048"/>
      <c r="M3" s="3048"/>
      <c r="N3" s="3048"/>
      <c r="O3" s="3048"/>
      <c r="P3" s="3048"/>
    </row>
    <row r="4" spans="1:16" ht="15">
      <c r="A4" s="3571"/>
      <c r="B4" s="3572"/>
      <c r="C4" s="3573"/>
      <c r="D4" s="108" t="s">
        <v>204</v>
      </c>
      <c r="E4" s="109" t="s">
        <v>205</v>
      </c>
      <c r="F4" s="3048"/>
      <c r="G4" s="1166"/>
      <c r="H4" s="273" t="s">
        <v>836</v>
      </c>
      <c r="I4" s="1861">
        <f>ROUND(SUMIF('数据-基础表'!I9:AS9,"地上",'数据-基础表'!I5:AS5)/'数据-基础表'!A3,2)</f>
        <v>1.73</v>
      </c>
      <c r="J4" s="3048"/>
      <c r="K4" s="3048"/>
      <c r="L4" s="3048"/>
      <c r="M4" s="3048"/>
      <c r="N4" s="3048"/>
      <c r="O4" s="3048"/>
      <c r="P4" s="3048"/>
    </row>
    <row r="5" spans="1:16">
      <c r="A5" s="110" t="s">
        <v>207</v>
      </c>
      <c r="B5" s="3574" t="s">
        <v>230</v>
      </c>
      <c r="C5" s="3574"/>
      <c r="D5" s="111">
        <f>ROUND($D$3*E5/$E$3,2)</f>
        <v>122692.5</v>
      </c>
      <c r="E5" s="112">
        <f>SUMIF('数据-基础表'!$11:$11,"住宅",'数据-基础表'!$5:$5)</f>
        <v>211713.77</v>
      </c>
      <c r="F5" s="3048"/>
      <c r="G5" s="278" t="s">
        <v>837</v>
      </c>
      <c r="H5" s="273" t="s">
        <v>835</v>
      </c>
      <c r="I5" s="1861">
        <f>ROUND(E31/D31,2)</f>
        <v>1.73</v>
      </c>
      <c r="J5" s="3048"/>
      <c r="K5" s="3048"/>
      <c r="L5" s="3048"/>
      <c r="M5" s="3048"/>
      <c r="N5" s="3048"/>
      <c r="O5" s="3048"/>
      <c r="P5" s="3048"/>
    </row>
    <row r="6" spans="1:16" ht="15" thickBot="1">
      <c r="A6" s="113"/>
      <c r="B6" s="3574" t="s">
        <v>208</v>
      </c>
      <c r="C6" s="3574"/>
      <c r="D6" s="111">
        <f>ROUND($D$3*E6/$E$3,2)</f>
        <v>3377</v>
      </c>
      <c r="E6" s="112">
        <f>E3-E5</f>
        <v>5827.2300000000105</v>
      </c>
      <c r="F6" s="3048"/>
      <c r="G6" s="1166"/>
      <c r="H6" s="273" t="s">
        <v>836</v>
      </c>
      <c r="I6" s="1861">
        <f>ROUND(F31/D31,2)</f>
        <v>1.73</v>
      </c>
      <c r="J6" s="3048"/>
      <c r="K6" s="3048"/>
      <c r="L6" s="3048"/>
      <c r="M6" s="3048"/>
      <c r="N6" s="3048"/>
      <c r="O6" s="3048"/>
      <c r="P6" s="3048"/>
    </row>
    <row r="7" spans="1:16" ht="15">
      <c r="A7" s="3566"/>
      <c r="B7" s="3567"/>
      <c r="C7" s="3568"/>
      <c r="D7" s="108" t="s">
        <v>204</v>
      </c>
      <c r="E7" s="114" t="s">
        <v>231</v>
      </c>
      <c r="F7" s="3048"/>
      <c r="G7" s="1121" t="s">
        <v>1620</v>
      </c>
      <c r="H7" s="1122"/>
      <c r="I7" s="1732">
        <v>1.6</v>
      </c>
      <c r="J7" s="3048"/>
      <c r="K7" s="3048"/>
      <c r="L7" s="3048"/>
      <c r="M7" s="3048"/>
      <c r="N7" s="3048"/>
      <c r="O7" s="3048"/>
      <c r="P7" s="3048"/>
    </row>
    <row r="8" spans="1:16">
      <c r="A8" s="110" t="s">
        <v>209</v>
      </c>
      <c r="B8" s="115" t="s">
        <v>210</v>
      </c>
      <c r="C8" s="111" t="s">
        <v>211</v>
      </c>
      <c r="D8" s="111">
        <f t="shared" ref="D8:D15" si="0">ROUND($D$3*E8/$E$3,2)</f>
        <v>126069.5</v>
      </c>
      <c r="E8" s="116">
        <f>SUMIF('数据-基础表'!BB10:BK10,"地上",'数据-基础表'!BB5:BK5)</f>
        <v>217541</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126069.5</v>
      </c>
      <c r="E16" s="120">
        <f>SUM(E8:E15)</f>
        <v>217541</v>
      </c>
      <c r="F16" s="3048"/>
      <c r="G16" s="3049"/>
      <c r="H16" s="938" t="s">
        <v>219</v>
      </c>
      <c r="I16" s="939"/>
      <c r="J16" s="1869"/>
      <c r="K16" s="3560" t="s">
        <v>2520</v>
      </c>
      <c r="L16" s="3561"/>
      <c r="M16" s="3561"/>
      <c r="N16" s="3561"/>
      <c r="O16" s="3561"/>
      <c r="P16" s="3562"/>
    </row>
    <row r="17" spans="1:19" ht="15">
      <c r="A17" s="121" t="s">
        <v>216</v>
      </c>
      <c r="B17" s="122" t="s">
        <v>217</v>
      </c>
      <c r="C17" s="2148" t="s">
        <v>2278</v>
      </c>
      <c r="D17" s="108" t="s">
        <v>204</v>
      </c>
      <c r="E17" s="124" t="s">
        <v>205</v>
      </c>
      <c r="F17" s="125"/>
      <c r="G17" s="1293"/>
      <c r="H17" s="940" t="s">
        <v>218</v>
      </c>
      <c r="I17" s="941" t="s">
        <v>2277</v>
      </c>
      <c r="J17" s="1869"/>
      <c r="K17" s="3563" t="s">
        <v>2521</v>
      </c>
      <c r="L17" s="3564"/>
      <c r="M17" s="3565"/>
      <c r="N17" s="3563" t="s">
        <v>2522</v>
      </c>
      <c r="O17" s="3564"/>
      <c r="P17" s="3565"/>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122692.5</v>
      </c>
      <c r="E19" s="134">
        <f t="shared" ref="E19:E26" si="2">SUM(F19:G19)</f>
        <v>211713.77</v>
      </c>
      <c r="F19" s="3050">
        <f>'数据-基础表'!I13</f>
        <v>211713.77</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122692.5</v>
      </c>
      <c r="S19" s="2151">
        <f t="shared" si="5"/>
        <v>211713.77</v>
      </c>
    </row>
    <row r="20" spans="1:19">
      <c r="A20" s="137"/>
      <c r="B20" s="115" t="s">
        <v>226</v>
      </c>
      <c r="C20" s="2705" t="s">
        <v>3208</v>
      </c>
      <c r="D20" s="111">
        <f t="shared" si="1"/>
        <v>3377</v>
      </c>
      <c r="E20" s="134">
        <f t="shared" si="2"/>
        <v>5827.23</v>
      </c>
      <c r="F20" s="3050">
        <f>'数据-基础表'!K13</f>
        <v>5827.23</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3377</v>
      </c>
      <c r="S20" s="2151">
        <f t="shared" si="5"/>
        <v>5827.23</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126069.5</v>
      </c>
      <c r="E27" s="141">
        <f>IF(SUM(E19:E26)='数据-基础表'!BA5,SUM(E19:E26),IF(F27="地上面积有误","面积有误","地下面积有误"))</f>
        <v>217541</v>
      </c>
      <c r="F27" s="134">
        <f>IF(SUM(F19:F26)=E8,SUM(F19:F26),"地上面积有误")</f>
        <v>217541</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126069.5</v>
      </c>
      <c r="S27" s="273">
        <f>IF(SUM(S19:S26)=$E$3,SUM(S19:S26),SUM(S19:S26)&amp;"误差"&amp;ROUND(SUM(S19:S26)-E3,2))</f>
        <v>217541</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126069.5</v>
      </c>
      <c r="E31" s="1297">
        <f>E27+E30</f>
        <v>217541</v>
      </c>
      <c r="F31" s="1298">
        <f>F27+F30</f>
        <v>217541</v>
      </c>
      <c r="G31" s="1299">
        <f>G27+G30</f>
        <v>0</v>
      </c>
      <c r="H31" s="3048"/>
      <c r="I31" s="3048"/>
      <c r="J31" s="3048"/>
      <c r="K31" s="3048"/>
      <c r="L31" s="3048"/>
      <c r="M31" s="3048"/>
      <c r="N31" s="3048"/>
      <c r="O31" s="3048"/>
      <c r="P31" s="3048"/>
    </row>
    <row r="32" spans="1:19">
      <c r="A32" s="1869"/>
      <c r="B32" s="2192" t="s">
        <v>2286</v>
      </c>
      <c r="C32" s="2456"/>
      <c r="D32" s="1166"/>
      <c r="E32" s="1166">
        <f>SUMIF(C19:C26,"*住宅*",E19:E26)</f>
        <v>211713.77</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AG6" activePane="bottomRight" state="frozen"/>
      <selection activeCell="I13" sqref="I13"/>
      <selection pane="topRight" activeCell="I13" sqref="I13"/>
      <selection pane="bottomLeft" activeCell="I13" sqref="I13"/>
      <selection pane="bottomRight" activeCell="AM8" sqref="AM8"/>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3221</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211713.77</v>
      </c>
      <c r="L6" s="2707">
        <f>'[2]数据-取费表'!$L$6</f>
        <v>4500</v>
      </c>
      <c r="M6" s="175">
        <f t="shared" ref="M6:M14" si="0">ROUND(K6*L6/10000,0)</f>
        <v>95271</v>
      </c>
      <c r="N6" s="2708">
        <v>0</v>
      </c>
      <c r="O6" s="175">
        <f>IF($N$5="成新度","——",ROUND(M6*N6,0))</f>
        <v>0</v>
      </c>
      <c r="P6" s="176">
        <f>IF($N$5="成新度","——",M6-O6)</f>
        <v>95271</v>
      </c>
      <c r="Q6" s="2709">
        <f>'[2]数据-取费表'!$Q$6</f>
        <v>0.25</v>
      </c>
      <c r="R6" s="177">
        <f>SUMIF('数据-汇总表'!C$19:C$33,A6,'数据-汇总表'!R$19:R$33)</f>
        <v>122692.5</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t="str">
        <f>'数据-汇总表'!C20</f>
        <v>商业</v>
      </c>
      <c r="B7" s="2187" t="str">
        <f t="shared" ref="B7:B13" si="1">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ref="G7:G11" si="2">IF(ISERROR(ROUND(POWER(1+H7,D7-F7)*(POWER(1+H7,F7)-1)/(POWER(1+H7,D7)-1),3)),0,ROUND(POWER(1+H7,D7-F7)*(POWER(1+H7,F7)-1)/(POWER(1+H7,D7)-1),3))</f>
        <v>1</v>
      </c>
      <c r="H7" s="2706">
        <f>'[2]数据-取费表'!$H$7</f>
        <v>0.04</v>
      </c>
      <c r="I7" s="2706">
        <f>'[2]数据-取费表'!$I$7</f>
        <v>0.05</v>
      </c>
      <c r="J7" s="174">
        <f>'[2]数据-取费表'!$J$7</f>
        <v>7.0000000000000007E-2</v>
      </c>
      <c r="K7" s="177">
        <f>SUMIF('数据-汇总表'!C$19:C$33,'数据-取费表'!A7,'数据-汇总表'!E$19:E$33)</f>
        <v>5827.23</v>
      </c>
      <c r="L7" s="2707">
        <f>'[2]数据-取费表'!$L$7</f>
        <v>4000</v>
      </c>
      <c r="M7" s="175">
        <f t="shared" si="0"/>
        <v>2331</v>
      </c>
      <c r="N7" s="2708">
        <v>0</v>
      </c>
      <c r="O7" s="175">
        <f t="shared" ref="O7:O14" si="3">IF($N$5="成新度","——",ROUND(M7*N7,0))</f>
        <v>0</v>
      </c>
      <c r="P7" s="176">
        <f t="shared" ref="P7:P14" si="4">IF($N$5="成新度","——",M7-O7)</f>
        <v>2331</v>
      </c>
      <c r="Q7" s="2709">
        <f>'[2]数据-取费表'!$Q$7</f>
        <v>0.2</v>
      </c>
      <c r="R7" s="177">
        <f>SUMIF('数据-汇总表'!C$19:C$33,A7,'数据-汇总表'!R$19:R$33)</f>
        <v>3377</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5">
        <f>'[2]数据-取费表'!$AM$7</f>
        <v>0.01</v>
      </c>
      <c r="AN7" s="2217"/>
      <c r="AO7" s="3058"/>
      <c r="AP7" s="1169">
        <f t="shared" ref="AP7:AP13" si="8">ROUND(1-1/(1+H7)^F7,3)</f>
        <v>0.79200000000000004</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217541</v>
      </c>
      <c r="L16" s="204">
        <f>ROUND(M16*10000/SUM(K6:K14),0)</f>
        <v>4487</v>
      </c>
      <c r="M16" s="204">
        <f>SUM(M6:M14)</f>
        <v>97602</v>
      </c>
      <c r="N16" s="205">
        <f>ROUND(SUMPRODUCT(M6:M14,N6:N14)/M16,3)</f>
        <v>0</v>
      </c>
      <c r="O16" s="204">
        <f>SUM(O6:O14)</f>
        <v>0</v>
      </c>
      <c r="P16" s="204">
        <f>SUM(P6:P14)</f>
        <v>97602</v>
      </c>
      <c r="Q16" s="206">
        <f>ROUND(SUMPRODUCT(Q6:Q13,K6:K13)/SUMPRODUCT((Q6:Q13&gt;0)*(K6:K13)),2)</f>
        <v>0.25</v>
      </c>
      <c r="R16" s="2161">
        <f>SUM(R6:R13)</f>
        <v>126069.5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0.93200000000000005</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3.5"/>
  <cols>
    <col min="1" max="1" width="9.5" style="3089" customWidth="1"/>
    <col min="2" max="2" width="23.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75" t="s">
        <v>1638</v>
      </c>
      <c r="B1" s="3576"/>
      <c r="C1" s="3576"/>
      <c r="D1" s="3576"/>
      <c r="E1" s="3576"/>
      <c r="F1" s="3576"/>
      <c r="G1" s="3576"/>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40.5">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0.5">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1.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0.5">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7.7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7">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1647</v>
      </c>
      <c r="B13" s="3116"/>
      <c r="C13" s="3116"/>
      <c r="D13" s="3087"/>
      <c r="E13" s="3116"/>
      <c r="F13" s="3116"/>
      <c r="G13" s="3116"/>
    </row>
    <row r="14" spans="1:18" ht="14.25" thickBot="1">
      <c r="A14" s="3128"/>
      <c r="B14" s="3128"/>
      <c r="C14" s="3129" t="s">
        <v>1639</v>
      </c>
      <c r="D14" s="3093"/>
      <c r="E14" s="3130"/>
      <c r="F14" s="3130"/>
      <c r="G14" s="3086" t="s">
        <v>1640</v>
      </c>
    </row>
    <row r="15" spans="1:18" ht="40.5">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0.5">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0.5">
      <c r="A17" s="3136"/>
      <c r="B17" s="3137" t="s">
        <v>1644</v>
      </c>
      <c r="C17" s="3138" t="str">
        <f>C5</f>
        <v>估价对象位于XX商圈，周边办公楼项目较多，入驻率高，办公集聚程度较好</v>
      </c>
      <c r="D17" s="3102"/>
      <c r="E17" s="3139"/>
      <c r="F17" s="3140" t="s">
        <v>1649</v>
      </c>
      <c r="G17" s="3142"/>
    </row>
    <row r="18" spans="1:7" ht="40.5">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7">
      <c r="A19" s="3136"/>
      <c r="B19" s="3140" t="s">
        <v>1634</v>
      </c>
      <c r="C19" s="3142"/>
      <c r="D19" s="3093"/>
      <c r="E19" s="3139"/>
      <c r="F19" s="3097" t="s">
        <v>2500</v>
      </c>
      <c r="G19" s="3141" t="str">
        <f>G5</f>
        <v>估价对象所在区域公共配套设施齐备情况</v>
      </c>
    </row>
    <row r="20" spans="1:7" ht="27">
      <c r="A20" s="3136"/>
      <c r="B20" s="3140" t="s">
        <v>1635</v>
      </c>
      <c r="C20" s="3138" t="str">
        <f>C9</f>
        <v>区域自然环境：；人文环境；综合评价环境状况一般</v>
      </c>
      <c r="D20" s="3102"/>
      <c r="E20" s="3139"/>
      <c r="F20" s="3097" t="s">
        <v>2501</v>
      </c>
      <c r="G20" s="3141" t="str">
        <f>G6</f>
        <v>估价对象所在区域基础设施水平</v>
      </c>
    </row>
    <row r="21" spans="1:7" ht="27">
      <c r="A21" s="3136"/>
      <c r="B21" s="3097" t="s">
        <v>2500</v>
      </c>
      <c r="C21" s="3141" t="str">
        <f>C7</f>
        <v>估价对象所在区域公共配套设施齐备情况</v>
      </c>
      <c r="D21" s="3093"/>
      <c r="E21" s="3139"/>
      <c r="F21" s="3140" t="s">
        <v>1636</v>
      </c>
      <c r="G21" s="3143"/>
    </row>
    <row r="22" spans="1:7" ht="14.25">
      <c r="A22" s="3136"/>
      <c r="B22" s="3097" t="s">
        <v>2501</v>
      </c>
      <c r="C22" s="3141" t="str">
        <f>C8</f>
        <v>估价对象所在区域基础设施水平</v>
      </c>
      <c r="D22" s="3093"/>
      <c r="E22" s="3139"/>
      <c r="F22" s="3140" t="s">
        <v>1646</v>
      </c>
      <c r="G22" s="3142"/>
    </row>
    <row r="23" spans="1:7" ht="15" thickBot="1">
      <c r="A23" s="3136"/>
      <c r="B23" s="3140" t="s">
        <v>1636</v>
      </c>
      <c r="C23" s="3143"/>
      <c r="E23" s="3144"/>
      <c r="F23" s="3145" t="s">
        <v>1650</v>
      </c>
      <c r="G23" s="3146"/>
    </row>
    <row r="24" spans="1:7" ht="14.2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2" customWidth="1"/>
    <col min="2" max="16384" width="14.625" style="3152"/>
  </cols>
  <sheetData>
    <row r="1" spans="1:10" ht="16.5">
      <c r="A1" s="3151" t="s">
        <v>2793</v>
      </c>
      <c r="B1" s="3151">
        <f>SUM(B14:B23)</f>
        <v>217541</v>
      </c>
      <c r="C1" s="3160"/>
      <c r="D1" s="3160"/>
      <c r="E1" s="3160"/>
      <c r="F1" s="3160"/>
      <c r="G1" s="3161"/>
      <c r="H1" s="3161"/>
      <c r="I1" s="3161"/>
      <c r="J1" s="3161"/>
    </row>
    <row r="2" spans="1:10" ht="16.5">
      <c r="A2" s="3151" t="s">
        <v>2794</v>
      </c>
      <c r="B2" s="3151">
        <f>SUM(C14:C23)</f>
        <v>126069.5</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148221</v>
      </c>
      <c r="C5" s="3151">
        <f ca="1">ROUND(B5*10000/$B$1,0)</f>
        <v>6813</v>
      </c>
      <c r="D5" s="3151">
        <f ca="1">ROUND(B5*10000/$B$2,0)</f>
        <v>11757</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217541</v>
      </c>
      <c r="C14" s="3157">
        <f>结果表!K38</f>
        <v>126069.5</v>
      </c>
      <c r="D14" s="3157">
        <f ca="1">结果表!C42</f>
        <v>148221</v>
      </c>
      <c r="E14" s="3157">
        <f ca="1">ROUND(D14*10000/B14,0)</f>
        <v>6813</v>
      </c>
      <c r="F14" s="3157">
        <f ca="1">ROUND(D14*10000/C14,0)</f>
        <v>11757</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E22" sqref="E22"/>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21" t="str">
        <f>项目基本情况!K2</f>
        <v>北京市出让国有建设用地使用权</v>
      </c>
      <c r="B2" s="3622"/>
      <c r="C2" s="3623"/>
      <c r="D2" s="3623"/>
      <c r="E2" s="3623"/>
      <c r="F2" s="3623"/>
      <c r="G2" s="3622"/>
      <c r="H2" s="3622"/>
      <c r="I2" s="3624"/>
      <c r="J2" s="1884"/>
      <c r="K2" s="1883"/>
      <c r="L2" s="1883"/>
      <c r="M2" s="1883"/>
      <c r="N2" s="1883"/>
      <c r="O2" s="1883"/>
      <c r="P2" s="1883"/>
      <c r="Q2" s="1883"/>
      <c r="R2" s="1883"/>
      <c r="S2" s="1883"/>
      <c r="T2" s="1883"/>
      <c r="U2" s="1883"/>
      <c r="V2" s="1883"/>
    </row>
    <row r="3" spans="1:22" ht="14.25">
      <c r="A3" s="3614" t="s">
        <v>298</v>
      </c>
      <c r="B3" s="3615"/>
      <c r="C3" s="3615"/>
      <c r="D3" s="3615"/>
      <c r="E3" s="3615"/>
      <c r="F3" s="3615"/>
      <c r="G3" s="3615"/>
      <c r="H3" s="3615"/>
      <c r="I3" s="3615"/>
      <c r="J3" s="1884"/>
      <c r="K3" s="1883"/>
      <c r="L3" s="1883"/>
      <c r="M3" s="1883"/>
      <c r="N3" s="1883"/>
      <c r="O3" s="1883"/>
      <c r="P3" s="1883"/>
      <c r="Q3" s="1883"/>
      <c r="R3" s="1883"/>
      <c r="S3" s="1883"/>
      <c r="T3" s="1883"/>
      <c r="U3" s="1883"/>
      <c r="V3" s="1883"/>
    </row>
    <row r="4" spans="1:22" ht="14.25">
      <c r="A4" s="256" t="s">
        <v>299</v>
      </c>
      <c r="B4" s="257" t="s">
        <v>300</v>
      </c>
      <c r="C4" s="258" t="s">
        <v>3214</v>
      </c>
      <c r="D4" s="258" t="s">
        <v>3214</v>
      </c>
      <c r="E4" s="3580" t="s">
        <v>301</v>
      </c>
      <c r="F4" s="3581"/>
      <c r="G4" s="3581"/>
      <c r="H4" s="3581"/>
      <c r="I4" s="3616"/>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579" t="s">
        <v>302</v>
      </c>
      <c r="B5" s="3608">
        <v>25</v>
      </c>
      <c r="C5" s="3606">
        <v>5</v>
      </c>
      <c r="D5" s="3610">
        <f>10-C5</f>
        <v>5</v>
      </c>
      <c r="E5" s="259" t="s">
        <v>303</v>
      </c>
      <c r="F5" s="260"/>
      <c r="G5" s="260"/>
      <c r="H5" s="260"/>
      <c r="I5" s="261"/>
      <c r="J5" s="1884"/>
      <c r="K5" s="1883"/>
      <c r="L5" s="1883"/>
      <c r="M5" s="1883"/>
      <c r="N5" s="1883"/>
      <c r="O5" s="1883"/>
      <c r="P5" s="1883"/>
      <c r="Q5" s="1883"/>
      <c r="R5" s="1883"/>
      <c r="S5" s="1883"/>
      <c r="T5" s="1883"/>
      <c r="U5" s="1883"/>
      <c r="V5" s="1883"/>
    </row>
    <row r="6" spans="1:22" ht="14.25">
      <c r="A6" s="3579"/>
      <c r="B6" s="3608"/>
      <c r="C6" s="3609"/>
      <c r="D6" s="3610"/>
      <c r="E6" s="259" t="s">
        <v>304</v>
      </c>
      <c r="F6" s="260"/>
      <c r="G6" s="260"/>
      <c r="H6" s="260"/>
      <c r="I6" s="261"/>
      <c r="J6" s="1884"/>
      <c r="K6" s="1883"/>
      <c r="L6" s="1883"/>
      <c r="M6" s="1883"/>
      <c r="N6" s="1883"/>
      <c r="O6" s="1883"/>
      <c r="P6" s="1883"/>
      <c r="Q6" s="1883"/>
      <c r="R6" s="1883"/>
      <c r="S6" s="1883"/>
      <c r="T6" s="1883"/>
      <c r="U6" s="1883"/>
      <c r="V6" s="1883"/>
    </row>
    <row r="7" spans="1:22" ht="14.25">
      <c r="A7" s="3579"/>
      <c r="B7" s="3608"/>
      <c r="C7" s="3607"/>
      <c r="D7" s="3610"/>
      <c r="E7" s="259" t="s">
        <v>305</v>
      </c>
      <c r="F7" s="260"/>
      <c r="G7" s="260"/>
      <c r="H7" s="260"/>
      <c r="I7" s="261"/>
      <c r="J7" s="1884"/>
      <c r="K7" s="1883"/>
      <c r="L7" s="1883"/>
      <c r="M7" s="1883"/>
      <c r="N7" s="1883"/>
      <c r="O7" s="1883"/>
      <c r="P7" s="1883"/>
      <c r="Q7" s="1883"/>
      <c r="R7" s="1883"/>
      <c r="S7" s="1883"/>
      <c r="T7" s="1883"/>
      <c r="U7" s="1883"/>
      <c r="V7" s="1883"/>
    </row>
    <row r="8" spans="1:22" ht="14.25">
      <c r="A8" s="3579" t="s">
        <v>306</v>
      </c>
      <c r="B8" s="3608">
        <v>15</v>
      </c>
      <c r="C8" s="3606"/>
      <c r="D8" s="3610"/>
      <c r="E8" s="259" t="s">
        <v>307</v>
      </c>
      <c r="F8" s="260"/>
      <c r="G8" s="260"/>
      <c r="H8" s="260"/>
      <c r="I8" s="261"/>
      <c r="J8" s="1884"/>
      <c r="K8" s="1883"/>
      <c r="L8" s="1883"/>
      <c r="M8" s="1883"/>
      <c r="N8" s="1883"/>
      <c r="O8" s="1883"/>
      <c r="P8" s="1883"/>
      <c r="Q8" s="1883"/>
      <c r="R8" s="1883"/>
      <c r="S8" s="1883"/>
      <c r="T8" s="1883"/>
      <c r="U8" s="1883"/>
      <c r="V8" s="1883"/>
    </row>
    <row r="9" spans="1:22" ht="14.25">
      <c r="A9" s="3579"/>
      <c r="B9" s="3608"/>
      <c r="C9" s="3607"/>
      <c r="D9" s="3610"/>
      <c r="E9" s="259" t="s">
        <v>308</v>
      </c>
      <c r="F9" s="260"/>
      <c r="G9" s="260"/>
      <c r="H9" s="260"/>
      <c r="I9" s="261"/>
      <c r="J9" s="1884"/>
      <c r="K9" s="1883"/>
      <c r="L9" s="1883"/>
      <c r="M9" s="1883"/>
      <c r="N9" s="1883"/>
      <c r="O9" s="1883"/>
      <c r="P9" s="1883"/>
      <c r="Q9" s="1883"/>
      <c r="R9" s="1883"/>
      <c r="S9" s="1883"/>
      <c r="T9" s="1883"/>
      <c r="U9" s="1883"/>
      <c r="V9" s="1883"/>
    </row>
    <row r="10" spans="1:22" ht="14.25">
      <c r="A10" s="3579" t="s">
        <v>309</v>
      </c>
      <c r="B10" s="3608">
        <v>15</v>
      </c>
      <c r="C10" s="3606"/>
      <c r="D10" s="3610"/>
      <c r="E10" s="259" t="s">
        <v>310</v>
      </c>
      <c r="F10" s="260"/>
      <c r="G10" s="260"/>
      <c r="H10" s="260"/>
      <c r="I10" s="261"/>
      <c r="J10" s="1884"/>
      <c r="K10" s="1883"/>
      <c r="L10" s="1883"/>
      <c r="M10" s="1883"/>
      <c r="N10" s="1883"/>
      <c r="O10" s="1883"/>
      <c r="P10" s="1883"/>
      <c r="Q10" s="1883"/>
      <c r="R10" s="1883"/>
      <c r="S10" s="1883"/>
      <c r="T10" s="1883"/>
      <c r="U10" s="1883"/>
      <c r="V10" s="1883"/>
    </row>
    <row r="11" spans="1:22" ht="14.25">
      <c r="A11" s="3579"/>
      <c r="B11" s="3608"/>
      <c r="C11" s="3607"/>
      <c r="D11" s="3610"/>
      <c r="E11" s="259" t="s">
        <v>311</v>
      </c>
      <c r="F11" s="260"/>
      <c r="G11" s="260"/>
      <c r="H11" s="260"/>
      <c r="I11" s="261"/>
      <c r="J11" s="1884"/>
      <c r="K11" s="1883"/>
      <c r="L11" s="1883"/>
      <c r="M11" s="1883"/>
      <c r="N11" s="1883"/>
      <c r="O11" s="1883"/>
      <c r="P11" s="1883"/>
      <c r="Q11" s="1883"/>
      <c r="R11" s="1883"/>
      <c r="S11" s="1883"/>
      <c r="T11" s="1883"/>
      <c r="U11" s="1883"/>
      <c r="V11" s="1883"/>
    </row>
    <row r="12" spans="1:22" ht="14.25">
      <c r="A12" s="3579" t="s">
        <v>312</v>
      </c>
      <c r="B12" s="3608">
        <v>15</v>
      </c>
      <c r="C12" s="3606"/>
      <c r="D12" s="3610"/>
      <c r="E12" s="259" t="s">
        <v>313</v>
      </c>
      <c r="F12" s="260"/>
      <c r="G12" s="260"/>
      <c r="H12" s="260"/>
      <c r="I12" s="261"/>
      <c r="J12" s="1884"/>
      <c r="K12" s="1883"/>
      <c r="L12" s="1883"/>
      <c r="M12" s="1883"/>
      <c r="N12" s="1883"/>
      <c r="O12" s="1883"/>
      <c r="P12" s="1883"/>
      <c r="Q12" s="1883"/>
      <c r="R12" s="1883"/>
      <c r="S12" s="1883"/>
      <c r="T12" s="1883"/>
      <c r="U12" s="1883"/>
      <c r="V12" s="1883"/>
    </row>
    <row r="13" spans="1:22" ht="14.25">
      <c r="A13" s="3579"/>
      <c r="B13" s="3608"/>
      <c r="C13" s="3607"/>
      <c r="D13" s="3610"/>
      <c r="E13" s="259" t="s">
        <v>314</v>
      </c>
      <c r="F13" s="260"/>
      <c r="G13" s="260"/>
      <c r="H13" s="260"/>
      <c r="I13" s="261"/>
      <c r="J13" s="1884"/>
      <c r="K13" s="1883"/>
      <c r="L13" s="1883"/>
      <c r="M13" s="1883"/>
      <c r="N13" s="1883"/>
      <c r="O13" s="1883"/>
      <c r="P13" s="1883"/>
      <c r="Q13" s="1883"/>
      <c r="R13" s="1883"/>
      <c r="S13" s="1883"/>
      <c r="T13" s="1883"/>
      <c r="U13" s="1883"/>
      <c r="V13" s="1883"/>
    </row>
    <row r="14" spans="1:22" ht="14.25">
      <c r="A14" s="3579" t="s">
        <v>315</v>
      </c>
      <c r="B14" s="3608">
        <v>30</v>
      </c>
      <c r="C14" s="3606"/>
      <c r="D14" s="3610"/>
      <c r="E14" s="259" t="s">
        <v>316</v>
      </c>
      <c r="F14" s="260"/>
      <c r="G14" s="260"/>
      <c r="H14" s="260"/>
      <c r="I14" s="261"/>
      <c r="J14" s="1884"/>
      <c r="K14" s="1883"/>
      <c r="L14" s="1883"/>
      <c r="M14" s="1883"/>
      <c r="N14" s="1883"/>
      <c r="O14" s="1883"/>
      <c r="P14" s="1883"/>
      <c r="Q14" s="1883"/>
      <c r="R14" s="1883"/>
      <c r="S14" s="1883"/>
      <c r="T14" s="1883"/>
      <c r="U14" s="1883"/>
      <c r="V14" s="1883"/>
    </row>
    <row r="15" spans="1:22" ht="14.25">
      <c r="A15" s="3579"/>
      <c r="B15" s="3608"/>
      <c r="C15" s="3609"/>
      <c r="D15" s="3610"/>
      <c r="E15" s="259" t="s">
        <v>317</v>
      </c>
      <c r="F15" s="260"/>
      <c r="G15" s="260"/>
      <c r="H15" s="260"/>
      <c r="I15" s="261"/>
      <c r="J15" s="1884"/>
      <c r="K15" s="1883"/>
      <c r="L15" s="1883"/>
      <c r="M15" s="1883"/>
      <c r="N15" s="1883"/>
      <c r="O15" s="1883"/>
      <c r="P15" s="1883"/>
      <c r="Q15" s="1883"/>
      <c r="R15" s="1883"/>
      <c r="S15" s="1883"/>
      <c r="T15" s="1883"/>
      <c r="U15" s="1883"/>
      <c r="V15" s="1883"/>
    </row>
    <row r="16" spans="1:22" ht="14.25">
      <c r="A16" s="3579"/>
      <c r="B16" s="3608"/>
      <c r="C16" s="3607"/>
      <c r="D16" s="3610"/>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0.5</v>
      </c>
      <c r="D18" s="265">
        <f>1-C18</f>
        <v>0.5</v>
      </c>
      <c r="E18" s="3611" t="s">
        <v>2930</v>
      </c>
      <c r="F18" s="3612"/>
      <c r="G18" s="3612"/>
      <c r="H18" s="3612"/>
      <c r="I18" s="3612"/>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148221</v>
      </c>
      <c r="D19" s="269">
        <f ca="1">SUMIF(INDIRECT("'"&amp;D4&amp;"'"&amp;"!A:A"),结果表!B19,INDIRECT("'"&amp;D4&amp;"'"&amp;"!B:B"))</f>
        <v>148221</v>
      </c>
      <c r="E19" s="266" t="s">
        <v>323</v>
      </c>
      <c r="F19" s="267" t="s">
        <v>322</v>
      </c>
      <c r="G19" s="270">
        <f ca="1">ROUND(C19*$C$18+D19*$D$18,0)</f>
        <v>148221</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7001</v>
      </c>
      <c r="D20" s="275">
        <f ca="1">SUMIF(INDIRECT("'"&amp;D4&amp;"'"&amp;"!A:A"),结果表!B20,INDIRECT("'"&amp;D4&amp;"'"&amp;"!B:B"))</f>
        <v>7001</v>
      </c>
      <c r="E20" s="272"/>
      <c r="F20" s="273" t="s">
        <v>325</v>
      </c>
      <c r="G20" s="276">
        <f ca="1">ROUND(C20*$C$18+D20*$D$18,0)</f>
        <v>7001</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v>
      </c>
      <c r="E22" s="282"/>
      <c r="F22" s="283"/>
      <c r="G22" s="284">
        <f ca="1">ROUND(G19/('数据-汇总表'!D3/666.67),0)</f>
        <v>784</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585"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586"/>
      <c r="B25" s="1257" t="s">
        <v>331</v>
      </c>
      <c r="C25" s="288">
        <f>IF(B30=0,0,C30)</f>
        <v>0</v>
      </c>
      <c r="D25" s="289"/>
      <c r="E25" s="309"/>
      <c r="F25" s="309"/>
      <c r="G25" s="309"/>
      <c r="H25" s="309"/>
      <c r="I25" s="309"/>
      <c r="J25" s="1883"/>
      <c r="K25" s="1191" t="str">
        <f ca="1">项目基本情况!B16&amp;"国有建设用地使用权价格："&amp;O38&amp;"万元"</f>
        <v>出让国有建设用地使用权价格：148221万元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大写金额：人民币壹拾肆亿捌仟贰佰贰拾壹万元整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单位面积地价：11757元/平方米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楼面地价：6813元/平方米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13" t="s">
        <v>2932</v>
      </c>
      <c r="B31" s="3613"/>
      <c r="C31" s="3613"/>
      <c r="D31" s="3613"/>
      <c r="E31" s="3613"/>
      <c r="F31" s="3613"/>
      <c r="G31" s="3613"/>
      <c r="H31" s="3613"/>
      <c r="I31" s="3613"/>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1663</v>
      </c>
      <c r="C32" s="264">
        <f ca="1">G19-C24</f>
        <v>148221</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1665</v>
      </c>
      <c r="C33" s="262">
        <f ca="1">ROUND(C32*10000/'数据-汇总表'!E3,0)</f>
        <v>6813</v>
      </c>
      <c r="D33" s="1308" t="s">
        <v>1666</v>
      </c>
      <c r="E33" s="3585"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11757</v>
      </c>
      <c r="D34" s="1310" t="s">
        <v>1666</v>
      </c>
      <c r="E34" s="3629"/>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784</v>
      </c>
      <c r="D35" s="1313" t="s">
        <v>1668</v>
      </c>
      <c r="E35" s="3630"/>
      <c r="F35" s="299" t="s">
        <v>342</v>
      </c>
      <c r="G35" s="952"/>
      <c r="H35" s="951" t="s">
        <v>343</v>
      </c>
      <c r="I35" s="309"/>
      <c r="J35" s="1883"/>
      <c r="K35" s="3603" t="s">
        <v>350</v>
      </c>
      <c r="L35" s="3603" t="s">
        <v>351</v>
      </c>
      <c r="M35" s="1200" t="s">
        <v>352</v>
      </c>
      <c r="N35" s="3603" t="s">
        <v>353</v>
      </c>
      <c r="O35" s="3603" t="s">
        <v>354</v>
      </c>
      <c r="P35" s="1883"/>
      <c r="V35" s="1883"/>
    </row>
    <row r="36" spans="1:26" ht="16.5" customHeight="1">
      <c r="A36" s="301" t="s">
        <v>344</v>
      </c>
      <c r="B36" s="302" t="s">
        <v>333</v>
      </c>
      <c r="C36" s="303" t="s">
        <v>345</v>
      </c>
      <c r="D36" s="303" t="s">
        <v>346</v>
      </c>
      <c r="E36" s="304" t="s">
        <v>347</v>
      </c>
      <c r="F36" s="309"/>
      <c r="G36" s="309"/>
      <c r="H36" s="309"/>
      <c r="I36" s="309"/>
      <c r="J36" s="1885"/>
      <c r="K36" s="3604"/>
      <c r="L36" s="3604"/>
      <c r="M36" s="1202" t="s">
        <v>355</v>
      </c>
      <c r="N36" s="3604"/>
      <c r="O36" s="3604"/>
      <c r="P36" s="1883"/>
      <c r="V36" s="1883"/>
    </row>
    <row r="37" spans="1:26" ht="16.5" customHeight="1" thickBot="1">
      <c r="A37" s="1196" t="s">
        <v>348</v>
      </c>
      <c r="B37" s="305"/>
      <c r="C37" s="292"/>
      <c r="D37" s="292"/>
      <c r="E37" s="293"/>
      <c r="F37" s="309"/>
      <c r="G37" s="309"/>
      <c r="H37" s="309"/>
      <c r="I37" s="309"/>
      <c r="J37" s="1885"/>
      <c r="K37" s="3605"/>
      <c r="L37" s="3605"/>
      <c r="M37" s="1203"/>
      <c r="N37" s="3605"/>
      <c r="O37" s="3605"/>
      <c r="P37" s="1883"/>
      <c r="V37" s="1883"/>
    </row>
    <row r="38" spans="1:26" ht="16.5" customHeight="1" thickBot="1">
      <c r="A38" s="1196" t="s">
        <v>349</v>
      </c>
      <c r="B38" s="305"/>
      <c r="C38" s="292"/>
      <c r="D38" s="292"/>
      <c r="E38" s="293"/>
      <c r="F38" s="309"/>
      <c r="G38" s="309"/>
      <c r="H38" s="309"/>
      <c r="I38" s="309"/>
      <c r="J38" s="1885"/>
      <c r="K38" s="1204">
        <f>'数据-汇总表'!D3</f>
        <v>126069.5</v>
      </c>
      <c r="L38" s="1205">
        <f>'数据-汇总表'!E3</f>
        <v>217541</v>
      </c>
      <c r="M38" s="1205">
        <f ca="1">C34</f>
        <v>11757</v>
      </c>
      <c r="N38" s="1205">
        <f ca="1">C33</f>
        <v>6813</v>
      </c>
      <c r="O38" s="1206">
        <f ca="1">C32</f>
        <v>148221</v>
      </c>
      <c r="P38" s="1883"/>
      <c r="V38" s="1883"/>
    </row>
    <row r="39" spans="1:26" ht="16.5" customHeight="1" thickBot="1">
      <c r="A39" s="1201"/>
      <c r="B39" s="306"/>
      <c r="C39" s="307"/>
      <c r="D39" s="307"/>
      <c r="E39" s="308"/>
      <c r="F39" s="309"/>
      <c r="G39" s="309"/>
      <c r="H39" s="309"/>
      <c r="I39" s="309"/>
      <c r="J39" s="1885"/>
      <c r="K39" s="3643" t="str">
        <f>MID(A44,3,LEN(A44)-2)</f>
        <v/>
      </c>
      <c r="L39" s="3644"/>
      <c r="M39" s="3644"/>
      <c r="N39" s="3645"/>
      <c r="O39" s="1315" t="str">
        <f>C44</f>
        <v>——</v>
      </c>
      <c r="P39" s="1883"/>
      <c r="V39" s="1883"/>
    </row>
    <row r="40" spans="1:26" ht="19.5" thickBot="1">
      <c r="A40" s="104" t="s">
        <v>848</v>
      </c>
      <c r="B40" s="309"/>
      <c r="C40" s="309"/>
      <c r="D40" s="309"/>
      <c r="E40" s="309"/>
      <c r="F40" s="309"/>
      <c r="G40" s="309"/>
      <c r="H40" s="309"/>
      <c r="I40" s="309"/>
      <c r="J40" s="1885"/>
      <c r="K40" s="3643" t="str">
        <f t="shared" ref="K40:K41" si="0">MID(A45,3,LEN(A45)-2)</f>
        <v/>
      </c>
      <c r="L40" s="3644"/>
      <c r="M40" s="3644"/>
      <c r="N40" s="3645"/>
      <c r="O40" s="1315" t="str">
        <f>C45</f>
        <v>——</v>
      </c>
      <c r="P40" s="1883"/>
      <c r="V40" s="1883"/>
    </row>
    <row r="41" spans="1:26" ht="16.5" thickBot="1">
      <c r="A41" s="310" t="s">
        <v>356</v>
      </c>
      <c r="B41" s="311"/>
      <c r="C41" s="312" t="s">
        <v>357</v>
      </c>
      <c r="D41" s="313" t="s">
        <v>358</v>
      </c>
      <c r="E41" s="313" t="s">
        <v>359</v>
      </c>
      <c r="F41" s="314" t="s">
        <v>360</v>
      </c>
      <c r="G41" s="309"/>
      <c r="H41" s="309"/>
      <c r="I41" s="309"/>
      <c r="J41" s="1885"/>
      <c r="K41" s="3643" t="str">
        <f t="shared" si="0"/>
        <v/>
      </c>
      <c r="L41" s="3644"/>
      <c r="M41" s="3644"/>
      <c r="N41" s="3645"/>
      <c r="O41" s="1315" t="str">
        <f>C46</f>
        <v>——</v>
      </c>
      <c r="P41" s="1883"/>
      <c r="V41" s="1883"/>
    </row>
    <row r="42" spans="1:26" ht="29.25">
      <c r="A42" s="3587" t="s">
        <v>2034</v>
      </c>
      <c r="B42" s="3588"/>
      <c r="C42" s="262">
        <f ca="1">C32</f>
        <v>148221</v>
      </c>
      <c r="D42" s="315">
        <f ca="1">C33</f>
        <v>6813</v>
      </c>
      <c r="E42" s="315">
        <f ca="1">C34</f>
        <v>11757</v>
      </c>
      <c r="F42" s="316">
        <f ca="1">C35</f>
        <v>784</v>
      </c>
      <c r="G42" s="309"/>
      <c r="H42" s="309"/>
      <c r="I42" s="317"/>
      <c r="J42" s="1885"/>
      <c r="K42" s="1207" t="s">
        <v>361</v>
      </c>
      <c r="L42" s="1902" t="s">
        <v>362</v>
      </c>
      <c r="M42" s="1208" t="s">
        <v>363</v>
      </c>
      <c r="N42" s="1903" t="s">
        <v>364</v>
      </c>
      <c r="O42" s="1904" t="s">
        <v>365</v>
      </c>
      <c r="P42" s="1883"/>
      <c r="V42" s="1883"/>
    </row>
    <row r="43" spans="1:26" ht="30">
      <c r="A43" s="3598" t="s">
        <v>2683</v>
      </c>
      <c r="B43" s="3599"/>
      <c r="C43" s="262">
        <f>IF(H33="正常操作",G33+G34+G35,G34+G35)</f>
        <v>0</v>
      </c>
      <c r="D43" s="315" t="s">
        <v>43</v>
      </c>
      <c r="E43" s="315" t="s">
        <v>44</v>
      </c>
      <c r="F43" s="316" t="s">
        <v>44</v>
      </c>
      <c r="G43" s="2551" t="s">
        <v>927</v>
      </c>
      <c r="H43" s="309"/>
      <c r="I43" s="317"/>
      <c r="J43" s="1885"/>
      <c r="K43" s="1209" t="str">
        <f>C4</f>
        <v>基准地价（住宅）</v>
      </c>
      <c r="L43" s="1210">
        <f ca="1">IF(L42="估价结果/万元",C19,C20)</f>
        <v>148221</v>
      </c>
      <c r="M43" s="1211">
        <f>C18</f>
        <v>0.5</v>
      </c>
      <c r="N43" s="1212">
        <f ca="1">IF(N42="测算结果/万元",G19,G20)</f>
        <v>148221</v>
      </c>
      <c r="O43" s="1213">
        <f ca="1">IF(O42="最终结果/万元",C32,C33)</f>
        <v>148221</v>
      </c>
      <c r="P43" s="1883"/>
      <c r="V43" s="1883"/>
    </row>
    <row r="44" spans="1:26" ht="30.75" thickBot="1">
      <c r="A44" s="3587" t="str">
        <f>IF(OR(项目基本情况!E8="抵押价格",项目基本情况!E8="已注销及未注销"),"3.抵押价格","——")</f>
        <v>——</v>
      </c>
      <c r="B44" s="3588"/>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基准地价（住宅）</v>
      </c>
      <c r="L44" s="1215">
        <f ca="1">IF(L42="估价结果/万元",D19,D20)</f>
        <v>148221</v>
      </c>
      <c r="M44" s="1216">
        <f>D18</f>
        <v>0.5</v>
      </c>
      <c r="N44" s="1217"/>
      <c r="O44" s="1218"/>
      <c r="P44" s="1883"/>
      <c r="V44" s="1883"/>
    </row>
    <row r="45" spans="1:26" ht="15">
      <c r="A45" s="3593" t="str">
        <f>IF(项目基本情况!E8="已注销及未注销","4.抵押担保权已注销时的抵押价格",IF(项目基本情况!E8="已注销","3.抵押担保权已注销时的抵押价格","——"))</f>
        <v>——</v>
      </c>
      <c r="B45" s="3594"/>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589" t="str">
        <f>IF(项目基本情况!E9="抵押净值",IF(A45="——","4.抵押净值","5.抵押净值"),"——")</f>
        <v>——</v>
      </c>
      <c r="B46" s="3590"/>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37" t="s">
        <v>374</v>
      </c>
      <c r="B63" s="3638"/>
      <c r="C63" s="3639"/>
      <c r="D63" s="339">
        <f ca="1">ROUND(C42*F63,0)</f>
        <v>148221</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95" t="s">
        <v>378</v>
      </c>
      <c r="B64" s="3596"/>
      <c r="C64" s="3596"/>
      <c r="D64" s="3596"/>
      <c r="E64" s="3596"/>
      <c r="F64" s="3596"/>
      <c r="G64" s="3597"/>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591" t="s">
        <v>386</v>
      </c>
      <c r="B66" s="3592"/>
      <c r="C66" s="359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652" t="s">
        <v>385</v>
      </c>
      <c r="M66" s="3653"/>
      <c r="N66" s="2283"/>
      <c r="O66" s="2284"/>
      <c r="P66" s="2285"/>
      <c r="Q66" s="1883"/>
      <c r="R66" s="1883"/>
      <c r="S66" s="1883"/>
      <c r="T66" s="1883"/>
      <c r="U66" s="1883"/>
      <c r="V66" s="1883"/>
    </row>
    <row r="67" spans="1:22" ht="25.5" customHeight="1">
      <c r="A67" s="350" t="s">
        <v>389</v>
      </c>
      <c r="B67" s="3582" t="s">
        <v>390</v>
      </c>
      <c r="C67" s="3582"/>
      <c r="D67" s="351">
        <v>0</v>
      </c>
      <c r="E67" s="41" t="s">
        <v>391</v>
      </c>
      <c r="F67" s="62" t="s">
        <v>21</v>
      </c>
      <c r="G67" s="3640"/>
      <c r="H67" s="2972" t="s">
        <v>2933</v>
      </c>
      <c r="I67" s="2974"/>
      <c r="J67" s="1890"/>
      <c r="K67" s="1862">
        <v>2</v>
      </c>
      <c r="L67" s="3646" t="s">
        <v>388</v>
      </c>
      <c r="M67" s="3646"/>
      <c r="N67" s="1261">
        <f>'数据-取费表'!B2</f>
        <v>44587</v>
      </c>
      <c r="O67" s="1261"/>
      <c r="P67" s="1261"/>
      <c r="Q67" s="1883"/>
      <c r="R67" s="1883"/>
      <c r="S67" s="1883"/>
      <c r="T67" s="1883"/>
      <c r="U67" s="1883"/>
      <c r="V67" s="1883"/>
    </row>
    <row r="68" spans="1:22" ht="25.5" customHeight="1">
      <c r="A68" s="352"/>
      <c r="B68" s="3582" t="s">
        <v>393</v>
      </c>
      <c r="C68" s="3582"/>
      <c r="D68" s="353"/>
      <c r="E68" s="77"/>
      <c r="F68" s="354"/>
      <c r="G68" s="3641"/>
      <c r="H68" s="2973" t="s">
        <v>2934</v>
      </c>
      <c r="I68" s="2974"/>
      <c r="J68" s="1890"/>
      <c r="K68" s="1862">
        <v>3</v>
      </c>
      <c r="L68" s="3646" t="s">
        <v>392</v>
      </c>
      <c r="M68" s="3646"/>
      <c r="N68" s="1229">
        <f ca="1">C42</f>
        <v>148221</v>
      </c>
      <c r="O68" s="1229"/>
      <c r="P68" s="1229"/>
      <c r="Q68" s="1883"/>
      <c r="R68" s="1883"/>
      <c r="S68" s="1883"/>
      <c r="T68" s="1883"/>
      <c r="U68" s="1883"/>
      <c r="V68" s="1883"/>
    </row>
    <row r="69" spans="1:22" ht="23.45" customHeight="1">
      <c r="A69" s="355"/>
      <c r="B69" s="3582" t="s">
        <v>394</v>
      </c>
      <c r="C69" s="3582"/>
      <c r="D69" s="356"/>
      <c r="E69" s="73"/>
      <c r="F69" s="354"/>
      <c r="G69" s="3642"/>
      <c r="H69" s="2973" t="s">
        <v>2935</v>
      </c>
      <c r="I69" s="2974"/>
      <c r="J69" s="1890"/>
      <c r="K69" s="1230">
        <v>4</v>
      </c>
      <c r="L69" s="3656" t="s">
        <v>2832</v>
      </c>
      <c r="M69" s="3657"/>
      <c r="N69" s="1231" t="str">
        <f>C44</f>
        <v>——</v>
      </c>
      <c r="O69" s="1231"/>
      <c r="P69" s="1231"/>
      <c r="Q69" s="1883"/>
      <c r="R69" s="1883"/>
      <c r="S69" s="1883"/>
      <c r="T69" s="1883"/>
      <c r="U69" s="1883"/>
      <c r="V69" s="1883"/>
    </row>
    <row r="70" spans="1:22" ht="24" customHeight="1">
      <c r="A70" s="357" t="s">
        <v>395</v>
      </c>
      <c r="B70" s="3582" t="s">
        <v>396</v>
      </c>
      <c r="C70" s="3582"/>
      <c r="D70" s="356">
        <f ca="1">ROUND(D63*'数据-取费表'!B41/(1+'数据-取费表'!C42),0)</f>
        <v>7764</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583" t="s">
        <v>2964</v>
      </c>
      <c r="C71" s="3584"/>
      <c r="D71" s="356">
        <f ca="1">ROUND(D63*'数据-取费表'!B41/(1+'数据-取费表'!C42),0)</f>
        <v>7764</v>
      </c>
      <c r="E71" s="17" t="s">
        <v>397</v>
      </c>
      <c r="F71" s="358">
        <f>'数据-取费表'!B41</f>
        <v>5.5000000000000007E-2</v>
      </c>
      <c r="G71" s="359"/>
      <c r="H71" s="309"/>
      <c r="I71" s="1228"/>
      <c r="J71" s="1890"/>
      <c r="K71" s="2730" t="s">
        <v>398</v>
      </c>
      <c r="L71" s="3658" t="s">
        <v>399</v>
      </c>
      <c r="M71" s="3658"/>
      <c r="N71" s="2730" t="s">
        <v>400</v>
      </c>
      <c r="O71" s="2730" t="s">
        <v>401</v>
      </c>
      <c r="P71" s="2730" t="s">
        <v>402</v>
      </c>
      <c r="Q71" s="1883"/>
      <c r="R71" s="1883"/>
      <c r="S71" s="1883"/>
      <c r="T71" s="1883"/>
      <c r="U71" s="1883"/>
      <c r="V71" s="1883"/>
    </row>
    <row r="72" spans="1:22" ht="12" customHeight="1">
      <c r="A72" s="357" t="s">
        <v>405</v>
      </c>
      <c r="B72" s="3583" t="s">
        <v>2965</v>
      </c>
      <c r="C72" s="3584"/>
      <c r="D72" s="356">
        <f ca="1">C86</f>
        <v>7764</v>
      </c>
      <c r="E72" s="73" t="s">
        <v>406</v>
      </c>
      <c r="F72" s="358">
        <f>'数据-取费表'!B41</f>
        <v>5.5000000000000007E-2</v>
      </c>
      <c r="G72" s="359"/>
      <c r="H72" s="1234"/>
      <c r="I72" s="1228"/>
      <c r="J72" s="1890"/>
      <c r="K72" s="1862">
        <v>1</v>
      </c>
      <c r="L72" s="3633" t="s">
        <v>404</v>
      </c>
      <c r="M72" s="3633"/>
      <c r="N72" s="1232" t="b">
        <f>D66</f>
        <v>0</v>
      </c>
      <c r="O72" s="1746" t="str">
        <f>E66</f>
        <v>销售额×税（费）率</v>
      </c>
      <c r="P72" s="1233">
        <f>F66</f>
        <v>5.5000000000000007E-2</v>
      </c>
      <c r="Q72" s="1883"/>
      <c r="R72" s="1883"/>
      <c r="S72" s="1883"/>
      <c r="T72" s="1883"/>
      <c r="U72" s="1883"/>
      <c r="V72" s="1883"/>
    </row>
    <row r="73" spans="1:22" ht="24" customHeight="1">
      <c r="A73" s="3628" t="s">
        <v>408</v>
      </c>
      <c r="B73" s="3592"/>
      <c r="C73" s="3592"/>
      <c r="D73" s="360">
        <f ca="1">IF(H73="个人住宅",0,ROUND(D63*I73,0))</f>
        <v>74</v>
      </c>
      <c r="E73" s="17" t="s">
        <v>409</v>
      </c>
      <c r="F73" s="358" t="str">
        <f>IF(H73="正常",I73,"免征")</f>
        <v>免征</v>
      </c>
      <c r="G73" s="359"/>
      <c r="H73" s="189"/>
      <c r="I73" s="358">
        <f>'数据-取费表'!B49</f>
        <v>5.0000000000000001E-4</v>
      </c>
      <c r="J73" s="1890"/>
      <c r="K73" s="1862">
        <v>2</v>
      </c>
      <c r="L73" s="3633" t="s">
        <v>407</v>
      </c>
      <c r="M73" s="3633"/>
      <c r="N73" s="1232">
        <f t="shared" ref="N73:P74" ca="1" si="1">D73</f>
        <v>74</v>
      </c>
      <c r="O73" s="1746" t="str">
        <f t="shared" si="1"/>
        <v>销售额×税（费）率</v>
      </c>
      <c r="P73" s="1233" t="str">
        <f t="shared" si="1"/>
        <v>免征</v>
      </c>
      <c r="Q73" s="1883"/>
      <c r="R73" s="1883"/>
      <c r="S73" s="1883"/>
      <c r="T73" s="1883"/>
      <c r="U73" s="1883"/>
      <c r="V73" s="1883"/>
    </row>
    <row r="74" spans="1:22" ht="24.75">
      <c r="A74" s="3628" t="s">
        <v>411</v>
      </c>
      <c r="B74" s="3592"/>
      <c r="C74" s="3592"/>
      <c r="D74" s="360">
        <f ca="1">IF(H74="个人住宅",D75,D76)</f>
        <v>84027</v>
      </c>
      <c r="E74" s="17" t="s">
        <v>412</v>
      </c>
      <c r="F74" s="358" t="str">
        <f>IF(H74="正常",F76,"免征")</f>
        <v>免征</v>
      </c>
      <c r="G74" s="953" t="s">
        <v>413</v>
      </c>
      <c r="H74" s="361"/>
      <c r="I74" s="42"/>
      <c r="J74" s="1890"/>
      <c r="K74" s="1862">
        <v>3</v>
      </c>
      <c r="L74" s="3633" t="s">
        <v>410</v>
      </c>
      <c r="M74" s="3633"/>
      <c r="N74" s="1232">
        <f t="shared" ca="1" si="1"/>
        <v>84027</v>
      </c>
      <c r="O74" s="1746" t="str">
        <f t="shared" si="1"/>
        <v>增值额×税（费）率</v>
      </c>
      <c r="P74" s="1235" t="str">
        <f t="shared" si="1"/>
        <v>免征</v>
      </c>
      <c r="Q74" s="1883"/>
      <c r="R74" s="1883"/>
      <c r="S74" s="1883"/>
      <c r="T74" s="1883"/>
      <c r="U74" s="1883"/>
      <c r="V74" s="1883"/>
    </row>
    <row r="75" spans="1:22" ht="12.75">
      <c r="A75" s="357" t="s">
        <v>414</v>
      </c>
      <c r="B75" s="3580" t="s">
        <v>415</v>
      </c>
      <c r="C75" s="3616"/>
      <c r="D75" s="362">
        <v>0</v>
      </c>
      <c r="E75" s="41" t="s">
        <v>416</v>
      </c>
      <c r="F75" s="363"/>
      <c r="G75" s="359"/>
      <c r="H75" s="42"/>
      <c r="I75" s="42"/>
      <c r="J75" s="1890"/>
      <c r="K75" s="2724">
        <f>IF(H77="非个人房产","",4)</f>
        <v>4</v>
      </c>
      <c r="L75" s="3633" t="str">
        <f>IF(H77="非个人房产","——","个人所得税")</f>
        <v>个人所得税</v>
      </c>
      <c r="M75" s="3633"/>
      <c r="N75" s="1236">
        <f>D77</f>
        <v>0</v>
      </c>
      <c r="O75" s="1759" t="str">
        <f>E77</f>
        <v>差额计税</v>
      </c>
      <c r="P75" s="1237">
        <f>F77</f>
        <v>0.01</v>
      </c>
      <c r="Q75" s="1883"/>
      <c r="R75" s="1883"/>
      <c r="S75" s="1883"/>
      <c r="T75" s="1883"/>
      <c r="U75" s="1883"/>
      <c r="V75" s="1883"/>
    </row>
    <row r="76" spans="1:22" ht="24.75">
      <c r="A76" s="357" t="s">
        <v>395</v>
      </c>
      <c r="B76" s="3580" t="s">
        <v>418</v>
      </c>
      <c r="C76" s="3581"/>
      <c r="D76" s="360">
        <f ca="1">IF(H76="转让取得",C99,C115)</f>
        <v>84027</v>
      </c>
      <c r="E76" s="17" t="s">
        <v>419</v>
      </c>
      <c r="F76" s="53" t="s">
        <v>21</v>
      </c>
      <c r="G76" s="359"/>
      <c r="H76" s="361"/>
      <c r="I76" s="42"/>
      <c r="J76" s="1890"/>
      <c r="K76" s="2724" t="str">
        <f>IF(项目基本情况!K6="上海银行",IF(K75="",4,K75+1),"")</f>
        <v/>
      </c>
      <c r="L76" s="3648" t="str">
        <f>IF(项目基本情况!K6="上海银行","其他处置费用","")</f>
        <v/>
      </c>
      <c r="M76" s="3649"/>
      <c r="N76" s="1232" t="str">
        <f>IF(项目基本情况!K6="上海银行",N89,"")</f>
        <v/>
      </c>
      <c r="O76" s="3650" t="str">
        <f>IF(项目基本情况!K6="上海银行","包含处置中涉及的律师、诉讼、拍卖、评估等费用","")</f>
        <v/>
      </c>
      <c r="P76" s="3651"/>
      <c r="Q76" s="1883"/>
      <c r="R76" s="1883"/>
      <c r="S76" s="1883"/>
      <c r="T76" s="1883"/>
      <c r="U76" s="1883"/>
      <c r="V76" s="1883"/>
    </row>
    <row r="77" spans="1:22" ht="24.75" thickBot="1">
      <c r="A77" s="3635" t="s">
        <v>421</v>
      </c>
      <c r="B77" s="3636"/>
      <c r="C77" s="3636"/>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34">
        <f>IF(AND(K75="",K76=""),4,IF(项目基本情况!K6="上海银行",K76+1,K75+1))</f>
        <v>5</v>
      </c>
      <c r="L77" s="3633" t="s">
        <v>2833</v>
      </c>
      <c r="M77" s="2729" t="s">
        <v>417</v>
      </c>
      <c r="N77" s="1238"/>
      <c r="O77" s="1239">
        <f ca="1">SUMIF(N72:N76,"&lt;9e307")</f>
        <v>84101</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34"/>
      <c r="L78" s="3633"/>
      <c r="M78" s="2729" t="s">
        <v>420</v>
      </c>
      <c r="N78" s="1238"/>
      <c r="O78" s="1239" t="str">
        <f ca="1">NUMBERSTRING(INT(O77*10000),2)&amp;"元整"</f>
        <v>捌亿肆仟壹佰零壹万元整</v>
      </c>
      <c r="P78" s="1240"/>
      <c r="Q78" s="1883"/>
      <c r="R78" s="1883"/>
      <c r="S78" s="1883"/>
      <c r="T78" s="1883"/>
      <c r="U78" s="1883"/>
      <c r="V78" s="1883"/>
    </row>
    <row r="79" spans="1:22" ht="13.5" thickBot="1">
      <c r="A79" s="3600" t="s">
        <v>422</v>
      </c>
      <c r="B79" s="3600"/>
      <c r="C79" s="3600"/>
      <c r="D79" s="3600"/>
      <c r="E79" s="3600"/>
      <c r="F79" s="42"/>
      <c r="G79" s="42"/>
      <c r="H79" s="973"/>
      <c r="I79" s="309"/>
      <c r="J79" s="1890"/>
      <c r="K79" s="3654">
        <f>K77+1</f>
        <v>6</v>
      </c>
      <c r="L79" s="3633" t="s">
        <v>2834</v>
      </c>
      <c r="M79" s="2729" t="s">
        <v>417</v>
      </c>
      <c r="N79" s="1238"/>
      <c r="O79" s="1239" t="e">
        <f ca="1">N69-O77</f>
        <v>#VALUE!</v>
      </c>
      <c r="P79" s="1240"/>
      <c r="Q79" s="1883"/>
      <c r="R79" s="1883"/>
      <c r="S79" s="1883"/>
      <c r="T79" s="1883"/>
      <c r="U79" s="1883"/>
      <c r="V79" s="1883"/>
    </row>
    <row r="80" spans="1:22" ht="12.75">
      <c r="A80" s="3601" t="s">
        <v>423</v>
      </c>
      <c r="B80" s="3602"/>
      <c r="C80" s="964"/>
      <c r="D80" s="964" t="s">
        <v>424</v>
      </c>
      <c r="E80" s="364" t="s">
        <v>425</v>
      </c>
      <c r="F80" s="42"/>
      <c r="G80" s="42"/>
      <c r="H80" s="973"/>
      <c r="I80" s="309"/>
      <c r="J80" s="1883"/>
      <c r="K80" s="3655"/>
      <c r="L80" s="3633"/>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141163</v>
      </c>
      <c r="D81" s="367"/>
      <c r="E81" s="368"/>
      <c r="F81" s="42"/>
      <c r="G81" s="42"/>
      <c r="H81" s="973"/>
      <c r="I81" s="309"/>
      <c r="J81" s="1883"/>
      <c r="K81" s="2724">
        <f>K79+1</f>
        <v>7</v>
      </c>
      <c r="L81" s="3631" t="s">
        <v>2835</v>
      </c>
      <c r="M81" s="3632"/>
      <c r="N81" s="1242"/>
      <c r="O81" s="1243" t="e">
        <f ca="1">ROUND(O79*10000/'数据-汇总表'!E3,0)</f>
        <v>#VALUE!</v>
      </c>
      <c r="P81" s="1244"/>
      <c r="Q81" s="1883"/>
      <c r="R81" s="1883"/>
      <c r="S81" s="1883"/>
      <c r="T81" s="1883"/>
      <c r="U81" s="1883"/>
      <c r="V81" s="1883"/>
    </row>
    <row r="82" spans="1:26" ht="13.5" thickTop="1">
      <c r="A82" s="369" t="s">
        <v>1799</v>
      </c>
      <c r="B82" s="370" t="s">
        <v>427</v>
      </c>
      <c r="C82" s="371">
        <f ca="1">D63</f>
        <v>148221</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647"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2878</v>
      </c>
      <c r="F84" s="42"/>
      <c r="G84" s="42"/>
      <c r="H84" s="973"/>
      <c r="I84" s="309"/>
      <c r="J84" s="1883"/>
      <c r="K84" s="3647"/>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141163</v>
      </c>
      <c r="D85" s="372" t="s">
        <v>19</v>
      </c>
      <c r="E85" s="373"/>
      <c r="F85" s="42"/>
      <c r="G85" s="42"/>
      <c r="H85" s="973"/>
      <c r="I85" s="309"/>
      <c r="J85" s="1883"/>
      <c r="K85" s="3647"/>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7764</v>
      </c>
      <c r="D86" s="383">
        <f>'数据-取费表'!B41</f>
        <v>5.5000000000000007E-2</v>
      </c>
      <c r="E86" s="384"/>
      <c r="F86" s="42"/>
      <c r="G86" s="42"/>
      <c r="H86" s="973"/>
      <c r="I86" s="309"/>
      <c r="J86" s="1883"/>
      <c r="K86" s="3647"/>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47"/>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626" t="s">
        <v>432</v>
      </c>
      <c r="B88" s="3627"/>
      <c r="C88" s="3627"/>
      <c r="D88" s="3627"/>
      <c r="E88" s="3627"/>
      <c r="F88" s="3627"/>
      <c r="G88" s="3627"/>
      <c r="H88" s="3627"/>
      <c r="I88" s="1251"/>
      <c r="J88" s="1891"/>
      <c r="K88" s="3647"/>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01" t="s">
        <v>423</v>
      </c>
      <c r="B89" s="3602"/>
      <c r="C89" s="964"/>
      <c r="D89" s="964" t="s">
        <v>424</v>
      </c>
      <c r="E89" s="385" t="s">
        <v>433</v>
      </c>
      <c r="F89" s="386"/>
      <c r="G89" s="386"/>
      <c r="H89" s="387"/>
      <c r="I89" s="1252"/>
      <c r="J89" s="1893"/>
      <c r="K89" s="3647"/>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141163</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706</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583" t="s">
        <v>441</v>
      </c>
      <c r="F94" s="3582"/>
      <c r="G94" s="3582"/>
      <c r="H94" s="3625"/>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706</v>
      </c>
      <c r="D96" s="400">
        <f>'数据-取费表'!B43</f>
        <v>5.000000000000001E-3</v>
      </c>
      <c r="E96" s="3617" t="s">
        <v>2390</v>
      </c>
      <c r="F96" s="3618"/>
      <c r="G96" s="3618"/>
      <c r="H96" s="3619"/>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140457</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198.94759206798867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84027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26" t="s">
        <v>448</v>
      </c>
      <c r="B101" s="3627"/>
      <c r="C101" s="3627"/>
      <c r="D101" s="3627"/>
      <c r="E101" s="3627"/>
      <c r="F101" s="3627"/>
      <c r="G101" s="3627"/>
      <c r="H101" s="3627"/>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01" t="s">
        <v>423</v>
      </c>
      <c r="B102" s="3602"/>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141163</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706</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577" t="s">
        <v>2928</v>
      </c>
      <c r="H108" s="3578"/>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20" t="s">
        <v>456</v>
      </c>
      <c r="F109" s="3618"/>
      <c r="G109" s="3618"/>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20" t="s">
        <v>458</v>
      </c>
      <c r="F110" s="3618"/>
      <c r="G110" s="3618"/>
      <c r="H110" s="3619"/>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706</v>
      </c>
      <c r="D111" s="400">
        <f>'数据-取费表'!B43</f>
        <v>5.000000000000001E-3</v>
      </c>
      <c r="E111" s="3617" t="s">
        <v>2390</v>
      </c>
      <c r="F111" s="3618"/>
      <c r="G111" s="3618"/>
      <c r="H111" s="3619"/>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20" t="s">
        <v>2408</v>
      </c>
      <c r="F112" s="3618"/>
      <c r="G112" s="3618"/>
      <c r="H112" s="3619"/>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140457</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198.94759206798867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84027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474" t="str">
        <f>项目基本情况!B1</f>
        <v>北京市出让国有建设用地使用权市场价格预评估</v>
      </c>
      <c r="C37" s="3474"/>
      <c r="D37" s="3474"/>
      <c r="E37" s="3474"/>
      <c r="F37" s="3474"/>
      <c r="G37" s="3474"/>
      <c r="H37" s="3474"/>
      <c r="I37" s="3474"/>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21" sqref="D21"/>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426077</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20125</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34727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2315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804512.32599999988</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3473">
        <v>3.8</v>
      </c>
      <c r="D8" s="3473"/>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SUMIF('数据-汇总表'!$C19:$C33,'剩余法-住宅'!C7,'数据-汇总表'!$E19:$E33)</f>
        <v>211713.77</v>
      </c>
      <c r="D9" s="435">
        <f>SUMIF('数据-汇总表'!$C19:$C33,'剩余法-住宅'!D7,'数据-汇总表'!$E19:$E33)</f>
        <v>5827.23</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8"/>
      <c r="AB9" s="1968"/>
      <c r="AC9" s="1968"/>
      <c r="AD9" s="1968"/>
      <c r="AE9" s="1968"/>
    </row>
    <row r="10" spans="1:31" s="1969" customFormat="1" ht="13.5" customHeight="1" thickBot="1">
      <c r="A10" s="2521" t="s">
        <v>1822</v>
      </c>
      <c r="B10" s="2507" t="s">
        <v>468</v>
      </c>
      <c r="C10" s="2710">
        <f>C8*C9</f>
        <v>804512.32599999988</v>
      </c>
      <c r="D10" s="2710">
        <f>D8*D9</f>
        <v>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95271</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2858</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9527</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4234</v>
      </c>
      <c r="D16" s="2529">
        <f ca="1">IF(B1="",'数据-汇总表'!E3,INDIRECT("'数据-取费表'!K"&amp;$K$1)+INDIRECT("'数据-取费表'!S"&amp;$K$1))</f>
        <v>211713.77</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1429</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113319</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211713.77</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3387</v>
      </c>
      <c r="D21" s="2529">
        <f ca="1">IF(B1="",'数据-汇总表'!E5,IF(INDIRECT("'数据-取费表'!c"&amp;$K$1)="住宅",INDIRECT("'数据-取费表'!k"&amp;$K$1),0))</f>
        <v>211713.77</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2266</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16090</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6255</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6255</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42141</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180071</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180071</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32919</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32919</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426077</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97602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2928</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9527</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4351</v>
      </c>
      <c r="D16" s="444">
        <f ca="1">IF(B1="",'数据-汇总表'!E3,INDIRECT("'数据-取费表'!K"&amp;$K$1)+INDIRECT("'数据-取费表'!S"&amp;$K$1))</f>
        <v>217541</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114408</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2288</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5543</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29174</v>
      </c>
      <c r="D21" s="3245"/>
      <c r="E21" s="455"/>
      <c r="F21" s="472">
        <f ca="1">IF(B1="",'数据-取费表'!Q16,INDIRECT("'数据-取费表'!q"&amp;$K$1))</f>
        <v>0.25</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9" t="s">
        <v>2995</v>
      </c>
      <c r="B24" s="3660"/>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9" t="s">
        <v>2996</v>
      </c>
      <c r="B25" s="3660"/>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9" t="s">
        <v>2997</v>
      </c>
      <c r="B26" s="3660"/>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61" t="s">
        <v>2998</v>
      </c>
      <c r="B27" s="3662"/>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672" t="s">
        <v>500</v>
      </c>
      <c r="D6" s="3673"/>
      <c r="E6" s="3672" t="s">
        <v>501</v>
      </c>
      <c r="F6" s="3673"/>
      <c r="G6" s="3672" t="s">
        <v>502</v>
      </c>
      <c r="H6" s="3673"/>
      <c r="I6" s="3672" t="s">
        <v>503</v>
      </c>
      <c r="J6" s="3673"/>
      <c r="K6" s="490" t="s">
        <v>504</v>
      </c>
      <c r="L6" s="1986"/>
      <c r="M6" s="1985"/>
      <c r="N6" s="1985"/>
      <c r="O6" s="1987"/>
      <c r="P6" s="3674" t="s">
        <v>505</v>
      </c>
      <c r="Q6" s="3675"/>
      <c r="R6" s="3680" t="s">
        <v>501</v>
      </c>
      <c r="S6" s="3681"/>
      <c r="T6" s="3680" t="s">
        <v>502</v>
      </c>
      <c r="U6" s="3681"/>
      <c r="V6" s="3667" t="s">
        <v>503</v>
      </c>
      <c r="W6" s="3667"/>
      <c r="X6" s="1476"/>
      <c r="Y6" s="3680" t="s">
        <v>505</v>
      </c>
      <c r="Z6" s="3681"/>
      <c r="AA6" s="3669" t="s">
        <v>501</v>
      </c>
      <c r="AB6" s="3670" t="s">
        <v>502</v>
      </c>
      <c r="AC6" s="3669" t="s">
        <v>503</v>
      </c>
    </row>
    <row r="7" spans="1:30" ht="20.25">
      <c r="A7" s="491"/>
      <c r="B7" s="492"/>
      <c r="C7" s="3688" t="s">
        <v>2867</v>
      </c>
      <c r="D7" s="3689"/>
      <c r="E7" s="3688" t="s">
        <v>2868</v>
      </c>
      <c r="F7" s="3689"/>
      <c r="G7" s="3688" t="s">
        <v>2869</v>
      </c>
      <c r="H7" s="3689"/>
      <c r="I7" s="3688" t="s">
        <v>2870</v>
      </c>
      <c r="J7" s="3689"/>
      <c r="K7" s="490"/>
      <c r="L7" s="1986"/>
      <c r="M7" s="1985"/>
      <c r="N7" s="1985"/>
      <c r="O7" s="1987"/>
      <c r="P7" s="3676"/>
      <c r="Q7" s="3677"/>
      <c r="R7" s="3682"/>
      <c r="S7" s="3683"/>
      <c r="T7" s="3682"/>
      <c r="U7" s="3683"/>
      <c r="V7" s="3667"/>
      <c r="W7" s="3667"/>
      <c r="X7" s="1476"/>
      <c r="Y7" s="3682"/>
      <c r="Z7" s="3683"/>
      <c r="AA7" s="3670"/>
      <c r="AB7" s="3670"/>
      <c r="AC7" s="3670"/>
    </row>
    <row r="8" spans="1:30" ht="21" thickBot="1">
      <c r="A8" s="491"/>
      <c r="B8" s="492"/>
      <c r="C8" s="3690" t="s">
        <v>2871</v>
      </c>
      <c r="D8" s="3691"/>
      <c r="E8" s="3690" t="s">
        <v>2871</v>
      </c>
      <c r="F8" s="3691"/>
      <c r="G8" s="3686" t="s">
        <v>2871</v>
      </c>
      <c r="H8" s="3687"/>
      <c r="I8" s="3686" t="s">
        <v>2871</v>
      </c>
      <c r="J8" s="3687"/>
      <c r="K8" s="490" t="s">
        <v>506</v>
      </c>
      <c r="L8" s="1986"/>
      <c r="M8" s="1985"/>
      <c r="N8" s="1985"/>
      <c r="O8" s="1987"/>
      <c r="P8" s="3678"/>
      <c r="Q8" s="3679"/>
      <c r="R8" s="3682"/>
      <c r="S8" s="3683"/>
      <c r="T8" s="3684"/>
      <c r="U8" s="3685"/>
      <c r="V8" s="3667"/>
      <c r="W8" s="3667"/>
      <c r="X8" s="1476"/>
      <c r="Y8" s="3684"/>
      <c r="Z8" s="3685"/>
      <c r="AA8" s="3671"/>
      <c r="AB8" s="3671"/>
      <c r="AC8" s="3671"/>
    </row>
    <row r="9" spans="1:30" s="1185" customFormat="1" ht="21"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97" t="s">
        <v>508</v>
      </c>
      <c r="Q9" s="3699"/>
      <c r="R9" s="1477" t="s">
        <v>8</v>
      </c>
      <c r="S9" s="1478">
        <f t="shared" ref="S9:S17" si="0">F9</f>
        <v>0</v>
      </c>
      <c r="T9" s="1477" t="s">
        <v>8</v>
      </c>
      <c r="U9" s="1478">
        <f t="shared" ref="U9:U17" si="1">H9</f>
        <v>0</v>
      </c>
      <c r="V9" s="1477" t="s">
        <v>8</v>
      </c>
      <c r="W9" s="1478">
        <f t="shared" ref="W9:W17" si="2">J9</f>
        <v>0</v>
      </c>
      <c r="X9" s="1479"/>
      <c r="Y9" s="3697" t="s">
        <v>508</v>
      </c>
      <c r="Z9" s="3698"/>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97" t="s">
        <v>511</v>
      </c>
      <c r="Q10" s="3698"/>
      <c r="R10" s="1477" t="s">
        <v>8</v>
      </c>
      <c r="S10" s="1478">
        <f t="shared" si="0"/>
        <v>0</v>
      </c>
      <c r="T10" s="1477" t="s">
        <v>8</v>
      </c>
      <c r="U10" s="1478">
        <f t="shared" si="1"/>
        <v>0</v>
      </c>
      <c r="V10" s="1477" t="s">
        <v>8</v>
      </c>
      <c r="W10" s="1478">
        <f t="shared" si="2"/>
        <v>0</v>
      </c>
      <c r="X10" s="1479"/>
      <c r="Y10" s="3697" t="s">
        <v>511</v>
      </c>
      <c r="Z10" s="3698"/>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66" t="s">
        <v>513</v>
      </c>
      <c r="Q11" s="1116" t="str">
        <f t="shared" ref="Q11:Q17" si="6">B11</f>
        <v>用途</v>
      </c>
      <c r="R11" s="1477" t="s">
        <v>8</v>
      </c>
      <c r="S11" s="1478">
        <f t="shared" si="0"/>
        <v>100</v>
      </c>
      <c r="T11" s="1477" t="s">
        <v>8</v>
      </c>
      <c r="U11" s="1478">
        <f t="shared" si="1"/>
        <v>100</v>
      </c>
      <c r="V11" s="1477" t="s">
        <v>8</v>
      </c>
      <c r="W11" s="1478">
        <f t="shared" si="2"/>
        <v>100</v>
      </c>
      <c r="X11" s="1479"/>
      <c r="Y11" s="3608"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66"/>
      <c r="Q12" s="1116" t="str">
        <f t="shared" si="6"/>
        <v>土地使用年限（年）</v>
      </c>
      <c r="R12" s="1477" t="s">
        <v>8</v>
      </c>
      <c r="S12" s="1478">
        <f t="shared" si="0"/>
        <v>100</v>
      </c>
      <c r="T12" s="1477" t="s">
        <v>8</v>
      </c>
      <c r="U12" s="1478">
        <f t="shared" si="1"/>
        <v>100</v>
      </c>
      <c r="V12" s="1477" t="s">
        <v>8</v>
      </c>
      <c r="W12" s="1478">
        <f t="shared" si="2"/>
        <v>100</v>
      </c>
      <c r="X12" s="1479"/>
      <c r="Y12" s="3608"/>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66"/>
      <c r="Q13" s="1116" t="str">
        <f t="shared" si="6"/>
        <v>容积率</v>
      </c>
      <c r="R13" s="1477" t="s">
        <v>8</v>
      </c>
      <c r="S13" s="1478" t="e">
        <f t="shared" si="0"/>
        <v>#N/A</v>
      </c>
      <c r="T13" s="1477" t="s">
        <v>8</v>
      </c>
      <c r="U13" s="1478" t="e">
        <f t="shared" si="1"/>
        <v>#N/A</v>
      </c>
      <c r="V13" s="1477" t="s">
        <v>8</v>
      </c>
      <c r="W13" s="1478" t="e">
        <f t="shared" si="2"/>
        <v>#N/A</v>
      </c>
      <c r="X13" s="1479"/>
      <c r="Y13" s="3608"/>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66"/>
      <c r="Q14" s="1116" t="str">
        <f t="shared" si="6"/>
        <v>配建</v>
      </c>
      <c r="R14" s="1477" t="s">
        <v>8</v>
      </c>
      <c r="S14" s="1478">
        <f t="shared" si="0"/>
        <v>100</v>
      </c>
      <c r="T14" s="1477" t="s">
        <v>8</v>
      </c>
      <c r="U14" s="1478">
        <f t="shared" si="1"/>
        <v>100</v>
      </c>
      <c r="V14" s="1477" t="s">
        <v>8</v>
      </c>
      <c r="W14" s="1478">
        <f t="shared" si="2"/>
        <v>100</v>
      </c>
      <c r="X14" s="1479"/>
      <c r="Y14" s="3608"/>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66"/>
      <c r="Q15" s="1116">
        <f t="shared" si="6"/>
        <v>111</v>
      </c>
      <c r="R15" s="1477" t="s">
        <v>8</v>
      </c>
      <c r="S15" s="1478">
        <f t="shared" si="0"/>
        <v>100</v>
      </c>
      <c r="T15" s="1477" t="s">
        <v>8</v>
      </c>
      <c r="U15" s="1478">
        <f t="shared" si="1"/>
        <v>100</v>
      </c>
      <c r="V15" s="1477" t="s">
        <v>8</v>
      </c>
      <c r="W15" s="1478">
        <f t="shared" si="2"/>
        <v>100</v>
      </c>
      <c r="X15" s="1479"/>
      <c r="Y15" s="3608"/>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66"/>
      <c r="Q16" s="1116">
        <f t="shared" si="6"/>
        <v>111</v>
      </c>
      <c r="R16" s="1477" t="s">
        <v>8</v>
      </c>
      <c r="S16" s="1478">
        <f t="shared" si="0"/>
        <v>100</v>
      </c>
      <c r="T16" s="1477" t="s">
        <v>8</v>
      </c>
      <c r="U16" s="1478">
        <f t="shared" si="1"/>
        <v>100</v>
      </c>
      <c r="V16" s="1477" t="s">
        <v>8</v>
      </c>
      <c r="W16" s="1478">
        <f t="shared" si="2"/>
        <v>100</v>
      </c>
      <c r="X16" s="1479"/>
      <c r="Y16" s="3608"/>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00" t="s">
        <v>518</v>
      </c>
      <c r="Q17" s="1481" t="str">
        <f t="shared" si="6"/>
        <v>居住社区成熟度</v>
      </c>
      <c r="R17" s="1482" t="s">
        <v>8</v>
      </c>
      <c r="S17" s="1483">
        <f t="shared" si="0"/>
        <v>100</v>
      </c>
      <c r="T17" s="1482" t="s">
        <v>8</v>
      </c>
      <c r="U17" s="1483">
        <f t="shared" si="1"/>
        <v>100</v>
      </c>
      <c r="V17" s="1482" t="s">
        <v>8</v>
      </c>
      <c r="W17" s="1483">
        <f t="shared" si="2"/>
        <v>100</v>
      </c>
      <c r="X17" s="1476"/>
      <c r="Y17" s="3700"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01"/>
      <c r="Q18" s="1481"/>
      <c r="R18" s="1482"/>
      <c r="S18" s="1483"/>
      <c r="T18" s="1482"/>
      <c r="U18" s="1483"/>
      <c r="V18" s="1482"/>
      <c r="W18" s="1483"/>
      <c r="X18" s="1476"/>
      <c r="Y18" s="3701"/>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01"/>
      <c r="Q19" s="1481" t="str">
        <f>B19</f>
        <v>商业繁华度</v>
      </c>
      <c r="R19" s="1482" t="s">
        <v>8</v>
      </c>
      <c r="S19" s="1483">
        <f>F19</f>
        <v>100</v>
      </c>
      <c r="T19" s="1482" t="s">
        <v>8</v>
      </c>
      <c r="U19" s="1483">
        <f>H19</f>
        <v>100</v>
      </c>
      <c r="V19" s="1482" t="s">
        <v>8</v>
      </c>
      <c r="W19" s="1483">
        <f>J19</f>
        <v>100</v>
      </c>
      <c r="X19" s="1476"/>
      <c r="Y19" s="3701"/>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01"/>
      <c r="Q20" s="1481"/>
      <c r="R20" s="1482"/>
      <c r="S20" s="1483"/>
      <c r="T20" s="1482"/>
      <c r="U20" s="1483"/>
      <c r="V20" s="1482"/>
      <c r="W20" s="1483"/>
      <c r="X20" s="1476"/>
      <c r="Y20" s="3701"/>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01"/>
      <c r="Q21" s="1481" t="str">
        <f>B21</f>
        <v>办公集聚程度</v>
      </c>
      <c r="R21" s="1482" t="s">
        <v>8</v>
      </c>
      <c r="S21" s="1483">
        <f>F21</f>
        <v>100</v>
      </c>
      <c r="T21" s="1482" t="s">
        <v>8</v>
      </c>
      <c r="U21" s="1483">
        <f>H21</f>
        <v>100</v>
      </c>
      <c r="V21" s="1482" t="s">
        <v>8</v>
      </c>
      <c r="W21" s="1483">
        <f>J21</f>
        <v>100</v>
      </c>
      <c r="X21" s="1476"/>
      <c r="Y21" s="3701"/>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01"/>
      <c r="Q22" s="1481"/>
      <c r="R22" s="1482"/>
      <c r="S22" s="1483"/>
      <c r="T22" s="1482"/>
      <c r="U22" s="1483"/>
      <c r="V22" s="1482"/>
      <c r="W22" s="1483"/>
      <c r="X22" s="1476"/>
      <c r="Y22" s="3701"/>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01"/>
      <c r="Q23" s="1481" t="str">
        <f>B23</f>
        <v>交通便捷度</v>
      </c>
      <c r="R23" s="1482" t="s">
        <v>8</v>
      </c>
      <c r="S23" s="1483">
        <f>F23</f>
        <v>100</v>
      </c>
      <c r="T23" s="1482" t="s">
        <v>8</v>
      </c>
      <c r="U23" s="1483">
        <f>H23</f>
        <v>100</v>
      </c>
      <c r="V23" s="1482" t="s">
        <v>8</v>
      </c>
      <c r="W23" s="1483">
        <f>J23</f>
        <v>100</v>
      </c>
      <c r="X23" s="1476"/>
      <c r="Y23" s="3701"/>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01"/>
      <c r="Q24" s="1481"/>
      <c r="R24" s="1482"/>
      <c r="S24" s="1483"/>
      <c r="T24" s="1482"/>
      <c r="U24" s="1483"/>
      <c r="V24" s="1482"/>
      <c r="W24" s="1483"/>
      <c r="X24" s="1476"/>
      <c r="Y24" s="3701"/>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01"/>
      <c r="Q25" s="1481" t="str">
        <f t="shared" ref="Q25:Q39" si="8">B25</f>
        <v>区域土地利用方向</v>
      </c>
      <c r="R25" s="1482" t="s">
        <v>8</v>
      </c>
      <c r="S25" s="1483">
        <f>F25</f>
        <v>100</v>
      </c>
      <c r="T25" s="1482" t="s">
        <v>8</v>
      </c>
      <c r="U25" s="1483">
        <f>H25</f>
        <v>100</v>
      </c>
      <c r="V25" s="1482" t="s">
        <v>8</v>
      </c>
      <c r="W25" s="1483">
        <f>J25</f>
        <v>100</v>
      </c>
      <c r="X25" s="1476"/>
      <c r="Y25" s="3701"/>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01"/>
      <c r="Q26" s="1481"/>
      <c r="R26" s="1482"/>
      <c r="S26" s="1483"/>
      <c r="T26" s="1482"/>
      <c r="U26" s="1483"/>
      <c r="V26" s="1482"/>
      <c r="W26" s="1483"/>
      <c r="X26" s="1476"/>
      <c r="Y26" s="3701"/>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01"/>
      <c r="Q27" s="1481" t="str">
        <f t="shared" si="8"/>
        <v>自然及人文环境状况</v>
      </c>
      <c r="R27" s="1482" t="s">
        <v>8</v>
      </c>
      <c r="S27" s="1483">
        <f>F27</f>
        <v>100</v>
      </c>
      <c r="T27" s="1482" t="s">
        <v>8</v>
      </c>
      <c r="U27" s="1483">
        <f>H27</f>
        <v>100</v>
      </c>
      <c r="V27" s="1482" t="s">
        <v>8</v>
      </c>
      <c r="W27" s="1483">
        <f>J27</f>
        <v>100</v>
      </c>
      <c r="X27" s="1476"/>
      <c r="Y27" s="3701"/>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01"/>
      <c r="Q28" s="1481"/>
      <c r="R28" s="1482"/>
      <c r="S28" s="1483"/>
      <c r="T28" s="1482"/>
      <c r="U28" s="1483"/>
      <c r="V28" s="1482"/>
      <c r="W28" s="1483"/>
      <c r="X28" s="1476"/>
      <c r="Y28" s="3701"/>
      <c r="Z28" s="1484"/>
      <c r="AA28" s="1485">
        <v>1</v>
      </c>
      <c r="AB28" s="1485">
        <v>1</v>
      </c>
      <c r="AC28" s="1485">
        <v>1</v>
      </c>
    </row>
    <row r="29" spans="1:29" s="1185" customFormat="1" ht="42.75">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01"/>
      <c r="Q29" s="1116" t="str">
        <f t="shared" si="8"/>
        <v>公共配套设施</v>
      </c>
      <c r="R29" s="1477" t="s">
        <v>8</v>
      </c>
      <c r="S29" s="1478">
        <f>F29</f>
        <v>100</v>
      </c>
      <c r="T29" s="1477" t="s">
        <v>8</v>
      </c>
      <c r="U29" s="1478">
        <f>H29</f>
        <v>100</v>
      </c>
      <c r="V29" s="1477" t="s">
        <v>8</v>
      </c>
      <c r="W29" s="1478">
        <f>J29</f>
        <v>100</v>
      </c>
      <c r="X29" s="1479"/>
      <c r="Y29" s="3701"/>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01"/>
      <c r="Q30" s="1116"/>
      <c r="R30" s="1477"/>
      <c r="S30" s="1478"/>
      <c r="T30" s="1477"/>
      <c r="U30" s="1478"/>
      <c r="V30" s="1477"/>
      <c r="W30" s="1478"/>
      <c r="X30" s="1479"/>
      <c r="Y30" s="3701"/>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01"/>
      <c r="Q31" s="2396" t="str">
        <f t="shared" ref="Q31" si="9">B31</f>
        <v>基础设施水平</v>
      </c>
      <c r="R31" s="1477" t="s">
        <v>8</v>
      </c>
      <c r="S31" s="1478">
        <f>F31</f>
        <v>100</v>
      </c>
      <c r="T31" s="1477" t="s">
        <v>8</v>
      </c>
      <c r="U31" s="1478">
        <f>H31</f>
        <v>100</v>
      </c>
      <c r="V31" s="1477" t="s">
        <v>8</v>
      </c>
      <c r="W31" s="1478">
        <f>J31</f>
        <v>100</v>
      </c>
      <c r="X31" s="1479"/>
      <c r="Y31" s="3701"/>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01"/>
      <c r="Q32" s="2396"/>
      <c r="R32" s="1477"/>
      <c r="S32" s="1478"/>
      <c r="T32" s="1477"/>
      <c r="U32" s="1478"/>
      <c r="V32" s="1477"/>
      <c r="W32" s="1478"/>
      <c r="X32" s="1479"/>
      <c r="Y32" s="3701"/>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01"/>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01"/>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01"/>
      <c r="Q34" s="1481" t="str">
        <f t="shared" si="8"/>
        <v>毗邻道路的类型与等级</v>
      </c>
      <c r="R34" s="1482" t="s">
        <v>8</v>
      </c>
      <c r="S34" s="1483">
        <f t="shared" si="10"/>
        <v>100</v>
      </c>
      <c r="T34" s="1482" t="s">
        <v>8</v>
      </c>
      <c r="U34" s="1483">
        <f t="shared" si="11"/>
        <v>100</v>
      </c>
      <c r="V34" s="1482" t="s">
        <v>8</v>
      </c>
      <c r="W34" s="1483">
        <f t="shared" si="12"/>
        <v>100</v>
      </c>
      <c r="X34" s="1476"/>
      <c r="Y34" s="3701"/>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01"/>
      <c r="Q35" s="1481"/>
      <c r="R35" s="1482"/>
      <c r="S35" s="1483"/>
      <c r="T35" s="1482"/>
      <c r="U35" s="1483"/>
      <c r="V35" s="1482"/>
      <c r="W35" s="1483"/>
      <c r="X35" s="1476"/>
      <c r="Y35" s="3701"/>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01"/>
      <c r="Q36" s="1481" t="str">
        <f t="shared" si="8"/>
        <v>土地级别</v>
      </c>
      <c r="R36" s="1482" t="s">
        <v>8</v>
      </c>
      <c r="S36" s="1483">
        <f t="shared" si="10"/>
        <v>100</v>
      </c>
      <c r="T36" s="1482" t="s">
        <v>8</v>
      </c>
      <c r="U36" s="1483">
        <f t="shared" si="11"/>
        <v>100</v>
      </c>
      <c r="V36" s="1482" t="s">
        <v>8</v>
      </c>
      <c r="W36" s="1483">
        <f t="shared" si="12"/>
        <v>100</v>
      </c>
      <c r="X36" s="1476"/>
      <c r="Y36" s="3701"/>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01"/>
      <c r="Q37" s="1481">
        <f t="shared" si="8"/>
        <v>111</v>
      </c>
      <c r="R37" s="1482" t="s">
        <v>8</v>
      </c>
      <c r="S37" s="1483">
        <f t="shared" si="10"/>
        <v>100</v>
      </c>
      <c r="T37" s="1482" t="s">
        <v>8</v>
      </c>
      <c r="U37" s="1483">
        <f t="shared" si="11"/>
        <v>100</v>
      </c>
      <c r="V37" s="1482" t="s">
        <v>8</v>
      </c>
      <c r="W37" s="1483">
        <f t="shared" si="12"/>
        <v>100</v>
      </c>
      <c r="X37" s="1476"/>
      <c r="Y37" s="3701"/>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02" t="s">
        <v>528</v>
      </c>
      <c r="Q38" s="1481">
        <f t="shared" si="8"/>
        <v>111</v>
      </c>
      <c r="R38" s="1482" t="s">
        <v>8</v>
      </c>
      <c r="S38" s="1483">
        <f t="shared" si="10"/>
        <v>100</v>
      </c>
      <c r="T38" s="1482" t="s">
        <v>8</v>
      </c>
      <c r="U38" s="1483">
        <f t="shared" si="11"/>
        <v>100</v>
      </c>
      <c r="V38" s="1482" t="s">
        <v>8</v>
      </c>
      <c r="W38" s="1483">
        <f t="shared" si="12"/>
        <v>100</v>
      </c>
      <c r="X38" s="1476"/>
      <c r="Y38" s="3703"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03"/>
      <c r="Q39" s="1481">
        <f t="shared" si="8"/>
        <v>111</v>
      </c>
      <c r="R39" s="1486" t="s">
        <v>8</v>
      </c>
      <c r="S39" s="1487">
        <f t="shared" si="10"/>
        <v>100</v>
      </c>
      <c r="T39" s="1486" t="s">
        <v>8</v>
      </c>
      <c r="U39" s="1487">
        <f t="shared" si="11"/>
        <v>100</v>
      </c>
      <c r="V39" s="1486" t="s">
        <v>8</v>
      </c>
      <c r="W39" s="1487">
        <f t="shared" si="12"/>
        <v>100</v>
      </c>
      <c r="X39" s="1488"/>
      <c r="Y39" s="3703"/>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03"/>
      <c r="Q40" s="1481" t="str">
        <f>B40</f>
        <v>宗地面积</v>
      </c>
      <c r="R40" s="1482" t="s">
        <v>8</v>
      </c>
      <c r="S40" s="1483" t="e">
        <f t="shared" si="10"/>
        <v>#N/A</v>
      </c>
      <c r="T40" s="1482" t="s">
        <v>8</v>
      </c>
      <c r="U40" s="1483" t="e">
        <f t="shared" si="11"/>
        <v>#N/A</v>
      </c>
      <c r="V40" s="1482" t="s">
        <v>8</v>
      </c>
      <c r="W40" s="1483" t="e">
        <f t="shared" si="12"/>
        <v>#N/A</v>
      </c>
      <c r="X40" s="1476"/>
      <c r="Y40" s="3703"/>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03"/>
      <c r="Q41" s="1481" t="str">
        <f t="shared" ref="Q41:Q47" si="14">B41</f>
        <v>宗地形状</v>
      </c>
      <c r="R41" s="1482" t="s">
        <v>8</v>
      </c>
      <c r="S41" s="1483">
        <f t="shared" si="10"/>
        <v>100</v>
      </c>
      <c r="T41" s="1482" t="s">
        <v>8</v>
      </c>
      <c r="U41" s="1483">
        <f t="shared" si="11"/>
        <v>100</v>
      </c>
      <c r="V41" s="1482" t="s">
        <v>8</v>
      </c>
      <c r="W41" s="1483">
        <f t="shared" si="12"/>
        <v>100</v>
      </c>
      <c r="X41" s="1476"/>
      <c r="Y41" s="3703"/>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03"/>
      <c r="Q42" s="1481" t="str">
        <f t="shared" si="14"/>
        <v>临街宽度及深度</v>
      </c>
      <c r="R42" s="1482" t="s">
        <v>8</v>
      </c>
      <c r="S42" s="1483">
        <f t="shared" si="10"/>
        <v>100</v>
      </c>
      <c r="T42" s="1482" t="s">
        <v>8</v>
      </c>
      <c r="U42" s="1483">
        <f t="shared" si="11"/>
        <v>100</v>
      </c>
      <c r="V42" s="1482" t="s">
        <v>8</v>
      </c>
      <c r="W42" s="1483">
        <f t="shared" si="12"/>
        <v>100</v>
      </c>
      <c r="X42" s="1476"/>
      <c r="Y42" s="3703"/>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03"/>
      <c r="Q43" s="1481" t="str">
        <f t="shared" si="14"/>
        <v>宗地开发程度</v>
      </c>
      <c r="R43" s="1477" t="s">
        <v>8</v>
      </c>
      <c r="S43" s="1478">
        <f t="shared" si="10"/>
        <v>100</v>
      </c>
      <c r="T43" s="1477" t="s">
        <v>8</v>
      </c>
      <c r="U43" s="1478">
        <f t="shared" si="11"/>
        <v>100</v>
      </c>
      <c r="V43" s="1477" t="s">
        <v>8</v>
      </c>
      <c r="W43" s="1478">
        <f t="shared" si="12"/>
        <v>100</v>
      </c>
      <c r="X43" s="1479"/>
      <c r="Y43" s="3703"/>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03" t="s">
        <v>528</v>
      </c>
      <c r="Q44" s="1481" t="str">
        <f t="shared" si="14"/>
        <v>工程地质条件</v>
      </c>
      <c r="R44" s="1482" t="s">
        <v>8</v>
      </c>
      <c r="S44" s="1483">
        <f t="shared" si="10"/>
        <v>100</v>
      </c>
      <c r="T44" s="1482" t="s">
        <v>8</v>
      </c>
      <c r="U44" s="1483">
        <f t="shared" si="11"/>
        <v>100</v>
      </c>
      <c r="V44" s="1482" t="s">
        <v>8</v>
      </c>
      <c r="W44" s="1483">
        <f t="shared" si="12"/>
        <v>100</v>
      </c>
      <c r="X44" s="1476"/>
      <c r="Y44" s="3703"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03"/>
      <c r="Q45" s="1481">
        <f t="shared" si="14"/>
        <v>111</v>
      </c>
      <c r="R45" s="1482" t="s">
        <v>8</v>
      </c>
      <c r="S45" s="1483">
        <f t="shared" si="10"/>
        <v>100</v>
      </c>
      <c r="T45" s="1482" t="s">
        <v>8</v>
      </c>
      <c r="U45" s="1483">
        <f t="shared" si="11"/>
        <v>100</v>
      </c>
      <c r="V45" s="1482" t="s">
        <v>8</v>
      </c>
      <c r="W45" s="1483">
        <f t="shared" si="12"/>
        <v>100</v>
      </c>
      <c r="X45" s="1476"/>
      <c r="Y45" s="3703"/>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03"/>
      <c r="Q46" s="1481">
        <f t="shared" si="14"/>
        <v>111</v>
      </c>
      <c r="R46" s="1482" t="s">
        <v>8</v>
      </c>
      <c r="S46" s="1483">
        <f t="shared" si="10"/>
        <v>100</v>
      </c>
      <c r="T46" s="1482" t="s">
        <v>8</v>
      </c>
      <c r="U46" s="1483">
        <f t="shared" si="11"/>
        <v>100</v>
      </c>
      <c r="V46" s="1482" t="s">
        <v>8</v>
      </c>
      <c r="W46" s="1483">
        <f t="shared" si="12"/>
        <v>100</v>
      </c>
      <c r="X46" s="1476"/>
      <c r="Y46" s="3703"/>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03"/>
      <c r="Q47" s="1481">
        <f t="shared" si="14"/>
        <v>111</v>
      </c>
      <c r="R47" s="1486" t="s">
        <v>8</v>
      </c>
      <c r="S47" s="1487">
        <f t="shared" si="10"/>
        <v>100</v>
      </c>
      <c r="T47" s="1486" t="s">
        <v>8</v>
      </c>
      <c r="U47" s="1487">
        <f t="shared" si="11"/>
        <v>100</v>
      </c>
      <c r="V47" s="1486" t="s">
        <v>8</v>
      </c>
      <c r="W47" s="1487">
        <f t="shared" si="12"/>
        <v>100</v>
      </c>
      <c r="X47" s="1488"/>
      <c r="Y47" s="3703"/>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7"/>
      <c r="M48" s="1985"/>
      <c r="N48" s="1985"/>
      <c r="O48" s="1998"/>
      <c r="P48" s="3666" t="str">
        <f>A48</f>
        <v>成交单价</v>
      </c>
      <c r="Q48" s="3666"/>
      <c r="R48" s="3667">
        <f>E48</f>
        <v>0</v>
      </c>
      <c r="S48" s="3667"/>
      <c r="T48" s="3667">
        <f>G48</f>
        <v>0</v>
      </c>
      <c r="U48" s="3667"/>
      <c r="V48" s="3667">
        <f>I48</f>
        <v>0</v>
      </c>
      <c r="W48" s="3667"/>
      <c r="X48" s="1471"/>
      <c r="Y48" s="1490"/>
      <c r="Z48" s="1471"/>
      <c r="AA48" s="1471"/>
      <c r="AB48" s="1471"/>
      <c r="AC48" s="1471"/>
    </row>
    <row r="49" spans="1:29" ht="21"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66" t="str">
        <f>A49</f>
        <v>比较价格（元/平方米）</v>
      </c>
      <c r="Q49" s="3666"/>
      <c r="R49" s="3668" t="e">
        <f>ROUND(PRODUCT(R48,AA9:AA47),0)</f>
        <v>#DIV/0!</v>
      </c>
      <c r="S49" s="3668"/>
      <c r="T49" s="3668" t="e">
        <f>ROUND(PRODUCT(T48,AB9:AB47),0)</f>
        <v>#DIV/0!</v>
      </c>
      <c r="U49" s="3668"/>
      <c r="V49" s="3668" t="e">
        <f>ROUND(PRODUCT(V48,AC9:AC47),0)</f>
        <v>#DIV/0!</v>
      </c>
      <c r="W49" s="3668"/>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7"/>
      <c r="M50" s="1985"/>
      <c r="N50" s="1985"/>
      <c r="O50" s="1998"/>
      <c r="P50" s="3663" t="str">
        <f>A50</f>
        <v>估价对象XX用房的比较价格（楼面单价，元/平方米）</v>
      </c>
      <c r="Q50" s="3664"/>
      <c r="R50" s="3665" t="e">
        <f>ROUND(IF(D49="简单平均",AVERAGE(R49:W49),R49*F49+T49*H49+V49*J49),0)</f>
        <v>#DIV/0!</v>
      </c>
      <c r="S50" s="3665"/>
      <c r="T50" s="3665"/>
      <c r="U50" s="3665"/>
      <c r="V50" s="3665"/>
      <c r="W50" s="3665"/>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92" t="s">
        <v>2247</v>
      </c>
      <c r="H57" s="3693"/>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217541</v>
      </c>
      <c r="F58" s="610" t="e">
        <f t="shared" ref="F58:F67" si="15">ROUND(B58*E58/10000,0)</f>
        <v>#DIV/0!</v>
      </c>
      <c r="G58" s="3694"/>
      <c r="H58" s="3695"/>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3696" t="s">
        <v>2248</v>
      </c>
      <c r="H59" s="1835" t="str">
        <f>项目基本情况!B43</f>
        <v>九级</v>
      </c>
      <c r="I59" s="1469">
        <f>SUMIF(修正!$A$45:$A$56,H59,修正!B45:B56)</f>
        <v>0.6</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3696"/>
      <c r="H60" s="1835" t="str">
        <f>项目基本情况!B43</f>
        <v>九级</v>
      </c>
      <c r="I60" s="1469">
        <f>SUMIF(修正!$A$45:$A$56,H60,修正!C45:C56)</f>
        <v>0.3</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3696"/>
      <c r="H61" s="1835" t="str">
        <f>项目基本情况!B43</f>
        <v>九级</v>
      </c>
      <c r="I61" s="1469">
        <f>SUMIF(修正!$A$45:$A$56,H61,修正!D45:D56)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3696"/>
      <c r="H62" s="1835" t="str">
        <f>项目基本情况!B43</f>
        <v>九级</v>
      </c>
      <c r="I62" s="1469">
        <f>SUMIF(修正!$A$45:$A$56,H62,修正!E45:E56)</f>
        <v>0.2</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0.15</v>
      </c>
      <c r="D65" s="2080">
        <v>0.25</v>
      </c>
      <c r="E65" s="615">
        <f>'数据-汇总表'!E13</f>
        <v>0</v>
      </c>
      <c r="F65" s="610" t="e">
        <f t="shared" si="15"/>
        <v>#DIV/0!</v>
      </c>
      <c r="G65" s="1833" t="s">
        <v>898</v>
      </c>
      <c r="H65" s="1831" t="str">
        <f>IF(G65="商业",项目基本情况!B43,IF(G65="办公",项目基本情况!C43,IF(G65="住宅",项目基本情况!D43,项目基本情况!E43)))</f>
        <v>九级</v>
      </c>
      <c r="I65" s="1469">
        <f>SUMIF(修正!$A$45:$A$56,H65,修正!H45:H56)</f>
        <v>0.15</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2248</v>
      </c>
      <c r="H66" s="1835" t="str">
        <f>项目基本情况!B43</f>
        <v>九级</v>
      </c>
      <c r="I66" s="1469">
        <f>SUMIF(修正!$A$45:$A$56,H66,修正!H45:H56)</f>
        <v>0.15</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126069.5</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8">EDATE(D70,-3)</f>
        <v>44378</v>
      </c>
      <c r="F70" s="2484">
        <f t="shared" si="18"/>
        <v>44287</v>
      </c>
      <c r="G70" s="2484">
        <f t="shared" si="18"/>
        <v>44197</v>
      </c>
      <c r="H70" s="2484">
        <f t="shared" si="18"/>
        <v>44105</v>
      </c>
      <c r="I70" s="2484">
        <f t="shared" si="18"/>
        <v>44013</v>
      </c>
      <c r="J70" s="2484">
        <f t="shared" si="18"/>
        <v>43922</v>
      </c>
      <c r="K70" s="2484">
        <f t="shared" si="18"/>
        <v>43831</v>
      </c>
      <c r="L70" s="2484">
        <f t="shared" si="18"/>
        <v>43739</v>
      </c>
      <c r="M70" s="2484">
        <f t="shared" si="18"/>
        <v>43647</v>
      </c>
      <c r="N70" s="2484">
        <f t="shared" si="18"/>
        <v>43556</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672" t="s">
        <v>500</v>
      </c>
      <c r="D6" s="3673"/>
      <c r="E6" s="3706" t="s">
        <v>501</v>
      </c>
      <c r="F6" s="3707"/>
      <c r="G6" s="3672" t="s">
        <v>502</v>
      </c>
      <c r="H6" s="3673"/>
      <c r="I6" s="3672" t="s">
        <v>503</v>
      </c>
      <c r="J6" s="3673"/>
      <c r="K6" s="490" t="s">
        <v>504</v>
      </c>
      <c r="L6" s="1986"/>
      <c r="M6" s="1987"/>
      <c r="N6" s="1987"/>
      <c r="O6" s="1987"/>
      <c r="P6" s="3674" t="s">
        <v>505</v>
      </c>
      <c r="Q6" s="3675"/>
      <c r="R6" s="3680" t="s">
        <v>501</v>
      </c>
      <c r="S6" s="3681"/>
      <c r="T6" s="3680" t="s">
        <v>502</v>
      </c>
      <c r="U6" s="3681"/>
      <c r="V6" s="3667" t="s">
        <v>503</v>
      </c>
      <c r="W6" s="3667"/>
      <c r="X6" s="1476"/>
      <c r="Y6" s="3680" t="s">
        <v>505</v>
      </c>
      <c r="Z6" s="3681"/>
      <c r="AA6" s="3669" t="s">
        <v>501</v>
      </c>
      <c r="AB6" s="3670" t="s">
        <v>502</v>
      </c>
      <c r="AC6" s="3669" t="s">
        <v>503</v>
      </c>
    </row>
    <row r="7" spans="1:29" ht="15">
      <c r="A7" s="491"/>
      <c r="B7" s="492"/>
      <c r="C7" s="3688" t="s">
        <v>2867</v>
      </c>
      <c r="D7" s="3689"/>
      <c r="E7" s="3708" t="s">
        <v>2868</v>
      </c>
      <c r="F7" s="3709"/>
      <c r="G7" s="3688" t="s">
        <v>2869</v>
      </c>
      <c r="H7" s="3689"/>
      <c r="I7" s="3688" t="s">
        <v>2870</v>
      </c>
      <c r="J7" s="3689"/>
      <c r="K7" s="490"/>
      <c r="L7" s="1986"/>
      <c r="M7" s="1987"/>
      <c r="N7" s="1987"/>
      <c r="O7" s="1987"/>
      <c r="P7" s="3676"/>
      <c r="Q7" s="3677"/>
      <c r="R7" s="3682"/>
      <c r="S7" s="3683"/>
      <c r="T7" s="3682"/>
      <c r="U7" s="3683"/>
      <c r="V7" s="3667"/>
      <c r="W7" s="3667"/>
      <c r="X7" s="1476"/>
      <c r="Y7" s="3682"/>
      <c r="Z7" s="3683"/>
      <c r="AA7" s="3670"/>
      <c r="AB7" s="3670"/>
      <c r="AC7" s="3670"/>
    </row>
    <row r="8" spans="1:29" ht="15.75" thickBot="1">
      <c r="A8" s="493"/>
      <c r="B8" s="494"/>
      <c r="C8" s="3686" t="s">
        <v>2871</v>
      </c>
      <c r="D8" s="3687"/>
      <c r="E8" s="3704" t="s">
        <v>2871</v>
      </c>
      <c r="F8" s="3705"/>
      <c r="G8" s="3686" t="s">
        <v>2871</v>
      </c>
      <c r="H8" s="3687"/>
      <c r="I8" s="3686" t="s">
        <v>2871</v>
      </c>
      <c r="J8" s="3687"/>
      <c r="K8" s="490" t="s">
        <v>506</v>
      </c>
      <c r="L8" s="1986"/>
      <c r="M8" s="1987"/>
      <c r="N8" s="1987"/>
      <c r="O8" s="1987"/>
      <c r="P8" s="3678"/>
      <c r="Q8" s="3679"/>
      <c r="R8" s="3682"/>
      <c r="S8" s="3683"/>
      <c r="T8" s="3684"/>
      <c r="U8" s="3685"/>
      <c r="V8" s="3667"/>
      <c r="W8" s="3667"/>
      <c r="X8" s="1476"/>
      <c r="Y8" s="3684"/>
      <c r="Z8" s="3685"/>
      <c r="AA8" s="3671"/>
      <c r="AB8" s="3671"/>
      <c r="AC8" s="3671"/>
    </row>
    <row r="9" spans="1:29" s="1185" customFormat="1" ht="15.7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97" t="s">
        <v>508</v>
      </c>
      <c r="Q9" s="3699"/>
      <c r="R9" s="1477" t="s">
        <v>8</v>
      </c>
      <c r="S9" s="1478">
        <f t="shared" ref="S9:S17" si="0">F9</f>
        <v>0</v>
      </c>
      <c r="T9" s="1477" t="s">
        <v>8</v>
      </c>
      <c r="U9" s="1478">
        <f t="shared" ref="U9:U17" si="1">H9</f>
        <v>0</v>
      </c>
      <c r="V9" s="1477" t="s">
        <v>8</v>
      </c>
      <c r="W9" s="1478">
        <f t="shared" ref="W9:W17" si="2">J9</f>
        <v>0</v>
      </c>
      <c r="X9" s="1479"/>
      <c r="Y9" s="3697" t="s">
        <v>508</v>
      </c>
      <c r="Z9" s="3698"/>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97" t="s">
        <v>511</v>
      </c>
      <c r="Q10" s="3698"/>
      <c r="R10" s="1477" t="s">
        <v>8</v>
      </c>
      <c r="S10" s="1478">
        <f t="shared" si="0"/>
        <v>0</v>
      </c>
      <c r="T10" s="1477" t="s">
        <v>8</v>
      </c>
      <c r="U10" s="1478">
        <f t="shared" si="1"/>
        <v>0</v>
      </c>
      <c r="V10" s="1477" t="s">
        <v>8</v>
      </c>
      <c r="W10" s="1478">
        <f t="shared" si="2"/>
        <v>0</v>
      </c>
      <c r="X10" s="1479"/>
      <c r="Y10" s="3697" t="s">
        <v>511</v>
      </c>
      <c r="Z10" s="3698"/>
      <c r="AA10" s="1480" t="e">
        <f t="shared" ref="AA10:AA42" si="3">D10/F10</f>
        <v>#DIV/0!</v>
      </c>
      <c r="AB10" s="1480" t="e">
        <f t="shared" ref="AB10:AB42" si="4">D10/H10</f>
        <v>#DIV/0!</v>
      </c>
      <c r="AC10" s="1480" t="e">
        <f t="shared" ref="AC10:AC42" si="5">D10/J10</f>
        <v>#DIV/0!</v>
      </c>
    </row>
    <row r="11" spans="1:29" s="1185" customFormat="1" ht="15">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66" t="s">
        <v>513</v>
      </c>
      <c r="Q11" s="1116" t="str">
        <f t="shared" ref="Q11:Q17" si="6">B11</f>
        <v>用途</v>
      </c>
      <c r="R11" s="1477" t="s">
        <v>8</v>
      </c>
      <c r="S11" s="1478">
        <f t="shared" si="0"/>
        <v>100</v>
      </c>
      <c r="T11" s="1477" t="s">
        <v>8</v>
      </c>
      <c r="U11" s="1478">
        <f t="shared" si="1"/>
        <v>100</v>
      </c>
      <c r="V11" s="1477" t="s">
        <v>8</v>
      </c>
      <c r="W11" s="1478">
        <f t="shared" si="2"/>
        <v>100</v>
      </c>
      <c r="X11" s="1479"/>
      <c r="Y11" s="3608" t="s">
        <v>514</v>
      </c>
      <c r="Z11" s="1115" t="str">
        <f t="shared" ref="Z11:Z17" si="7">Q11</f>
        <v>用途</v>
      </c>
      <c r="AA11" s="1480">
        <f t="shared" si="3"/>
        <v>1</v>
      </c>
      <c r="AB11" s="1480">
        <f t="shared" si="4"/>
        <v>1</v>
      </c>
      <c r="AC11" s="1480">
        <f t="shared" si="5"/>
        <v>1</v>
      </c>
    </row>
    <row r="12" spans="1:29" s="1266" customFormat="1" ht="27">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66"/>
      <c r="Q12" s="1116" t="str">
        <f t="shared" si="6"/>
        <v>土地使用年限（年）</v>
      </c>
      <c r="R12" s="1477" t="s">
        <v>8</v>
      </c>
      <c r="S12" s="1478">
        <f t="shared" si="0"/>
        <v>100</v>
      </c>
      <c r="T12" s="1477" t="s">
        <v>8</v>
      </c>
      <c r="U12" s="1478">
        <f t="shared" si="1"/>
        <v>100</v>
      </c>
      <c r="V12" s="1477" t="s">
        <v>8</v>
      </c>
      <c r="W12" s="1478">
        <f t="shared" si="2"/>
        <v>100</v>
      </c>
      <c r="X12" s="1479"/>
      <c r="Y12" s="3608"/>
      <c r="Z12" s="1115" t="str">
        <f t="shared" si="7"/>
        <v>土地使用年限（年）</v>
      </c>
      <c r="AA12" s="1480">
        <f t="shared" si="3"/>
        <v>1</v>
      </c>
      <c r="AB12" s="1480">
        <f t="shared" si="4"/>
        <v>1</v>
      </c>
      <c r="AC12" s="1480">
        <f t="shared" si="5"/>
        <v>1</v>
      </c>
    </row>
    <row r="13" spans="1:29" ht="1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66"/>
      <c r="Q13" s="1116" t="str">
        <f t="shared" si="6"/>
        <v>容积率</v>
      </c>
      <c r="R13" s="1477" t="s">
        <v>8</v>
      </c>
      <c r="S13" s="1478" t="e">
        <f t="shared" si="0"/>
        <v>#N/A</v>
      </c>
      <c r="T13" s="1477" t="s">
        <v>8</v>
      </c>
      <c r="U13" s="1478" t="e">
        <f t="shared" si="1"/>
        <v>#N/A</v>
      </c>
      <c r="V13" s="1477" t="s">
        <v>8</v>
      </c>
      <c r="W13" s="1478" t="e">
        <f t="shared" si="2"/>
        <v>#N/A</v>
      </c>
      <c r="X13" s="1479"/>
      <c r="Y13" s="3608"/>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66"/>
      <c r="Q15" s="1116">
        <f t="shared" si="6"/>
        <v>111</v>
      </c>
      <c r="R15" s="1477" t="s">
        <v>8</v>
      </c>
      <c r="S15" s="1478">
        <f t="shared" si="0"/>
        <v>100</v>
      </c>
      <c r="T15" s="1477" t="s">
        <v>8</v>
      </c>
      <c r="U15" s="1478">
        <f t="shared" si="1"/>
        <v>100</v>
      </c>
      <c r="V15" s="1477" t="s">
        <v>8</v>
      </c>
      <c r="W15" s="1478">
        <f t="shared" si="2"/>
        <v>100</v>
      </c>
      <c r="X15" s="1479"/>
      <c r="Y15" s="3608"/>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66"/>
      <c r="Q16" s="1116">
        <f t="shared" si="6"/>
        <v>111</v>
      </c>
      <c r="R16" s="1477" t="s">
        <v>8</v>
      </c>
      <c r="S16" s="1478">
        <f t="shared" si="0"/>
        <v>100</v>
      </c>
      <c r="T16" s="1477" t="s">
        <v>8</v>
      </c>
      <c r="U16" s="1478">
        <f t="shared" si="1"/>
        <v>100</v>
      </c>
      <c r="V16" s="1477" t="s">
        <v>8</v>
      </c>
      <c r="W16" s="1478">
        <f t="shared" si="2"/>
        <v>100</v>
      </c>
      <c r="X16" s="1479"/>
      <c r="Y16" s="3608"/>
      <c r="Z16" s="1115">
        <f t="shared" si="7"/>
        <v>111</v>
      </c>
      <c r="AA16" s="1480">
        <f t="shared" si="3"/>
        <v>1</v>
      </c>
      <c r="AB16" s="1480">
        <f t="shared" si="4"/>
        <v>1</v>
      </c>
      <c r="AC16" s="1480">
        <f t="shared" si="5"/>
        <v>1</v>
      </c>
    </row>
    <row r="17" spans="1:29" ht="57">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00" t="s">
        <v>518</v>
      </c>
      <c r="Q17" s="1481" t="str">
        <f t="shared" si="6"/>
        <v>产业集聚程度</v>
      </c>
      <c r="R17" s="1482" t="s">
        <v>8</v>
      </c>
      <c r="S17" s="1483">
        <f t="shared" si="0"/>
        <v>100</v>
      </c>
      <c r="T17" s="1482" t="s">
        <v>8</v>
      </c>
      <c r="U17" s="1483">
        <f t="shared" si="1"/>
        <v>100</v>
      </c>
      <c r="V17" s="1482" t="s">
        <v>8</v>
      </c>
      <c r="W17" s="1483">
        <f t="shared" si="2"/>
        <v>100</v>
      </c>
      <c r="X17" s="1476"/>
      <c r="Y17" s="3700"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701"/>
      <c r="Q18" s="1481"/>
      <c r="R18" s="1482"/>
      <c r="S18" s="1483"/>
      <c r="T18" s="1482"/>
      <c r="U18" s="1483"/>
      <c r="V18" s="1482"/>
      <c r="W18" s="1483"/>
      <c r="X18" s="1476"/>
      <c r="Y18" s="3701"/>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01"/>
      <c r="Q19" s="1481" t="str">
        <f>B19</f>
        <v>交通便捷度</v>
      </c>
      <c r="R19" s="1482" t="s">
        <v>8</v>
      </c>
      <c r="S19" s="1483">
        <f>F19</f>
        <v>100</v>
      </c>
      <c r="T19" s="1482" t="s">
        <v>8</v>
      </c>
      <c r="U19" s="1483">
        <f>H19</f>
        <v>100</v>
      </c>
      <c r="V19" s="1482" t="s">
        <v>8</v>
      </c>
      <c r="W19" s="1483">
        <f>J19</f>
        <v>100</v>
      </c>
      <c r="X19" s="1476"/>
      <c r="Y19" s="3701"/>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01"/>
      <c r="Q21" s="1481" t="str">
        <f t="shared" ref="Q21:Q35" si="8">B21</f>
        <v>区域土地利用方向</v>
      </c>
      <c r="R21" s="1482" t="s">
        <v>8</v>
      </c>
      <c r="S21" s="1483">
        <f>F21</f>
        <v>100</v>
      </c>
      <c r="T21" s="1482" t="s">
        <v>8</v>
      </c>
      <c r="U21" s="1483">
        <f>H21</f>
        <v>100</v>
      </c>
      <c r="V21" s="1482" t="s">
        <v>8</v>
      </c>
      <c r="W21" s="1483">
        <f>J21</f>
        <v>100</v>
      </c>
      <c r="X21" s="1476"/>
      <c r="Y21" s="3701"/>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701"/>
      <c r="Q22" s="1481"/>
      <c r="R22" s="1482"/>
      <c r="S22" s="1483"/>
      <c r="T22" s="1482"/>
      <c r="U22" s="1483"/>
      <c r="V22" s="1482"/>
      <c r="W22" s="1483"/>
      <c r="X22" s="1476"/>
      <c r="Y22" s="3701"/>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01"/>
      <c r="Q23" s="1481" t="str">
        <f t="shared" si="8"/>
        <v>环境状况</v>
      </c>
      <c r="R23" s="1482" t="s">
        <v>8</v>
      </c>
      <c r="S23" s="1483">
        <f>F23</f>
        <v>100</v>
      </c>
      <c r="T23" s="1482" t="s">
        <v>8</v>
      </c>
      <c r="U23" s="1483">
        <f>H23</f>
        <v>100</v>
      </c>
      <c r="V23" s="1482" t="s">
        <v>8</v>
      </c>
      <c r="W23" s="1483">
        <f>J23</f>
        <v>100</v>
      </c>
      <c r="X23" s="1476"/>
      <c r="Y23" s="3701"/>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701"/>
      <c r="Q24" s="1481"/>
      <c r="R24" s="1482"/>
      <c r="S24" s="1483"/>
      <c r="T24" s="1482"/>
      <c r="U24" s="1483"/>
      <c r="V24" s="1482"/>
      <c r="W24" s="1483"/>
      <c r="X24" s="1476"/>
      <c r="Y24" s="3701"/>
      <c r="Z24" s="1484"/>
      <c r="AA24" s="1485">
        <v>1</v>
      </c>
      <c r="AB24" s="1485">
        <v>1</v>
      </c>
      <c r="AC24" s="1485">
        <v>1</v>
      </c>
    </row>
    <row r="25" spans="1:29" s="1185" customFormat="1" ht="42.75">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01"/>
      <c r="Q25" s="1116" t="str">
        <f t="shared" si="8"/>
        <v>公共配套设施</v>
      </c>
      <c r="R25" s="1477" t="s">
        <v>8</v>
      </c>
      <c r="S25" s="1478">
        <f>F25</f>
        <v>100</v>
      </c>
      <c r="T25" s="1477" t="s">
        <v>8</v>
      </c>
      <c r="U25" s="1478">
        <f>H25</f>
        <v>100</v>
      </c>
      <c r="V25" s="1477" t="s">
        <v>8</v>
      </c>
      <c r="W25" s="1478">
        <f>J25</f>
        <v>100</v>
      </c>
      <c r="X25" s="1479"/>
      <c r="Y25" s="3701"/>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701"/>
      <c r="Q26" s="1116"/>
      <c r="R26" s="1477"/>
      <c r="S26" s="1478"/>
      <c r="T26" s="1477"/>
      <c r="U26" s="1478"/>
      <c r="V26" s="1477"/>
      <c r="W26" s="1478"/>
      <c r="X26" s="1479"/>
      <c r="Y26" s="3701"/>
      <c r="Z26" s="1115"/>
      <c r="AA26" s="1480">
        <v>1</v>
      </c>
      <c r="AB26" s="1480">
        <v>1</v>
      </c>
      <c r="AC26" s="1480">
        <v>1</v>
      </c>
    </row>
    <row r="27" spans="1:29" s="1185" customFormat="1" ht="28.5">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01"/>
      <c r="Q27" s="2396" t="str">
        <f t="shared" ref="Q27" si="9">B27</f>
        <v>基础设施水平</v>
      </c>
      <c r="R27" s="1477" t="s">
        <v>8</v>
      </c>
      <c r="S27" s="1478">
        <f>F27</f>
        <v>100</v>
      </c>
      <c r="T27" s="1477" t="s">
        <v>8</v>
      </c>
      <c r="U27" s="1478">
        <f>H27</f>
        <v>100</v>
      </c>
      <c r="V27" s="1477" t="s">
        <v>8</v>
      </c>
      <c r="W27" s="1478">
        <f>J27</f>
        <v>100</v>
      </c>
      <c r="X27" s="1479"/>
      <c r="Y27" s="3701"/>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701"/>
      <c r="Q28" s="2396"/>
      <c r="R28" s="1477"/>
      <c r="S28" s="1478"/>
      <c r="T28" s="1477"/>
      <c r="U28" s="1478"/>
      <c r="V28" s="1477"/>
      <c r="W28" s="1478"/>
      <c r="X28" s="1479"/>
      <c r="Y28" s="3701"/>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01"/>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01"/>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01"/>
      <c r="Q30" s="1481" t="str">
        <f t="shared" si="8"/>
        <v>毗邻道路的类型与等级</v>
      </c>
      <c r="R30" s="1482" t="s">
        <v>8</v>
      </c>
      <c r="S30" s="1483">
        <f t="shared" si="10"/>
        <v>100</v>
      </c>
      <c r="T30" s="1482" t="s">
        <v>8</v>
      </c>
      <c r="U30" s="1483">
        <f t="shared" si="11"/>
        <v>100</v>
      </c>
      <c r="V30" s="1482" t="s">
        <v>8</v>
      </c>
      <c r="W30" s="1483">
        <f t="shared" si="12"/>
        <v>100</v>
      </c>
      <c r="X30" s="1476"/>
      <c r="Y30" s="3701"/>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701"/>
      <c r="Q31" s="1481"/>
      <c r="R31" s="1482"/>
      <c r="S31" s="1483"/>
      <c r="T31" s="1482"/>
      <c r="U31" s="1483"/>
      <c r="V31" s="1482"/>
      <c r="W31" s="1483"/>
      <c r="X31" s="1476"/>
      <c r="Y31" s="3701"/>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01"/>
      <c r="Q32" s="1481" t="str">
        <f t="shared" si="8"/>
        <v>土地级别</v>
      </c>
      <c r="R32" s="1482" t="s">
        <v>8</v>
      </c>
      <c r="S32" s="1483">
        <f t="shared" si="10"/>
        <v>100</v>
      </c>
      <c r="T32" s="1482" t="s">
        <v>8</v>
      </c>
      <c r="U32" s="1483">
        <f t="shared" si="11"/>
        <v>100</v>
      </c>
      <c r="V32" s="1482" t="s">
        <v>8</v>
      </c>
      <c r="W32" s="1483">
        <f t="shared" si="12"/>
        <v>100</v>
      </c>
      <c r="X32" s="1476"/>
      <c r="Y32" s="3701"/>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01"/>
      <c r="Q33" s="1481">
        <f t="shared" si="8"/>
        <v>111</v>
      </c>
      <c r="R33" s="1482" t="s">
        <v>8</v>
      </c>
      <c r="S33" s="1483">
        <f t="shared" si="10"/>
        <v>100</v>
      </c>
      <c r="T33" s="1482" t="s">
        <v>8</v>
      </c>
      <c r="U33" s="1483">
        <f t="shared" si="11"/>
        <v>100</v>
      </c>
      <c r="V33" s="1482" t="s">
        <v>8</v>
      </c>
      <c r="W33" s="1483">
        <f t="shared" si="12"/>
        <v>100</v>
      </c>
      <c r="X33" s="1476"/>
      <c r="Y33" s="3701"/>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02" t="s">
        <v>528</v>
      </c>
      <c r="Q34" s="1481">
        <f t="shared" si="8"/>
        <v>111</v>
      </c>
      <c r="R34" s="1482" t="s">
        <v>8</v>
      </c>
      <c r="S34" s="1483">
        <f t="shared" si="10"/>
        <v>100</v>
      </c>
      <c r="T34" s="1482" t="s">
        <v>8</v>
      </c>
      <c r="U34" s="1483">
        <f t="shared" si="11"/>
        <v>100</v>
      </c>
      <c r="V34" s="1482" t="s">
        <v>8</v>
      </c>
      <c r="W34" s="1483">
        <f t="shared" si="12"/>
        <v>100</v>
      </c>
      <c r="X34" s="1476"/>
      <c r="Y34" s="3703"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03"/>
      <c r="Q35" s="1481">
        <f t="shared" si="8"/>
        <v>111</v>
      </c>
      <c r="R35" s="1486" t="s">
        <v>8</v>
      </c>
      <c r="S35" s="1487">
        <f t="shared" si="10"/>
        <v>100</v>
      </c>
      <c r="T35" s="1486" t="s">
        <v>8</v>
      </c>
      <c r="U35" s="1487">
        <f t="shared" si="11"/>
        <v>100</v>
      </c>
      <c r="V35" s="1486" t="s">
        <v>8</v>
      </c>
      <c r="W35" s="1487">
        <f t="shared" si="12"/>
        <v>100</v>
      </c>
      <c r="X35" s="1488"/>
      <c r="Y35" s="3703"/>
      <c r="Z35" s="1489">
        <f t="shared" si="13"/>
        <v>111</v>
      </c>
      <c r="AA35" s="1485">
        <f t="shared" si="3"/>
        <v>1</v>
      </c>
      <c r="AB35" s="1485">
        <f t="shared" si="4"/>
        <v>1</v>
      </c>
      <c r="AC35" s="1485">
        <f t="shared" si="5"/>
        <v>1</v>
      </c>
    </row>
    <row r="36" spans="1:29" ht="1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03"/>
      <c r="Q36" s="1481" t="str">
        <f>B36</f>
        <v>宗地面积</v>
      </c>
      <c r="R36" s="1482" t="s">
        <v>8</v>
      </c>
      <c r="S36" s="1483" t="e">
        <f t="shared" si="10"/>
        <v>#N/A</v>
      </c>
      <c r="T36" s="1482" t="s">
        <v>8</v>
      </c>
      <c r="U36" s="1483" t="e">
        <f t="shared" si="11"/>
        <v>#N/A</v>
      </c>
      <c r="V36" s="1482" t="s">
        <v>8</v>
      </c>
      <c r="W36" s="1483" t="e">
        <f t="shared" si="12"/>
        <v>#N/A</v>
      </c>
      <c r="X36" s="1476"/>
      <c r="Y36" s="3703"/>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03"/>
      <c r="Q37" s="1481" t="str">
        <f t="shared" ref="Q37:Q42" si="14">B37</f>
        <v>宗地形状</v>
      </c>
      <c r="R37" s="1482" t="s">
        <v>8</v>
      </c>
      <c r="S37" s="1483">
        <f t="shared" si="10"/>
        <v>100</v>
      </c>
      <c r="T37" s="1482" t="s">
        <v>8</v>
      </c>
      <c r="U37" s="1483">
        <f t="shared" si="11"/>
        <v>100</v>
      </c>
      <c r="V37" s="1482" t="s">
        <v>8</v>
      </c>
      <c r="W37" s="1483">
        <f t="shared" si="12"/>
        <v>100</v>
      </c>
      <c r="X37" s="1476"/>
      <c r="Y37" s="3703"/>
      <c r="Z37" s="1484" t="str">
        <f t="shared" si="13"/>
        <v>宗地形状</v>
      </c>
      <c r="AA37" s="1485">
        <f t="shared" si="3"/>
        <v>1</v>
      </c>
      <c r="AB37" s="1485">
        <f t="shared" si="4"/>
        <v>1</v>
      </c>
      <c r="AC37" s="1485">
        <f t="shared" si="5"/>
        <v>1</v>
      </c>
    </row>
    <row r="38" spans="1:29" s="1185" customFormat="1" ht="1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03"/>
      <c r="Q38" s="1481" t="str">
        <f t="shared" si="14"/>
        <v>宗地开发程度</v>
      </c>
      <c r="R38" s="1477" t="s">
        <v>8</v>
      </c>
      <c r="S38" s="1478">
        <f t="shared" si="10"/>
        <v>100</v>
      </c>
      <c r="T38" s="1477" t="s">
        <v>8</v>
      </c>
      <c r="U38" s="1478">
        <f t="shared" si="11"/>
        <v>100</v>
      </c>
      <c r="V38" s="1477" t="s">
        <v>8</v>
      </c>
      <c r="W38" s="1478">
        <f t="shared" si="12"/>
        <v>100</v>
      </c>
      <c r="X38" s="1479"/>
      <c r="Y38" s="3703"/>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3" t="s">
        <v>579</v>
      </c>
      <c r="Q39" s="1481" t="str">
        <f t="shared" si="14"/>
        <v>工程地质条件</v>
      </c>
      <c r="R39" s="1482" t="s">
        <v>8</v>
      </c>
      <c r="S39" s="1483">
        <f t="shared" si="10"/>
        <v>100</v>
      </c>
      <c r="T39" s="1482" t="s">
        <v>8</v>
      </c>
      <c r="U39" s="1483">
        <f t="shared" si="11"/>
        <v>100</v>
      </c>
      <c r="V39" s="1482" t="s">
        <v>8</v>
      </c>
      <c r="W39" s="1483">
        <f t="shared" si="12"/>
        <v>100</v>
      </c>
      <c r="X39" s="1476"/>
      <c r="Y39" s="3703"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03"/>
      <c r="Q40" s="1481">
        <f t="shared" si="14"/>
        <v>111</v>
      </c>
      <c r="R40" s="1482" t="s">
        <v>8</v>
      </c>
      <c r="S40" s="1483">
        <f t="shared" si="10"/>
        <v>100</v>
      </c>
      <c r="T40" s="1482" t="s">
        <v>8</v>
      </c>
      <c r="U40" s="1483">
        <f t="shared" si="11"/>
        <v>100</v>
      </c>
      <c r="V40" s="1482" t="s">
        <v>8</v>
      </c>
      <c r="W40" s="1483">
        <f t="shared" si="12"/>
        <v>100</v>
      </c>
      <c r="X40" s="1476"/>
      <c r="Y40" s="3703"/>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03"/>
      <c r="Q41" s="1481">
        <f t="shared" si="14"/>
        <v>111</v>
      </c>
      <c r="R41" s="1482" t="s">
        <v>8</v>
      </c>
      <c r="S41" s="1483">
        <f t="shared" si="10"/>
        <v>100</v>
      </c>
      <c r="T41" s="1482" t="s">
        <v>8</v>
      </c>
      <c r="U41" s="1483">
        <f t="shared" si="11"/>
        <v>100</v>
      </c>
      <c r="V41" s="1482" t="s">
        <v>8</v>
      </c>
      <c r="W41" s="1483">
        <f t="shared" si="12"/>
        <v>100</v>
      </c>
      <c r="X41" s="1476"/>
      <c r="Y41" s="3703"/>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03"/>
      <c r="Q42" s="1481">
        <f t="shared" si="14"/>
        <v>111</v>
      </c>
      <c r="R42" s="1486" t="s">
        <v>8</v>
      </c>
      <c r="S42" s="1487">
        <f t="shared" si="10"/>
        <v>100</v>
      </c>
      <c r="T42" s="1486" t="s">
        <v>8</v>
      </c>
      <c r="U42" s="1487">
        <f t="shared" si="11"/>
        <v>100</v>
      </c>
      <c r="V42" s="1486" t="s">
        <v>8</v>
      </c>
      <c r="W42" s="1487">
        <f t="shared" si="12"/>
        <v>100</v>
      </c>
      <c r="X42" s="1488"/>
      <c r="Y42" s="3703"/>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7"/>
      <c r="M43" s="1987"/>
      <c r="N43" s="1987"/>
      <c r="O43" s="1998"/>
      <c r="P43" s="3666" t="str">
        <f>A43</f>
        <v>成交单价</v>
      </c>
      <c r="Q43" s="3666"/>
      <c r="R43" s="3667">
        <f>E43</f>
        <v>0</v>
      </c>
      <c r="S43" s="3667"/>
      <c r="T43" s="3667">
        <f>G43</f>
        <v>0</v>
      </c>
      <c r="U43" s="3667"/>
      <c r="V43" s="3667">
        <f>I43</f>
        <v>0</v>
      </c>
      <c r="W43" s="3667"/>
      <c r="X43" s="1471"/>
      <c r="Y43" s="1490"/>
      <c r="Z43" s="1471"/>
      <c r="AA43" s="1471"/>
      <c r="AB43" s="1471"/>
      <c r="AC43" s="1471"/>
    </row>
    <row r="44" spans="1:29" ht="15.7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66" t="str">
        <f>A44</f>
        <v>比较价格（元/平方米）</v>
      </c>
      <c r="Q44" s="3666"/>
      <c r="R44" s="3668" t="e">
        <f>ROUND(PRODUCT(R43,AA9:AA42),0)</f>
        <v>#DIV/0!</v>
      </c>
      <c r="S44" s="3668"/>
      <c r="T44" s="3668" t="e">
        <f>ROUND(PRODUCT(T43,AB9:AB42),0)</f>
        <v>#DIV/0!</v>
      </c>
      <c r="U44" s="3668"/>
      <c r="V44" s="3668" t="e">
        <f>ROUND(PRODUCT(V43,AC9:AC42),0)</f>
        <v>#DIV/0!</v>
      </c>
      <c r="W44" s="3668"/>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7"/>
      <c r="M45" s="1987"/>
      <c r="N45" s="1987"/>
      <c r="O45" s="1998"/>
      <c r="P45" s="3663" t="str">
        <f>A45</f>
        <v>估价对象XX用房的比较价格（楼面单价，元/平方米）</v>
      </c>
      <c r="Q45" s="3664"/>
      <c r="R45" s="3715" t="e">
        <f>ROUND(IF(D44="简单平均",AVERAGE(R44:W44),R44*F44+T44*H44+V44*J44),0)</f>
        <v>#DIV/0!</v>
      </c>
      <c r="S45" s="3715"/>
      <c r="T45" s="3715"/>
      <c r="U45" s="3715"/>
      <c r="V45" s="3715"/>
      <c r="W45" s="3715"/>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710" t="s">
        <v>2250</v>
      </c>
      <c r="H52" s="3711"/>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217541</v>
      </c>
      <c r="F53" s="1837" t="e">
        <f t="shared" ref="F53:F62" si="15">ROUND(B53*E53/10000,0)</f>
        <v>#DIV/0!</v>
      </c>
      <c r="G53" s="3712"/>
      <c r="H53" s="3713"/>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0.6</v>
      </c>
      <c r="D54" s="2080">
        <v>0.25</v>
      </c>
      <c r="E54" s="613"/>
      <c r="F54" s="1837" t="e">
        <f t="shared" si="15"/>
        <v>#DIV/0!</v>
      </c>
      <c r="G54" s="3714" t="s">
        <v>2251</v>
      </c>
      <c r="H54" s="1841" t="str">
        <f>项目基本情况!B43</f>
        <v>九级</v>
      </c>
      <c r="I54" s="1840">
        <f>SUMIF(修正!$A$45:$A$56,H54,修正!B45:B56)</f>
        <v>0.6</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0.3</v>
      </c>
      <c r="D55" s="2080">
        <v>0.25</v>
      </c>
      <c r="E55" s="613"/>
      <c r="F55" s="1837" t="e">
        <f t="shared" si="15"/>
        <v>#DIV/0!</v>
      </c>
      <c r="G55" s="3714"/>
      <c r="H55" s="1842" t="str">
        <f>项目基本情况!B43</f>
        <v>九级</v>
      </c>
      <c r="I55" s="1840">
        <f>SUMIF(修正!$A$45:$A$56,H55,修正!C45:C56)</f>
        <v>0.3</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0.2</v>
      </c>
      <c r="D56" s="2080">
        <v>0.25</v>
      </c>
      <c r="E56" s="613"/>
      <c r="F56" s="1837" t="e">
        <f t="shared" si="15"/>
        <v>#DIV/0!</v>
      </c>
      <c r="G56" s="3714"/>
      <c r="H56" s="1842" t="str">
        <f>项目基本情况!B43</f>
        <v>九级</v>
      </c>
      <c r="I56" s="1840">
        <f>SUMIF(修正!$A$45:$A$56,H56,修正!D45:D56)</f>
        <v>0.2</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0.2</v>
      </c>
      <c r="D57" s="2080">
        <v>0.25</v>
      </c>
      <c r="E57" s="613"/>
      <c r="F57" s="1837" t="e">
        <f t="shared" si="15"/>
        <v>#DIV/0!</v>
      </c>
      <c r="G57" s="3714"/>
      <c r="H57" s="1842" t="str">
        <f>项目基本情况!B43</f>
        <v>九级</v>
      </c>
      <c r="I57" s="1840">
        <f>SUMIF(修正!$A$45:$A$56,H57,修正!E45:E56)</f>
        <v>0.2</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0.15</v>
      </c>
      <c r="D60" s="2080">
        <v>0.25</v>
      </c>
      <c r="E60" s="615">
        <f>'数据-汇总表'!E13</f>
        <v>0</v>
      </c>
      <c r="F60" s="1837" t="e">
        <f t="shared" si="15"/>
        <v>#DIV/0!</v>
      </c>
      <c r="G60" s="1833" t="s">
        <v>898</v>
      </c>
      <c r="H60" s="1841" t="str">
        <f>IF(G60="商业",项目基本情况!B43,IF(G60="办公",项目基本情况!C43,IF(G60="住宅",项目基本情况!D43,项目基本情况!E43)))</f>
        <v>九级</v>
      </c>
      <c r="I60" s="1840">
        <f>SUMIF(修正!$A$45:$A$56,H60,修正!H45:H56)</f>
        <v>0.15</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0.15</v>
      </c>
      <c r="D61" s="2080">
        <v>0.25</v>
      </c>
      <c r="E61" s="615">
        <f>'数据-汇总表'!E14</f>
        <v>0</v>
      </c>
      <c r="F61" s="1837" t="e">
        <f t="shared" si="15"/>
        <v>#DIV/0!</v>
      </c>
      <c r="G61" s="1843" t="s">
        <v>2251</v>
      </c>
      <c r="H61" s="1842" t="str">
        <f>项目基本情况!B43</f>
        <v>九级</v>
      </c>
      <c r="I61" s="1840">
        <f>SUMIF(修正!$A$45:$A$56,H61,修正!H45:H56)</f>
        <v>0.15</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126069.5</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8">EDATE(D65,-3)</f>
        <v>44378</v>
      </c>
      <c r="F65" s="2484">
        <f t="shared" si="18"/>
        <v>44287</v>
      </c>
      <c r="G65" s="2484">
        <f t="shared" si="18"/>
        <v>44197</v>
      </c>
      <c r="H65" s="2484">
        <f t="shared" si="18"/>
        <v>44105</v>
      </c>
      <c r="I65" s="2484">
        <f t="shared" si="18"/>
        <v>44013</v>
      </c>
      <c r="J65" s="2484">
        <f t="shared" si="18"/>
        <v>43922</v>
      </c>
      <c r="K65" s="2484">
        <f t="shared" si="18"/>
        <v>43831</v>
      </c>
      <c r="L65" s="2484">
        <f t="shared" si="18"/>
        <v>43739</v>
      </c>
      <c r="M65" s="2484">
        <f t="shared" si="18"/>
        <v>43647</v>
      </c>
      <c r="N65" s="2484">
        <f t="shared" si="18"/>
        <v>43556</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552D-ED08-4F1D-A4D2-1AC8BE36C02B}">
  <sheetPr>
    <tabColor rgb="FF92D050"/>
    <pageSetUpPr fitToPage="1"/>
  </sheetPr>
  <dimension ref="A1:AE490"/>
  <sheetViews>
    <sheetView tabSelected="1" view="pageBreakPreview" zoomScale="80" zoomScaleNormal="80" zoomScaleSheetLayoutView="80" workbookViewId="0">
      <selection activeCell="C21" sqref="C21"/>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3201</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6418</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11014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19005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1267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12819.906000000001</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3473"/>
      <c r="D8" s="3473">
        <v>2.2000000000000002</v>
      </c>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SUMIF('数据-汇总表'!$C19:$C33,'剩余法-商业'!C7,'数据-汇总表'!$E19:$E33)</f>
        <v>211713.77</v>
      </c>
      <c r="D9" s="435">
        <f>SUMIF('数据-汇总表'!$C19:$C33,'剩余法-商业'!D7,'数据-汇总表'!$E19:$E33)</f>
        <v>5827.23</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row>
    <row r="10" spans="1:31" s="1969" customFormat="1" ht="13.5" customHeight="1" thickBot="1">
      <c r="A10" s="2521" t="s">
        <v>1822</v>
      </c>
      <c r="B10" s="2507" t="s">
        <v>468</v>
      </c>
      <c r="C10" s="2710">
        <f>C8*C9</f>
        <v>0</v>
      </c>
      <c r="D10" s="2710">
        <f>D8*D9</f>
        <v>12819.906000000001</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3472" t="s">
        <v>470</v>
      </c>
      <c r="E12" s="3472" t="s">
        <v>471</v>
      </c>
      <c r="F12" s="3472"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2331</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70</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117</v>
      </c>
      <c r="D16" s="2529">
        <f ca="1">IF(B1="",'数据-汇总表'!E3,INDIRECT("'数据-取费表'!K"&amp;$K$1)+INDIRECT("'数据-取费表'!S"&amp;$K$1))</f>
        <v>5827.23</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35</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2553</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3472">
        <f ca="1">ROUND(D19*E19/10000,0)</f>
        <v>0</v>
      </c>
      <c r="D19" s="2539">
        <f ca="1">D16</f>
        <v>5827.23</v>
      </c>
      <c r="E19" s="3472">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3472">
        <f ca="1">C21+C22-IF(B1="",'数据-取费表'!B29,IF(G20="已全部缴纳",C21+C22,H20))</f>
        <v>0</v>
      </c>
      <c r="D20" s="2539"/>
      <c r="E20" s="3472"/>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117</v>
      </c>
      <c r="D22" s="2529">
        <f ca="1">IF(B1="",'数据-汇总表'!E6,IF(INDIRECT("'数据-取费表'!c"&amp;$K$1)="住宅",INDIRECT("'数据-取费表'!s"&amp;$K$1),INDIRECT("'数据-取费表'!k"&amp;$K$1)+INDIRECT("'数据-取费表'!s"&amp;$K$1)))</f>
        <v>5827.23</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51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256</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487</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136</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136</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672</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3668</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3668</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572</v>
      </c>
      <c r="D33" s="460">
        <f ca="1">C34</f>
        <v>0.20610000000000001</v>
      </c>
      <c r="E33" s="462" t="s">
        <v>487</v>
      </c>
      <c r="F33" s="472">
        <f ca="1">IF(B1="",'数据-取费表'!Q16,INDIRECT("'数据-取费表'!q"&amp;$K$1))</f>
        <v>0.2</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0.20610000000000001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572</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6418</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225" type="noConversion"/>
  <dataValidations count="2">
    <dataValidation type="list" allowBlank="1" showInputMessage="1" showErrorMessage="1" sqref="G20" xr:uid="{72471BBC-4742-4D03-978C-860EF62B866F}">
      <formula1>"已全部缴纳,已部分缴纳"</formula1>
    </dataValidation>
    <dataValidation type="list" allowBlank="1" showInputMessage="1" showErrorMessage="1" sqref="C7:K7 B1" xr:uid="{06D03B84-9B57-445E-8CEF-8FF50F17562E}">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3" zoomScale="80" zoomScaleNormal="60" zoomScaleSheetLayoutView="80" workbookViewId="0">
      <selection activeCell="E27" sqref="E27"/>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211713.77</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148221</v>
      </c>
      <c r="C2" s="1330" t="s">
        <v>896</v>
      </c>
      <c r="D2" s="1331" t="s">
        <v>897</v>
      </c>
      <c r="E2" s="1332" t="s">
        <v>898</v>
      </c>
      <c r="F2" s="1331" t="s">
        <v>899</v>
      </c>
      <c r="G2" s="1554" t="str">
        <f>IF(E2="商业",项目基本情况!B43,IF(E2="办公",项目基本情况!C43,IF(E2="住宅",项目基本情况!D43,项目基本情况!E43)))</f>
        <v>九级</v>
      </c>
      <c r="H2" s="1331" t="s">
        <v>901</v>
      </c>
      <c r="I2" s="1555" t="str">
        <f>IF(E2="商业",项目基本情况!B44,IF(E2="办公",项目基本情况!C44,IF(E2="住宅",项目基本情况!D44,项目基本情况!E44)))</f>
        <v>Ⅸ-顺3</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1.9419999999999999</v>
      </c>
      <c r="T2" s="2622">
        <f ca="1">ROUND($C$5*$C$18*$C$19*$C$20*S2*$C$24,0)</f>
        <v>13839</v>
      </c>
      <c r="U2" s="2611"/>
      <c r="V2" s="2622">
        <f ca="1">ROUND(T2*U2/10000,0)</f>
        <v>0</v>
      </c>
      <c r="W2" s="2041"/>
      <c r="X2" s="2041"/>
      <c r="Y2" s="2041"/>
      <c r="Z2" s="2041"/>
      <c r="AA2" s="2041"/>
      <c r="AB2" s="2041"/>
      <c r="AC2" s="2042"/>
    </row>
    <row r="3" spans="1:39" ht="24">
      <c r="A3" s="1334" t="s">
        <v>1662</v>
      </c>
      <c r="B3" s="1007">
        <f ca="1">ROUND(B2*10000/D1,0)</f>
        <v>7001</v>
      </c>
      <c r="C3" s="1330" t="s">
        <v>902</v>
      </c>
      <c r="D3" s="1331" t="s">
        <v>903</v>
      </c>
      <c r="E3" s="1335" t="s">
        <v>3209</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1.2799</v>
      </c>
      <c r="T3" s="2622">
        <f t="shared" ref="T3:T16" ca="1" si="0">ROUND($C$5*$C$18*$C$19*$C$20*S3*$C$24,0)</f>
        <v>9120</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1.0072000000000001</v>
      </c>
      <c r="T4" s="2622">
        <f t="shared" ca="1" si="0"/>
        <v>7177</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4004</v>
      </c>
      <c r="D5" s="2759">
        <f>ROUND(C6+C16,0)</f>
        <v>3640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0.75249999999999995</v>
      </c>
      <c r="T5" s="2622">
        <f t="shared" ca="1" si="0"/>
        <v>5362</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SUMIF(L1:L12,'基准地价（住宅）'!G2,M1:M12)</f>
        <v>3640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0.56589999999999996</v>
      </c>
      <c r="T6" s="2622">
        <f t="shared" ca="1" si="0"/>
        <v>4033</v>
      </c>
      <c r="U6" s="2611"/>
      <c r="V6" s="2622">
        <f t="shared" ca="1" si="1"/>
        <v>0</v>
      </c>
      <c r="W6" s="2041"/>
      <c r="X6" s="2041"/>
      <c r="Y6" s="2041"/>
      <c r="Z6" s="2041"/>
      <c r="AA6" s="2041"/>
      <c r="AB6" s="2041"/>
      <c r="AC6" s="2043"/>
      <c r="AD6" s="1342"/>
      <c r="AE6" s="1342"/>
      <c r="AF6" s="1342"/>
      <c r="AG6" s="1342"/>
      <c r="AH6" s="1342"/>
      <c r="AI6" s="1342"/>
      <c r="AJ6" s="1343"/>
    </row>
    <row r="7" spans="1:39" ht="24">
      <c r="A7" s="3730"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0.45250000000000001</v>
      </c>
      <c r="T7" s="2622">
        <f t="shared" ca="1" si="0"/>
        <v>3224</v>
      </c>
      <c r="U7" s="2611"/>
      <c r="V7" s="2622">
        <f t="shared" ca="1" si="1"/>
        <v>0</v>
      </c>
      <c r="W7" s="2620" t="s">
        <v>2717</v>
      </c>
      <c r="X7" s="2612" t="str">
        <f>G2</f>
        <v>九级</v>
      </c>
      <c r="Y7" s="2612" t="s">
        <v>2718</v>
      </c>
      <c r="Z7" s="2613">
        <f>G3</f>
        <v>1.6</v>
      </c>
      <c r="AA7" s="2044"/>
      <c r="AB7" s="2044"/>
      <c r="AC7" s="2045"/>
      <c r="AD7" s="2614"/>
      <c r="AE7" s="2614"/>
      <c r="AF7" s="2614"/>
      <c r="AG7" s="2614"/>
      <c r="AH7" s="2614"/>
      <c r="AI7" s="2614"/>
      <c r="AJ7" s="2615"/>
    </row>
    <row r="8" spans="1:39" ht="15">
      <c r="A8" s="3731"/>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17" t="s">
        <v>2735</v>
      </c>
      <c r="X8" s="3718"/>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3640</v>
      </c>
      <c r="N9" s="1774">
        <f>SUMPRODUCT((因素修正幅度!B245:B289=I2)*(因素修正幅度!C3:F3=E2)*(因素修正幅度!C245:F289))</f>
        <v>0.14899999999999999</v>
      </c>
      <c r="O9" s="3200"/>
      <c r="P9" s="2041"/>
      <c r="Q9" s="2041"/>
      <c r="R9" s="2622">
        <v>8</v>
      </c>
      <c r="S9" s="2611"/>
      <c r="T9" s="2622">
        <f t="shared" ca="1" si="0"/>
        <v>0</v>
      </c>
      <c r="U9" s="2611"/>
      <c r="V9" s="2622">
        <f t="shared" ca="1" si="1"/>
        <v>0</v>
      </c>
      <c r="W9" s="3716"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16"/>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16"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5.5" thickBot="1">
      <c r="A12" s="3730"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16"/>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3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16"/>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32"/>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3"/>
      <c r="B15" s="2814" t="s">
        <v>1675</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30" t="s">
        <v>1813</v>
      </c>
      <c r="B16" s="1350" t="s">
        <v>925</v>
      </c>
      <c r="C16" s="1021">
        <f>ROUND(IF(F17="与级别开发程度一致",0,(G17-E17)/C17),0)</f>
        <v>0</v>
      </c>
      <c r="D16" s="3724" t="s">
        <v>929</v>
      </c>
      <c r="E16" s="3725"/>
      <c r="F16" s="3724" t="s">
        <v>926</v>
      </c>
      <c r="G16" s="3725"/>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34"/>
      <c r="B17" s="2820" t="s">
        <v>928</v>
      </c>
      <c r="C17" s="2821">
        <f>SUMPRODUCT((修正!A2:A5=E2)*(修正!B1:M1=G2)*(修正!B2:M5))</f>
        <v>1.5</v>
      </c>
      <c r="D17" s="2822" t="str">
        <f>IF(OR(G2="八级",G2="九级",G2="十级",G2="十一级",G2="十二级"),"五通一平","七通一平")</f>
        <v>五通一平</v>
      </c>
      <c r="E17" s="2812">
        <f>SUMPRODUCT((修正!B1:M1=G2)*(修正!B15:M15))</f>
        <v>155</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3213</v>
      </c>
      <c r="C21" s="1123">
        <f>IF(B21="容积率修正",IF(G3&lt;=10,D22,J22),C23)</f>
        <v>0.98240000000000005</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0.98240000000000005</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148221</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7001</v>
      </c>
      <c r="D29" s="1418">
        <f>'数据-基础表'!I13</f>
        <v>211713.77</v>
      </c>
      <c r="E29" s="1736">
        <f ca="1">ROUND(C29*D29/10000,0)</f>
        <v>148221</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1750</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26"/>
      <c r="B33" s="1438" t="s">
        <v>974</v>
      </c>
      <c r="C33" s="1028">
        <f ca="1">ROUND(D5*C19*C20*C24*F33,0)</f>
        <v>3887</v>
      </c>
      <c r="D33" s="1451"/>
      <c r="E33" s="1017">
        <f ca="1">ROUND(C33*D33/10000,0)</f>
        <v>0</v>
      </c>
      <c r="F33" s="1017">
        <f>SUMIF(修正!A45:A56,G2,修正!B45:B56)</f>
        <v>0.6</v>
      </c>
      <c r="G33" s="1017">
        <f t="shared" ref="G33" ca="1" si="6">ROUND(IF(E2="工业",C33*$M$39,C33*$M$38),0)</f>
        <v>972</v>
      </c>
      <c r="H33" s="1017">
        <f>D33</f>
        <v>0</v>
      </c>
      <c r="I33" s="1017">
        <f ca="1">ROUND(G33*H33/10000,0)</f>
        <v>0</v>
      </c>
      <c r="J33" s="3726"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27"/>
      <c r="B34" s="1368" t="s">
        <v>975</v>
      </c>
      <c r="C34" s="1028">
        <f ca="1">ROUND(D5*C19*C20*C24*F34,0)</f>
        <v>1943</v>
      </c>
      <c r="D34" s="1451"/>
      <c r="E34" s="1017">
        <f t="shared" ref="E34:E39" ca="1" si="7">ROUND(C34*D34/10000,0)</f>
        <v>0</v>
      </c>
      <c r="F34" s="1017">
        <f>SUMIF(修正!A45:A56,G2,修正!C45:C56)</f>
        <v>0.3</v>
      </c>
      <c r="G34" s="1017">
        <f ca="1">ROUND(IF(E2="工业",C34*$M$39,C34*$M$38),0)</f>
        <v>486</v>
      </c>
      <c r="H34" s="1017">
        <f t="shared" ref="H34:H39" si="8">D34</f>
        <v>0</v>
      </c>
      <c r="I34" s="1017">
        <f t="shared" ref="I34:I39" ca="1" si="9">ROUND(G34*H34/10000,0)</f>
        <v>0</v>
      </c>
      <c r="J34" s="372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27"/>
      <c r="B35" s="1368" t="s">
        <v>976</v>
      </c>
      <c r="C35" s="1028">
        <f ca="1">ROUND(D5*C19*C20*C24*F35,0)</f>
        <v>1296</v>
      </c>
      <c r="D35" s="1451"/>
      <c r="E35" s="1017">
        <f t="shared" ca="1" si="7"/>
        <v>0</v>
      </c>
      <c r="F35" s="1017">
        <f>SUMIF(修正!A45:A56,G2,修正!D45:D56)</f>
        <v>0.2</v>
      </c>
      <c r="G35" s="1017">
        <f ca="1">ROUND(IF(E2="工业",C35*$M$39,C35*$M$38),0)</f>
        <v>324</v>
      </c>
      <c r="H35" s="1017">
        <f t="shared" si="8"/>
        <v>0</v>
      </c>
      <c r="I35" s="1017">
        <f t="shared" ca="1" si="9"/>
        <v>0</v>
      </c>
      <c r="J35" s="372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8"/>
      <c r="B36" s="1368" t="s">
        <v>977</v>
      </c>
      <c r="C36" s="1028">
        <f ca="1">ROUND(D5*C19*C20*C24*F36,0)</f>
        <v>1296</v>
      </c>
      <c r="D36" s="1451"/>
      <c r="E36" s="1017">
        <f t="shared" ca="1" si="7"/>
        <v>0</v>
      </c>
      <c r="F36" s="1017">
        <f>SUMIF(修正!A45:A56,G2,修正!E45:E56)</f>
        <v>0.2</v>
      </c>
      <c r="G36" s="1017">
        <f ca="1">ROUND(IF(E2="工业",C36*$M$39,C36*$M$38),0)</f>
        <v>324</v>
      </c>
      <c r="H36" s="1017">
        <f t="shared" si="8"/>
        <v>0</v>
      </c>
      <c r="I36" s="1017">
        <f t="shared" ca="1" si="9"/>
        <v>0</v>
      </c>
      <c r="J36" s="372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1296</v>
      </c>
      <c r="D37" s="1451"/>
      <c r="E37" s="1017">
        <f t="shared" ca="1" si="7"/>
        <v>0</v>
      </c>
      <c r="F37" s="1028">
        <f>SUMIF(修正!A45:A56,G2,修正!F45:F56)</f>
        <v>0.2</v>
      </c>
      <c r="G37" s="1017">
        <f ca="1">ROUND(IF(E2="工业",C37*$M$39,C37*$M$38),0)</f>
        <v>324</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hidden="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0.14899999999999999</v>
      </c>
      <c r="G69" s="2244"/>
      <c r="H69" s="2287">
        <f t="shared" ref="H69:H77" si="21">IFERROR(ROUNDDOWN($F$69*I69/2,4),"——")</f>
        <v>1.04E-2</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2.23E-2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f t="shared" si="21"/>
        <v>5.8999999999999999E-3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f t="shared" si="21"/>
        <v>2.8999999999999998E-3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f t="shared" si="21"/>
        <v>5.8999999999999999E-3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f t="shared" si="21"/>
        <v>8.8999999999999999E-3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f t="shared" si="21"/>
        <v>3.7000000000000002E-3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f t="shared" si="21"/>
        <v>1.11E-2</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f t="shared" si="21"/>
        <v>2.8999999999999998E-3</v>
      </c>
      <c r="I77" s="2268">
        <v>0.04</v>
      </c>
      <c r="J77" s="2264">
        <f t="shared" si="22"/>
        <v>0</v>
      </c>
      <c r="K77" s="2264">
        <f t="shared" si="23"/>
        <v>0</v>
      </c>
      <c r="L77" s="2264">
        <v>0</v>
      </c>
      <c r="M77" s="2264">
        <f t="shared" si="24"/>
        <v>0</v>
      </c>
      <c r="N77" s="2264">
        <f t="shared" si="24"/>
        <v>0</v>
      </c>
      <c r="AC77" s="1328"/>
      <c r="AD77" s="1327"/>
      <c r="AJ77" s="1326"/>
      <c r="AN77" s="1327"/>
    </row>
    <row r="78" spans="1:40" ht="15"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6"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hidden="1">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2276"/>
      <c r="L90" s="2276"/>
      <c r="M90" s="2276"/>
      <c r="N90" s="2276"/>
    </row>
    <row r="91" spans="1:40">
      <c r="A91" s="3736" t="s">
        <v>1418</v>
      </c>
      <c r="B91" s="3736" t="s">
        <v>1609</v>
      </c>
      <c r="C91" s="1105" t="s">
        <v>1610</v>
      </c>
      <c r="D91" s="1106"/>
      <c r="E91" s="1106"/>
      <c r="F91" s="1106"/>
      <c r="G91" s="1106"/>
      <c r="H91" s="1106"/>
      <c r="I91" s="1106"/>
      <c r="J91" s="1107"/>
      <c r="K91" s="1099"/>
      <c r="L91" s="1099"/>
      <c r="M91" s="1099"/>
      <c r="N91" s="1099"/>
    </row>
    <row r="92" spans="1:40">
      <c r="A92" s="3736"/>
      <c r="B92" s="3736"/>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1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0"/>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1"/>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9" t="s">
        <v>1612</v>
      </c>
      <c r="B101" s="1112" t="s">
        <v>881</v>
      </c>
      <c r="C101" s="1113">
        <f>$G$3</f>
        <v>1.6</v>
      </c>
      <c r="D101" s="1113">
        <f t="shared" ref="D101:N101" si="31">$G$3</f>
        <v>1.6</v>
      </c>
      <c r="E101" s="1113">
        <f t="shared" si="31"/>
        <v>1.6</v>
      </c>
      <c r="F101" s="1113">
        <f t="shared" si="31"/>
        <v>1.6</v>
      </c>
      <c r="G101" s="1113">
        <f t="shared" si="31"/>
        <v>1.6</v>
      </c>
      <c r="H101" s="1113">
        <f t="shared" si="31"/>
        <v>1.6</v>
      </c>
      <c r="I101" s="1113">
        <f t="shared" si="31"/>
        <v>1.6</v>
      </c>
      <c r="J101" s="1113">
        <f t="shared" si="31"/>
        <v>1.6</v>
      </c>
      <c r="K101" s="1113">
        <f t="shared" si="31"/>
        <v>1.6</v>
      </c>
      <c r="L101" s="1113">
        <f t="shared" si="31"/>
        <v>1.6</v>
      </c>
      <c r="M101" s="1113">
        <f t="shared" si="31"/>
        <v>1.6</v>
      </c>
      <c r="N101" s="1113">
        <f t="shared" si="31"/>
        <v>1.6</v>
      </c>
    </row>
    <row r="102" spans="1:14">
      <c r="A102" s="3720"/>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20"/>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20"/>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20"/>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20"/>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20"/>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20"/>
      <c r="B108" s="3722"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1"/>
      <c r="B109" s="3723"/>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29" t="s">
        <v>1614</v>
      </c>
      <c r="B110" s="3729"/>
      <c r="C110" s="3729"/>
      <c r="D110" s="3729"/>
      <c r="E110" s="3729"/>
      <c r="F110" s="3729"/>
      <c r="G110" s="3729"/>
      <c r="H110" s="3729"/>
      <c r="I110" s="3729"/>
      <c r="J110" s="3729"/>
      <c r="K110" s="2274"/>
      <c r="L110" s="2274"/>
      <c r="M110" s="2274"/>
      <c r="N110" s="2274"/>
    </row>
    <row r="112" spans="1:14" ht="12.75" thickBot="1"/>
    <row r="113" spans="1:13" ht="25.5" thickBot="1">
      <c r="A113" s="985" t="s">
        <v>871</v>
      </c>
      <c r="B113" s="2277">
        <f>G3</f>
        <v>1.6</v>
      </c>
      <c r="C113" s="986" t="s">
        <v>872</v>
      </c>
      <c r="D113" s="987">
        <f>SUMPRODUCT((A115:A118=F113)*(B114:M114=H113)*B115:M118)</f>
        <v>0.72599999999999998</v>
      </c>
      <c r="E113" s="988" t="s">
        <v>873</v>
      </c>
      <c r="F113" s="989" t="str">
        <f>E2</f>
        <v>住宅</v>
      </c>
      <c r="G113" s="988" t="s">
        <v>874</v>
      </c>
      <c r="H113" s="989" t="str">
        <f>G2</f>
        <v>九级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3">I115</f>
        <v>0.66420000000000001</v>
      </c>
      <c r="K115" s="999">
        <f t="shared" si="33"/>
        <v>0.66420000000000001</v>
      </c>
      <c r="L115" s="999">
        <f t="shared" si="33"/>
        <v>0.66420000000000001</v>
      </c>
      <c r="M115" s="1000">
        <f t="shared" si="33"/>
        <v>0.66420000000000001</v>
      </c>
    </row>
    <row r="116" spans="1:13" ht="12.75">
      <c r="A116" s="998" t="s">
        <v>876</v>
      </c>
      <c r="B116" s="999">
        <f>ROUND(0.949-0.012*B113,4)</f>
        <v>0.92979999999999996</v>
      </c>
      <c r="C116" s="999">
        <f>B116</f>
        <v>0.92979999999999996</v>
      </c>
      <c r="D116" s="999">
        <f>ROUND(0.8567-0.013*B113,4)</f>
        <v>0.83589999999999998</v>
      </c>
      <c r="E116" s="999">
        <f t="shared" ref="E116:H117" si="34">D116</f>
        <v>0.83589999999999998</v>
      </c>
      <c r="F116" s="999">
        <f t="shared" si="34"/>
        <v>0.83589999999999998</v>
      </c>
      <c r="G116" s="999">
        <f t="shared" si="34"/>
        <v>0.83589999999999998</v>
      </c>
      <c r="H116" s="999">
        <f t="shared" si="34"/>
        <v>0.83589999999999998</v>
      </c>
      <c r="I116" s="999">
        <f>ROUND(0.7694-0.014*B113,4)</f>
        <v>0.747</v>
      </c>
      <c r="J116" s="999">
        <f t="shared" si="33"/>
        <v>0.747</v>
      </c>
      <c r="K116" s="999">
        <f t="shared" si="33"/>
        <v>0.747</v>
      </c>
      <c r="L116" s="999">
        <f t="shared" si="33"/>
        <v>0.747</v>
      </c>
      <c r="M116" s="1000">
        <f t="shared" si="33"/>
        <v>0.747</v>
      </c>
    </row>
    <row r="117" spans="1:13" ht="12.75">
      <c r="A117" s="1001" t="s">
        <v>877</v>
      </c>
      <c r="B117" s="999">
        <f>ROUND(0.8808-0.006*B113,4)</f>
        <v>0.87119999999999997</v>
      </c>
      <c r="C117" s="999">
        <f>B117</f>
        <v>0.87119999999999997</v>
      </c>
      <c r="D117" s="999">
        <f>ROUND(0.8748-0.008*B113,4)</f>
        <v>0.86199999999999999</v>
      </c>
      <c r="E117" s="999">
        <f t="shared" si="34"/>
        <v>0.86199999999999999</v>
      </c>
      <c r="F117" s="999">
        <f t="shared" si="34"/>
        <v>0.86199999999999999</v>
      </c>
      <c r="G117" s="999">
        <f t="shared" si="34"/>
        <v>0.86199999999999999</v>
      </c>
      <c r="H117" s="999">
        <f t="shared" si="34"/>
        <v>0.86199999999999999</v>
      </c>
      <c r="I117" s="999">
        <f>ROUND(0.7412-0.0095*B113,4)</f>
        <v>0.72599999999999998</v>
      </c>
      <c r="J117" s="999">
        <f t="shared" si="33"/>
        <v>0.72599999999999998</v>
      </c>
      <c r="K117" s="999">
        <f t="shared" si="33"/>
        <v>0.72599999999999998</v>
      </c>
      <c r="L117" s="999">
        <f t="shared" si="33"/>
        <v>0.72599999999999998</v>
      </c>
      <c r="M117" s="1000">
        <f t="shared" si="33"/>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3"/>
        <v>0.54490000000000005</v>
      </c>
      <c r="K118" s="1003">
        <f t="shared" si="33"/>
        <v>0.54490000000000005</v>
      </c>
      <c r="L118" s="1003">
        <f t="shared" si="33"/>
        <v>0.54490000000000005</v>
      </c>
      <c r="M118" s="1004">
        <f t="shared" si="33"/>
        <v>0.54490000000000005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36" t="s">
        <v>982</v>
      </c>
      <c r="B18" s="1119" t="s">
        <v>1421</v>
      </c>
      <c r="C18" s="1096" t="s">
        <v>1422</v>
      </c>
      <c r="D18" s="1097"/>
      <c r="E18" s="1119">
        <v>1</v>
      </c>
      <c r="F18" s="1098" t="s">
        <v>1423</v>
      </c>
      <c r="G18" s="1099"/>
      <c r="H18" s="1070"/>
      <c r="I18" s="1070"/>
    </row>
    <row r="19" spans="1:9" s="1504" customFormat="1" ht="19.5" customHeight="1">
      <c r="A19" s="3736"/>
      <c r="B19" s="3736" t="s">
        <v>1424</v>
      </c>
      <c r="C19" s="1096" t="s">
        <v>1425</v>
      </c>
      <c r="D19" s="1097"/>
      <c r="E19" s="1119">
        <v>0.9</v>
      </c>
      <c r="F19" s="1098" t="s">
        <v>1426</v>
      </c>
      <c r="G19" s="1099"/>
      <c r="H19" s="1070"/>
      <c r="I19" s="1070"/>
    </row>
    <row r="20" spans="1:9" s="1504" customFormat="1" ht="19.5" customHeight="1">
      <c r="A20" s="3736"/>
      <c r="B20" s="3736"/>
      <c r="C20" s="1096" t="s">
        <v>1427</v>
      </c>
      <c r="D20" s="1097"/>
      <c r="E20" s="1119">
        <v>1.1000000000000001</v>
      </c>
      <c r="F20" s="1098" t="s">
        <v>1428</v>
      </c>
      <c r="G20" s="1099"/>
      <c r="H20" s="1070"/>
      <c r="I20" s="1070"/>
    </row>
    <row r="21" spans="1:9" s="1504" customFormat="1" ht="19.5" customHeight="1">
      <c r="A21" s="3736"/>
      <c r="B21" s="3736"/>
      <c r="C21" s="1096" t="s">
        <v>1429</v>
      </c>
      <c r="D21" s="1097"/>
      <c r="E21" s="1119">
        <v>0.8</v>
      </c>
      <c r="F21" s="1098" t="s">
        <v>1430</v>
      </c>
      <c r="G21" s="1099"/>
      <c r="H21" s="1070"/>
      <c r="I21" s="1070"/>
    </row>
    <row r="22" spans="1:9" s="1504" customFormat="1" ht="19.5" customHeight="1">
      <c r="A22" s="3736"/>
      <c r="B22" s="3736"/>
      <c r="C22" s="1096" t="s">
        <v>1431</v>
      </c>
      <c r="D22" s="1097"/>
      <c r="E22" s="1119">
        <v>0.5</v>
      </c>
      <c r="F22" s="1098"/>
      <c r="G22" s="1099"/>
      <c r="H22" s="1070"/>
      <c r="I22" s="1070"/>
    </row>
    <row r="23" spans="1:9" s="1504" customFormat="1" ht="19.5" customHeight="1">
      <c r="A23" s="3736" t="s">
        <v>1004</v>
      </c>
      <c r="B23" s="1119" t="s">
        <v>1421</v>
      </c>
      <c r="C23" s="1096" t="s">
        <v>1432</v>
      </c>
      <c r="D23" s="1097"/>
      <c r="E23" s="1119">
        <v>1</v>
      </c>
      <c r="F23" s="1098" t="s">
        <v>1433</v>
      </c>
      <c r="G23" s="1099"/>
      <c r="H23" s="1070"/>
      <c r="I23" s="1070"/>
    </row>
    <row r="24" spans="1:9" s="1504" customFormat="1" ht="19.5" customHeight="1">
      <c r="A24" s="3736"/>
      <c r="B24" s="3736" t="s">
        <v>1424</v>
      </c>
      <c r="C24" s="1096" t="s">
        <v>1434</v>
      </c>
      <c r="D24" s="1097"/>
      <c r="E24" s="1119">
        <v>0.5</v>
      </c>
      <c r="F24" s="1098"/>
      <c r="G24" s="1099"/>
      <c r="H24" s="1070"/>
      <c r="I24" s="1070"/>
    </row>
    <row r="25" spans="1:9" s="1504" customFormat="1" ht="19.5" customHeight="1">
      <c r="A25" s="3736"/>
      <c r="B25" s="3736"/>
      <c r="C25" s="1096" t="s">
        <v>1435</v>
      </c>
      <c r="D25" s="1097"/>
      <c r="E25" s="1119">
        <v>1.1000000000000001</v>
      </c>
      <c r="F25" s="1098"/>
      <c r="G25" s="1099"/>
      <c r="H25" s="1070"/>
      <c r="I25" s="1070"/>
    </row>
    <row r="26" spans="1:9" s="1504" customFormat="1" ht="19.5" customHeight="1">
      <c r="A26" s="3736"/>
      <c r="B26" s="3736"/>
      <c r="C26" s="1096" t="s">
        <v>1436</v>
      </c>
      <c r="D26" s="1097"/>
      <c r="E26" s="1119">
        <v>1.1000000000000001</v>
      </c>
      <c r="F26" s="1098"/>
      <c r="G26" s="1099"/>
      <c r="H26" s="1070"/>
      <c r="I26" s="1070"/>
    </row>
    <row r="27" spans="1:9" s="1504" customFormat="1" ht="19.5" customHeight="1">
      <c r="A27" s="3736"/>
      <c r="B27" s="3736"/>
      <c r="C27" s="1096" t="s">
        <v>1437</v>
      </c>
      <c r="D27" s="1097"/>
      <c r="E27" s="1119">
        <v>0.9</v>
      </c>
      <c r="F27" s="1098" t="s">
        <v>1438</v>
      </c>
      <c r="G27" s="1099"/>
      <c r="H27" s="1070"/>
      <c r="I27" s="1070"/>
    </row>
    <row r="28" spans="1:9" s="1504" customFormat="1" ht="19.5" customHeight="1">
      <c r="A28" s="3736"/>
      <c r="B28" s="3736"/>
      <c r="C28" s="1096" t="s">
        <v>1439</v>
      </c>
      <c r="D28" s="1097"/>
      <c r="E28" s="1119">
        <v>0.9</v>
      </c>
      <c r="F28" s="1098" t="s">
        <v>1440</v>
      </c>
      <c r="G28" s="1099"/>
      <c r="H28" s="1070"/>
      <c r="I28" s="1070"/>
    </row>
    <row r="29" spans="1:9" s="1504" customFormat="1" ht="19.5" customHeight="1">
      <c r="A29" s="3736"/>
      <c r="B29" s="3736"/>
      <c r="C29" s="1096" t="s">
        <v>1441</v>
      </c>
      <c r="D29" s="1097"/>
      <c r="E29" s="1119">
        <v>0.9</v>
      </c>
      <c r="F29" s="1098" t="s">
        <v>1442</v>
      </c>
      <c r="G29" s="1099"/>
      <c r="H29" s="1070"/>
      <c r="I29" s="1070"/>
    </row>
    <row r="30" spans="1:9" s="1504" customFormat="1" ht="19.5" customHeight="1">
      <c r="A30" s="3736"/>
      <c r="B30" s="3736"/>
      <c r="C30" s="1096" t="s">
        <v>1443</v>
      </c>
      <c r="D30" s="1097"/>
      <c r="E30" s="1119">
        <v>0.9</v>
      </c>
      <c r="F30" s="1098" t="s">
        <v>1444</v>
      </c>
      <c r="G30" s="1099"/>
      <c r="H30" s="1070"/>
      <c r="I30" s="1070"/>
    </row>
    <row r="31" spans="1:9" s="1504" customFormat="1" ht="19.5" customHeight="1">
      <c r="A31" s="3736"/>
      <c r="B31" s="3736"/>
      <c r="C31" s="1096" t="s">
        <v>1445</v>
      </c>
      <c r="D31" s="1097"/>
      <c r="E31" s="1119">
        <v>0.8</v>
      </c>
      <c r="F31" s="1098" t="s">
        <v>1446</v>
      </c>
      <c r="G31" s="1099"/>
      <c r="H31" s="1070"/>
      <c r="I31" s="1070"/>
    </row>
    <row r="32" spans="1:9" s="1504" customFormat="1" ht="19.5" customHeight="1">
      <c r="A32" s="3736"/>
      <c r="B32" s="3736"/>
      <c r="C32" s="1096" t="s">
        <v>1447</v>
      </c>
      <c r="D32" s="1097"/>
      <c r="E32" s="1119">
        <v>0.8</v>
      </c>
      <c r="F32" s="1098" t="s">
        <v>1448</v>
      </c>
      <c r="G32" s="1099"/>
      <c r="H32" s="1070"/>
      <c r="I32" s="1070"/>
    </row>
    <row r="33" spans="1:9" s="1504" customFormat="1" ht="19.5" customHeight="1">
      <c r="A33" s="3736" t="s">
        <v>1449</v>
      </c>
      <c r="B33" s="1119" t="s">
        <v>1421</v>
      </c>
      <c r="C33" s="1096" t="s">
        <v>1450</v>
      </c>
      <c r="D33" s="1097"/>
      <c r="E33" s="1119">
        <v>1</v>
      </c>
      <c r="F33" s="1098" t="s">
        <v>1451</v>
      </c>
      <c r="G33" s="1099"/>
      <c r="H33" s="1070"/>
      <c r="I33" s="1070"/>
    </row>
    <row r="34" spans="1:9" s="1504" customFormat="1" ht="19.5" customHeight="1">
      <c r="A34" s="3736"/>
      <c r="B34" s="1119" t="s">
        <v>1424</v>
      </c>
      <c r="C34" s="1096" t="s">
        <v>1452</v>
      </c>
      <c r="D34" s="1097"/>
      <c r="E34" s="1119">
        <v>1.5</v>
      </c>
      <c r="F34" s="1098" t="s">
        <v>1453</v>
      </c>
      <c r="G34" s="1099"/>
      <c r="H34" s="1070"/>
      <c r="I34" s="1070"/>
    </row>
    <row r="35" spans="1:9" s="1504" customFormat="1" ht="19.5" customHeight="1">
      <c r="A35" s="3736" t="s">
        <v>1407</v>
      </c>
      <c r="B35" s="1119" t="s">
        <v>1421</v>
      </c>
      <c r="C35" s="1096" t="s">
        <v>1454</v>
      </c>
      <c r="D35" s="1097"/>
      <c r="E35" s="1119">
        <v>1</v>
      </c>
      <c r="F35" s="1098" t="s">
        <v>1455</v>
      </c>
      <c r="G35" s="1099"/>
      <c r="H35" s="1070"/>
      <c r="I35" s="1070"/>
    </row>
    <row r="36" spans="1:9" s="1504" customFormat="1" ht="19.5" customHeight="1">
      <c r="A36" s="3736"/>
      <c r="B36" s="3736" t="s">
        <v>1424</v>
      </c>
      <c r="C36" s="1096" t="s">
        <v>1456</v>
      </c>
      <c r="D36" s="1097"/>
      <c r="E36" s="1119">
        <v>1</v>
      </c>
      <c r="F36" s="1098" t="s">
        <v>1457</v>
      </c>
      <c r="G36" s="1099"/>
      <c r="H36" s="1070"/>
      <c r="I36" s="1070"/>
    </row>
    <row r="37" spans="1:9" s="1504" customFormat="1" ht="19.5" customHeight="1">
      <c r="A37" s="3736"/>
      <c r="B37" s="3736"/>
      <c r="C37" s="1096" t="s">
        <v>1458</v>
      </c>
      <c r="D37" s="1097"/>
      <c r="E37" s="1119">
        <v>1.5</v>
      </c>
      <c r="F37" s="1098" t="s">
        <v>1459</v>
      </c>
      <c r="G37" s="1099"/>
      <c r="H37" s="1070"/>
      <c r="I37" s="1070"/>
    </row>
    <row r="38" spans="1:9" s="1504" customFormat="1" ht="19.5" customHeight="1">
      <c r="A38" s="3736"/>
      <c r="B38" s="3736"/>
      <c r="C38" s="1096" t="s">
        <v>1460</v>
      </c>
      <c r="D38" s="1097"/>
      <c r="E38" s="1119">
        <v>1</v>
      </c>
      <c r="F38" s="1098" t="s">
        <v>1461</v>
      </c>
      <c r="G38" s="1099"/>
      <c r="H38" s="1070"/>
      <c r="I38" s="1070"/>
    </row>
    <row r="39" spans="1:9" s="1504" customFormat="1" ht="19.5" customHeight="1">
      <c r="A39" s="3736"/>
      <c r="B39" s="3736"/>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36" t="s">
        <v>1476</v>
      </c>
      <c r="C61" s="1033" t="s">
        <v>1477</v>
      </c>
      <c r="D61" s="1033" t="s">
        <v>1478</v>
      </c>
      <c r="E61" s="1104">
        <v>0.5</v>
      </c>
      <c r="F61" s="1119">
        <v>80</v>
      </c>
      <c r="H61" s="1070">
        <f>SUMIF(C59:C119,'基准地价（住宅）'!C8,E59:E119)</f>
        <v>0</v>
      </c>
    </row>
    <row r="62" spans="1:8" s="1070" customFormat="1" ht="24">
      <c r="A62" s="1119">
        <v>2</v>
      </c>
      <c r="B62" s="3736"/>
      <c r="C62" s="1033" t="s">
        <v>1479</v>
      </c>
      <c r="D62" s="1033" t="s">
        <v>1480</v>
      </c>
      <c r="E62" s="1104">
        <v>0.5</v>
      </c>
      <c r="F62" s="1119">
        <v>80</v>
      </c>
    </row>
    <row r="63" spans="1:8" s="1070" customFormat="1" ht="36">
      <c r="A63" s="1119">
        <v>3</v>
      </c>
      <c r="B63" s="3736"/>
      <c r="C63" s="1033" t="s">
        <v>1481</v>
      </c>
      <c r="D63" s="1033" t="s">
        <v>1482</v>
      </c>
      <c r="E63" s="1104">
        <v>0.5</v>
      </c>
      <c r="F63" s="1119">
        <v>80</v>
      </c>
    </row>
    <row r="64" spans="1:8" s="1070" customFormat="1" ht="36">
      <c r="A64" s="1119">
        <v>4</v>
      </c>
      <c r="B64" s="3736"/>
      <c r="C64" s="1033" t="s">
        <v>1483</v>
      </c>
      <c r="D64" s="1033" t="s">
        <v>1484</v>
      </c>
      <c r="E64" s="1104">
        <v>0.4</v>
      </c>
      <c r="F64" s="1119">
        <v>60</v>
      </c>
    </row>
    <row r="65" spans="1:6" s="1070" customFormat="1" ht="36">
      <c r="A65" s="1119">
        <v>5</v>
      </c>
      <c r="B65" s="3736"/>
      <c r="C65" s="1033" t="s">
        <v>1485</v>
      </c>
      <c r="D65" s="1033" t="s">
        <v>1486</v>
      </c>
      <c r="E65" s="1104">
        <v>0.2</v>
      </c>
      <c r="F65" s="1119">
        <v>30</v>
      </c>
    </row>
    <row r="66" spans="1:6" s="1070" customFormat="1" ht="36">
      <c r="A66" s="1119">
        <v>6</v>
      </c>
      <c r="B66" s="3736"/>
      <c r="C66" s="1033" t="s">
        <v>1487</v>
      </c>
      <c r="D66" s="1033" t="s">
        <v>1488</v>
      </c>
      <c r="E66" s="1104">
        <v>0.3</v>
      </c>
      <c r="F66" s="1119">
        <v>50</v>
      </c>
    </row>
    <row r="67" spans="1:6" s="1070" customFormat="1" ht="36">
      <c r="A67" s="1119">
        <v>7</v>
      </c>
      <c r="B67" s="3736"/>
      <c r="C67" s="1033" t="s">
        <v>1489</v>
      </c>
      <c r="D67" s="1033" t="s">
        <v>1490</v>
      </c>
      <c r="E67" s="1104">
        <v>0.2</v>
      </c>
      <c r="F67" s="1119">
        <v>30</v>
      </c>
    </row>
    <row r="68" spans="1:6" s="1070" customFormat="1" ht="36">
      <c r="A68" s="1119">
        <v>8</v>
      </c>
      <c r="B68" s="3736"/>
      <c r="C68" s="1033" t="s">
        <v>1491</v>
      </c>
      <c r="D68" s="1033" t="s">
        <v>1492</v>
      </c>
      <c r="E68" s="1104">
        <v>0.2</v>
      </c>
      <c r="F68" s="1119">
        <v>30</v>
      </c>
    </row>
    <row r="69" spans="1:6" s="1070" customFormat="1" ht="36">
      <c r="A69" s="1119">
        <v>9</v>
      </c>
      <c r="B69" s="3736"/>
      <c r="C69" s="1033" t="s">
        <v>1493</v>
      </c>
      <c r="D69" s="1033" t="s">
        <v>1494</v>
      </c>
      <c r="E69" s="1104">
        <v>0.2</v>
      </c>
      <c r="F69" s="1119">
        <v>30</v>
      </c>
    </row>
    <row r="70" spans="1:6" s="1070" customFormat="1" ht="48">
      <c r="A70" s="1119">
        <v>10</v>
      </c>
      <c r="B70" s="3736"/>
      <c r="C70" s="1033" t="s">
        <v>1495</v>
      </c>
      <c r="D70" s="1033" t="s">
        <v>1496</v>
      </c>
      <c r="E70" s="1104">
        <v>0.2</v>
      </c>
      <c r="F70" s="1119">
        <v>30</v>
      </c>
    </row>
    <row r="71" spans="1:6" s="1070" customFormat="1" ht="48">
      <c r="A71" s="1119">
        <v>11</v>
      </c>
      <c r="B71" s="3736"/>
      <c r="C71" s="1033" t="s">
        <v>1497</v>
      </c>
      <c r="D71" s="1033" t="s">
        <v>1498</v>
      </c>
      <c r="E71" s="1104">
        <v>0.2</v>
      </c>
      <c r="F71" s="1119">
        <v>30</v>
      </c>
    </row>
    <row r="72" spans="1:6" s="1070" customFormat="1" ht="36">
      <c r="A72" s="1119">
        <v>12</v>
      </c>
      <c r="B72" s="3736"/>
      <c r="C72" s="1033" t="s">
        <v>1499</v>
      </c>
      <c r="D72" s="1033" t="s">
        <v>1500</v>
      </c>
      <c r="E72" s="1104">
        <v>0.5</v>
      </c>
      <c r="F72" s="1119">
        <v>80</v>
      </c>
    </row>
    <row r="73" spans="1:6" s="1070" customFormat="1" ht="24">
      <c r="A73" s="1119">
        <v>13</v>
      </c>
      <c r="B73" s="3736"/>
      <c r="C73" s="1033" t="s">
        <v>1501</v>
      </c>
      <c r="D73" s="1033" t="s">
        <v>1502</v>
      </c>
      <c r="E73" s="1104">
        <v>0.4</v>
      </c>
      <c r="F73" s="1119">
        <v>60</v>
      </c>
    </row>
    <row r="74" spans="1:6" s="1070" customFormat="1" ht="24">
      <c r="A74" s="1119">
        <v>14</v>
      </c>
      <c r="B74" s="3736"/>
      <c r="C74" s="1033" t="s">
        <v>1503</v>
      </c>
      <c r="D74" s="1033" t="s">
        <v>1504</v>
      </c>
      <c r="E74" s="1104">
        <v>0.2</v>
      </c>
      <c r="F74" s="1119">
        <v>30</v>
      </c>
    </row>
    <row r="75" spans="1:6" s="1070" customFormat="1" ht="24">
      <c r="A75" s="1119">
        <v>15</v>
      </c>
      <c r="B75" s="3736"/>
      <c r="C75" s="1033" t="s">
        <v>1505</v>
      </c>
      <c r="D75" s="1033" t="s">
        <v>1506</v>
      </c>
      <c r="E75" s="1104">
        <v>0.2</v>
      </c>
      <c r="F75" s="1119">
        <v>30</v>
      </c>
    </row>
    <row r="76" spans="1:6" s="1070" customFormat="1" ht="24">
      <c r="A76" s="1119">
        <v>16</v>
      </c>
      <c r="B76" s="3736" t="s">
        <v>1507</v>
      </c>
      <c r="C76" s="1033" t="s">
        <v>1508</v>
      </c>
      <c r="D76" s="1033" t="s">
        <v>1509</v>
      </c>
      <c r="E76" s="1104">
        <v>0.5</v>
      </c>
      <c r="F76" s="1119">
        <v>80</v>
      </c>
    </row>
    <row r="77" spans="1:6" s="1070" customFormat="1" ht="24">
      <c r="A77" s="1119">
        <v>17</v>
      </c>
      <c r="B77" s="3736"/>
      <c r="C77" s="1033" t="s">
        <v>1510</v>
      </c>
      <c r="D77" s="1033" t="s">
        <v>1511</v>
      </c>
      <c r="E77" s="1104">
        <v>0.5</v>
      </c>
      <c r="F77" s="1119">
        <v>80</v>
      </c>
    </row>
    <row r="78" spans="1:6" s="1070" customFormat="1" ht="24">
      <c r="A78" s="1119">
        <v>18</v>
      </c>
      <c r="B78" s="3736"/>
      <c r="C78" s="1033" t="s">
        <v>1512</v>
      </c>
      <c r="D78" s="1033" t="s">
        <v>1513</v>
      </c>
      <c r="E78" s="1104">
        <v>0.2</v>
      </c>
      <c r="F78" s="1119">
        <v>30</v>
      </c>
    </row>
    <row r="79" spans="1:6" s="1070" customFormat="1" ht="24">
      <c r="A79" s="1119">
        <v>19</v>
      </c>
      <c r="B79" s="3736"/>
      <c r="C79" s="1033" t="s">
        <v>1514</v>
      </c>
      <c r="D79" s="1033" t="s">
        <v>1515</v>
      </c>
      <c r="E79" s="1104">
        <v>0.5</v>
      </c>
      <c r="F79" s="1119">
        <v>80</v>
      </c>
    </row>
    <row r="80" spans="1:6" s="1070" customFormat="1" ht="36">
      <c r="A80" s="1119">
        <v>20</v>
      </c>
      <c r="B80" s="3736"/>
      <c r="C80" s="1033" t="s">
        <v>1516</v>
      </c>
      <c r="D80" s="1033" t="s">
        <v>1517</v>
      </c>
      <c r="E80" s="1104">
        <v>0.2</v>
      </c>
      <c r="F80" s="1119">
        <v>30</v>
      </c>
    </row>
    <row r="81" spans="1:6" s="1070" customFormat="1" ht="36">
      <c r="A81" s="1119">
        <v>21</v>
      </c>
      <c r="B81" s="3736"/>
      <c r="C81" s="1033" t="s">
        <v>1518</v>
      </c>
      <c r="D81" s="1033" t="s">
        <v>1519</v>
      </c>
      <c r="E81" s="1104">
        <v>0.2</v>
      </c>
      <c r="F81" s="1119">
        <v>30</v>
      </c>
    </row>
    <row r="82" spans="1:6" s="1070" customFormat="1" ht="48">
      <c r="A82" s="1119">
        <v>22</v>
      </c>
      <c r="B82" s="3736"/>
      <c r="C82" s="1033" t="s">
        <v>1520</v>
      </c>
      <c r="D82" s="1033" t="s">
        <v>1521</v>
      </c>
      <c r="E82" s="1104">
        <v>0.2</v>
      </c>
      <c r="F82" s="1119">
        <v>30</v>
      </c>
    </row>
    <row r="83" spans="1:6" s="1070" customFormat="1" ht="48">
      <c r="A83" s="1119">
        <v>23</v>
      </c>
      <c r="B83" s="3736"/>
      <c r="C83" s="1033" t="s">
        <v>1522</v>
      </c>
      <c r="D83" s="1033" t="s">
        <v>1523</v>
      </c>
      <c r="E83" s="1104">
        <v>0.2</v>
      </c>
      <c r="F83" s="1119">
        <v>30</v>
      </c>
    </row>
    <row r="84" spans="1:6" s="1070" customFormat="1" ht="36">
      <c r="A84" s="1119">
        <v>24</v>
      </c>
      <c r="B84" s="3736"/>
      <c r="C84" s="1033" t="s">
        <v>1524</v>
      </c>
      <c r="D84" s="1033" t="s">
        <v>1525</v>
      </c>
      <c r="E84" s="1104">
        <v>0.2</v>
      </c>
      <c r="F84" s="1119">
        <v>30</v>
      </c>
    </row>
    <row r="85" spans="1:6" s="1070" customFormat="1" ht="36">
      <c r="A85" s="1119">
        <v>25</v>
      </c>
      <c r="B85" s="3736"/>
      <c r="C85" s="1033" t="s">
        <v>1526</v>
      </c>
      <c r="D85" s="1033" t="s">
        <v>1527</v>
      </c>
      <c r="E85" s="1104">
        <v>0.5</v>
      </c>
      <c r="F85" s="1119">
        <v>80</v>
      </c>
    </row>
    <row r="86" spans="1:6" s="1070" customFormat="1" ht="36">
      <c r="A86" s="1119">
        <v>26</v>
      </c>
      <c r="B86" s="3736"/>
      <c r="C86" s="1033" t="s">
        <v>1528</v>
      </c>
      <c r="D86" s="1033" t="s">
        <v>1529</v>
      </c>
      <c r="E86" s="1104">
        <v>0.2</v>
      </c>
      <c r="F86" s="1119">
        <v>30</v>
      </c>
    </row>
    <row r="87" spans="1:6" s="1070" customFormat="1" ht="36">
      <c r="A87" s="1119">
        <v>27</v>
      </c>
      <c r="B87" s="3736"/>
      <c r="C87" s="1033" t="s">
        <v>1530</v>
      </c>
      <c r="D87" s="1033" t="s">
        <v>1531</v>
      </c>
      <c r="E87" s="1104">
        <v>0.2</v>
      </c>
      <c r="F87" s="1119">
        <v>30</v>
      </c>
    </row>
    <row r="88" spans="1:6" s="1070" customFormat="1" ht="36">
      <c r="A88" s="1119">
        <v>28</v>
      </c>
      <c r="B88" s="3736"/>
      <c r="C88" s="1033" t="s">
        <v>1532</v>
      </c>
      <c r="D88" s="1033" t="s">
        <v>1533</v>
      </c>
      <c r="E88" s="1104">
        <v>0.2</v>
      </c>
      <c r="F88" s="1119">
        <v>30</v>
      </c>
    </row>
    <row r="89" spans="1:6" s="1070" customFormat="1" ht="24">
      <c r="A89" s="1119">
        <v>29</v>
      </c>
      <c r="B89" s="3736"/>
      <c r="C89" s="1033" t="s">
        <v>1534</v>
      </c>
      <c r="D89" s="1033" t="s">
        <v>1535</v>
      </c>
      <c r="E89" s="1104">
        <v>0.2</v>
      </c>
      <c r="F89" s="1119">
        <v>30</v>
      </c>
    </row>
    <row r="90" spans="1:6" s="1070" customFormat="1" ht="24">
      <c r="A90" s="1119">
        <v>30</v>
      </c>
      <c r="B90" s="3736"/>
      <c r="C90" s="1033" t="s">
        <v>1536</v>
      </c>
      <c r="D90" s="1033" t="s">
        <v>1537</v>
      </c>
      <c r="E90" s="1104">
        <v>0.2</v>
      </c>
      <c r="F90" s="1119">
        <v>30</v>
      </c>
    </row>
    <row r="91" spans="1:6" s="1070" customFormat="1" ht="36">
      <c r="A91" s="1119">
        <v>31</v>
      </c>
      <c r="B91" s="3736"/>
      <c r="C91" s="1033" t="s">
        <v>1538</v>
      </c>
      <c r="D91" s="1033" t="s">
        <v>1539</v>
      </c>
      <c r="E91" s="1104">
        <v>0.2</v>
      </c>
      <c r="F91" s="1119">
        <v>30</v>
      </c>
    </row>
    <row r="92" spans="1:6" s="1070" customFormat="1" ht="24">
      <c r="A92" s="1119">
        <v>32</v>
      </c>
      <c r="B92" s="3736" t="s">
        <v>1540</v>
      </c>
      <c r="C92" s="1119" t="s">
        <v>1541</v>
      </c>
      <c r="D92" s="1033" t="s">
        <v>1542</v>
      </c>
      <c r="E92" s="1104">
        <v>0.2</v>
      </c>
      <c r="F92" s="1119">
        <v>30</v>
      </c>
    </row>
    <row r="93" spans="1:6" s="1070" customFormat="1" ht="36">
      <c r="A93" s="1119">
        <v>33</v>
      </c>
      <c r="B93" s="3736"/>
      <c r="C93" s="1119" t="s">
        <v>1543</v>
      </c>
      <c r="D93" s="1033" t="s">
        <v>1544</v>
      </c>
      <c r="E93" s="1104">
        <v>0.2</v>
      </c>
      <c r="F93" s="1119">
        <v>30</v>
      </c>
    </row>
    <row r="94" spans="1:6" s="1070" customFormat="1" ht="48">
      <c r="A94" s="1119">
        <v>34</v>
      </c>
      <c r="B94" s="3736"/>
      <c r="C94" s="1119" t="s">
        <v>1545</v>
      </c>
      <c r="D94" s="1033" t="s">
        <v>1546</v>
      </c>
      <c r="E94" s="1104">
        <v>0.2</v>
      </c>
      <c r="F94" s="1119">
        <v>30</v>
      </c>
    </row>
    <row r="95" spans="1:6" s="1070" customFormat="1" ht="36">
      <c r="A95" s="1119">
        <v>35</v>
      </c>
      <c r="B95" s="3736"/>
      <c r="C95" s="1119" t="s">
        <v>1547</v>
      </c>
      <c r="D95" s="1033" t="s">
        <v>1548</v>
      </c>
      <c r="E95" s="1104">
        <v>0.2</v>
      </c>
      <c r="F95" s="1119">
        <v>30</v>
      </c>
    </row>
    <row r="96" spans="1:6" s="1070" customFormat="1" ht="48">
      <c r="A96" s="1119">
        <v>36</v>
      </c>
      <c r="B96" s="3736"/>
      <c r="C96" s="1033" t="s">
        <v>1549</v>
      </c>
      <c r="D96" s="1033" t="s">
        <v>1550</v>
      </c>
      <c r="E96" s="1104">
        <v>0.2</v>
      </c>
      <c r="F96" s="1119">
        <v>30</v>
      </c>
    </row>
    <row r="97" spans="1:6" s="1070" customFormat="1" ht="36">
      <c r="A97" s="1119">
        <v>37</v>
      </c>
      <c r="B97" s="3736"/>
      <c r="C97" s="1119" t="s">
        <v>1551</v>
      </c>
      <c r="D97" s="1033" t="s">
        <v>1552</v>
      </c>
      <c r="E97" s="1104">
        <v>0.2</v>
      </c>
      <c r="F97" s="1119">
        <v>30</v>
      </c>
    </row>
    <row r="98" spans="1:6" s="1070" customFormat="1" ht="36">
      <c r="A98" s="1119">
        <v>38</v>
      </c>
      <c r="B98" s="3736"/>
      <c r="C98" s="1119" t="s">
        <v>1553</v>
      </c>
      <c r="D98" s="1033" t="s">
        <v>1554</v>
      </c>
      <c r="E98" s="1104">
        <v>0.2</v>
      </c>
      <c r="F98" s="1119">
        <v>30</v>
      </c>
    </row>
    <row r="99" spans="1:6" s="1070" customFormat="1" ht="36">
      <c r="A99" s="1119">
        <v>39</v>
      </c>
      <c r="B99" s="3736" t="s">
        <v>1555</v>
      </c>
      <c r="C99" s="1119" t="s">
        <v>1556</v>
      </c>
      <c r="D99" s="1033" t="s">
        <v>1557</v>
      </c>
      <c r="E99" s="1104">
        <v>0.3</v>
      </c>
      <c r="F99" s="1119">
        <v>50</v>
      </c>
    </row>
    <row r="100" spans="1:6" s="1070" customFormat="1" ht="24">
      <c r="A100" s="1119">
        <v>40</v>
      </c>
      <c r="B100" s="3736"/>
      <c r="C100" s="1119" t="s">
        <v>1558</v>
      </c>
      <c r="D100" s="1033" t="s">
        <v>1559</v>
      </c>
      <c r="E100" s="1104">
        <v>0.2</v>
      </c>
      <c r="F100" s="1119">
        <v>30</v>
      </c>
    </row>
    <row r="101" spans="1:6" s="1070" customFormat="1" ht="36">
      <c r="A101" s="1119">
        <v>41</v>
      </c>
      <c r="B101" s="3736"/>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36" t="s">
        <v>1570</v>
      </c>
      <c r="C105" s="1119" t="s">
        <v>1571</v>
      </c>
      <c r="D105" s="1033" t="s">
        <v>1572</v>
      </c>
      <c r="E105" s="1104">
        <v>0.2</v>
      </c>
      <c r="F105" s="1119">
        <v>30</v>
      </c>
    </row>
    <row r="106" spans="1:6" s="1070" customFormat="1" ht="36">
      <c r="A106" s="1119">
        <v>46</v>
      </c>
      <c r="B106" s="3736"/>
      <c r="C106" s="1119" t="s">
        <v>1573</v>
      </c>
      <c r="D106" s="1033" t="s">
        <v>1574</v>
      </c>
      <c r="E106" s="1104">
        <v>0.2</v>
      </c>
      <c r="F106" s="1119">
        <v>30</v>
      </c>
    </row>
    <row r="107" spans="1:6" s="1070" customFormat="1" ht="36">
      <c r="A107" s="1119">
        <v>47</v>
      </c>
      <c r="B107" s="3736" t="s">
        <v>1575</v>
      </c>
      <c r="C107" s="1119" t="s">
        <v>1576</v>
      </c>
      <c r="D107" s="1033" t="s">
        <v>1577</v>
      </c>
      <c r="E107" s="1104">
        <v>0.3</v>
      </c>
      <c r="F107" s="1119">
        <v>50</v>
      </c>
    </row>
    <row r="108" spans="1:6" s="1070" customFormat="1" ht="36">
      <c r="A108" s="1119">
        <v>48</v>
      </c>
      <c r="B108" s="3736"/>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36" t="s">
        <v>1586</v>
      </c>
      <c r="C111" s="1119" t="s">
        <v>1587</v>
      </c>
      <c r="D111" s="1033" t="s">
        <v>1588</v>
      </c>
      <c r="E111" s="1104">
        <v>0.2</v>
      </c>
      <c r="F111" s="1119">
        <v>30</v>
      </c>
    </row>
    <row r="112" spans="1:6" s="1070" customFormat="1" ht="24">
      <c r="A112" s="1119">
        <v>52</v>
      </c>
      <c r="B112" s="3736"/>
      <c r="C112" s="1119" t="s">
        <v>1589</v>
      </c>
      <c r="D112" s="1033" t="s">
        <v>1590</v>
      </c>
      <c r="E112" s="1104">
        <v>0.2</v>
      </c>
      <c r="F112" s="1119">
        <v>30</v>
      </c>
    </row>
    <row r="113" spans="1:14" s="1070" customFormat="1" ht="24">
      <c r="A113" s="1119">
        <v>53</v>
      </c>
      <c r="B113" s="3736"/>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36" t="s">
        <v>1599</v>
      </c>
      <c r="C116" s="1119" t="s">
        <v>1600</v>
      </c>
      <c r="D116" s="1033" t="s">
        <v>1601</v>
      </c>
      <c r="E116" s="1104">
        <v>0.2</v>
      </c>
      <c r="F116" s="1119">
        <v>30</v>
      </c>
    </row>
    <row r="117" spans="1:14" ht="36">
      <c r="A117" s="1119">
        <v>57</v>
      </c>
      <c r="B117" s="3736"/>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35" t="s">
        <v>1608</v>
      </c>
      <c r="B121" s="3735"/>
      <c r="C121" s="3735"/>
      <c r="D121" s="3735"/>
      <c r="E121" s="3735"/>
      <c r="F121" s="3735"/>
      <c r="G121" s="3735"/>
      <c r="H121" s="3735"/>
      <c r="I121" s="3735"/>
      <c r="J121" s="373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7" t="s">
        <v>1014</v>
      </c>
      <c r="B1" s="3737"/>
      <c r="C1" s="3737"/>
      <c r="D1" s="3737"/>
      <c r="E1" s="3737"/>
      <c r="F1" s="3737"/>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738" t="s">
        <v>1027</v>
      </c>
      <c r="B2" s="3738"/>
      <c r="C2" s="3738"/>
      <c r="D2" s="3738"/>
      <c r="E2" s="3738"/>
      <c r="F2" s="3738"/>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9"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40"/>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3640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1.0740000000000001</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41" t="s">
        <v>2046</v>
      </c>
      <c r="B1" s="3741"/>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126069.5平方米。根据《建设工程规划许可证》[]、《出让合同》[]，估价对象规划建筑面积为217541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根据《国有土地使用证》[]，估价对象（分摊）出让国有建设用地使用权面积为126069.5平方米。根据《建设工程规划许可证》[]、《出让合同》[]，估价对象规划建筑面积为217541平方米。</v>
      </c>
    </row>
    <row r="21" spans="1:1" ht="18.75">
      <c r="A21" s="1679" t="s">
        <v>2041</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49" t="s">
        <v>2529</v>
      </c>
      <c r="C1" s="3749"/>
      <c r="D1" s="3749"/>
      <c r="E1" s="3749"/>
      <c r="F1" s="3749"/>
      <c r="G1" s="3748" t="s">
        <v>2530</v>
      </c>
      <c r="H1" s="3748"/>
      <c r="I1" s="3748"/>
      <c r="J1" s="3748"/>
      <c r="K1" s="3748"/>
      <c r="L1" s="3748"/>
      <c r="N1" s="3748" t="s">
        <v>2531</v>
      </c>
      <c r="O1" s="3748"/>
      <c r="P1" s="3748"/>
      <c r="Q1" s="3748"/>
      <c r="S1" s="3748" t="s">
        <v>2532</v>
      </c>
      <c r="T1" s="3748"/>
      <c r="U1" s="3748"/>
      <c r="V1" s="3748"/>
      <c r="X1" s="3747" t="s">
        <v>2592</v>
      </c>
      <c r="Y1" s="3748"/>
      <c r="Z1" s="3748"/>
      <c r="AA1" s="3748"/>
      <c r="AB1" s="3748"/>
      <c r="AD1" s="3747" t="s">
        <v>2596</v>
      </c>
      <c r="AE1" s="3748"/>
      <c r="AF1" s="3748"/>
      <c r="AG1" s="3748"/>
      <c r="AH1" s="3748"/>
    </row>
    <row r="2" spans="1:34" s="2831" customFormat="1" ht="14.2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43">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43"/>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43"/>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44"/>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2902</v>
      </c>
      <c r="B22" s="2881">
        <v>439</v>
      </c>
      <c r="C22" s="2881">
        <v>327</v>
      </c>
      <c r="D22" s="2881">
        <f t="shared" si="168"/>
        <v>327</v>
      </c>
      <c r="E22" s="2881">
        <v>627</v>
      </c>
      <c r="F22" s="2882">
        <v>283</v>
      </c>
      <c r="G22" s="3742">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43"/>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43"/>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44"/>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42">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43"/>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43"/>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46"/>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45">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43"/>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43"/>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46"/>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45">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43"/>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43"/>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46"/>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50">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51"/>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51"/>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52"/>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45">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43"/>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43"/>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746"/>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45">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43">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43">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46">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45">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43">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43">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46">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45">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43">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43">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46">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45">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43">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43">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46">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45">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43">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43">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46">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45">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43">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43">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46">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45">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43">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43">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46">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45">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43">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43">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46">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45">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43">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43">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746">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45">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43">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43">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746">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DB580-648C-431E-A174-0F9BB5E88D1E}">
  <sheetPr>
    <tabColor rgb="FF92D050"/>
  </sheetPr>
  <dimension ref="A1:AR118"/>
  <sheetViews>
    <sheetView view="pageBreakPreview" zoomScale="80" zoomScaleNormal="60" zoomScaleSheetLayoutView="80" workbookViewId="0">
      <selection activeCell="G4" sqref="G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211713.77</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159929</v>
      </c>
      <c r="C2" s="1330" t="s">
        <v>896</v>
      </c>
      <c r="D2" s="1331" t="s">
        <v>873</v>
      </c>
      <c r="E2" s="1332" t="s">
        <v>898</v>
      </c>
      <c r="F2" s="1331" t="s">
        <v>874</v>
      </c>
      <c r="G2" s="1554" t="str">
        <f>IF(E2="商业",项目基本情况!B43,IF(E2="办公",项目基本情况!C43,IF(E2="住宅",项目基本情况!D43,项目基本情况!E43)))</f>
        <v>九级</v>
      </c>
      <c r="H2" s="1331" t="s">
        <v>901</v>
      </c>
      <c r="I2" s="1555" t="str">
        <f>IF(E2="商业",项目基本情况!B44,IF(E2="办公",项目基本情况!C44,IF(E2="住宅",项目基本情况!D44,项目基本情况!E44)))</f>
        <v>Ⅸ-顺3</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1.9419999999999999</v>
      </c>
      <c r="T2" s="2622">
        <f ca="1">ROUND($C$5*$C$18*$C$19*$C$20*S2*$C$24,0)</f>
        <v>13839</v>
      </c>
      <c r="U2" s="2611"/>
      <c r="V2" s="2622">
        <f ca="1">ROUND(T2*U2/10000,0)</f>
        <v>0</v>
      </c>
      <c r="W2" s="2041"/>
      <c r="X2" s="2041"/>
      <c r="Y2" s="2041"/>
      <c r="Z2" s="2041"/>
      <c r="AA2" s="2041"/>
      <c r="AB2" s="2041"/>
      <c r="AC2" s="2042"/>
    </row>
    <row r="3" spans="1:39" ht="24">
      <c r="A3" s="1334" t="s">
        <v>1662</v>
      </c>
      <c r="B3" s="1007">
        <f ca="1">ROUND(B2*10000/D1,0)</f>
        <v>7554</v>
      </c>
      <c r="C3" s="1330" t="s">
        <v>902</v>
      </c>
      <c r="D3" s="1331" t="s">
        <v>903</v>
      </c>
      <c r="E3" s="1335" t="s">
        <v>3209</v>
      </c>
      <c r="F3" s="1336" t="s">
        <v>3210</v>
      </c>
      <c r="G3" s="3471">
        <v>1.2</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1.2799</v>
      </c>
      <c r="T3" s="2622">
        <f t="shared" ref="T3:T16" ca="1" si="0">ROUND($C$5*$C$18*$C$19*$C$20*S3*$C$24,0)</f>
        <v>9120</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1.0072000000000001</v>
      </c>
      <c r="T4" s="2622">
        <f t="shared" ca="1" si="0"/>
        <v>7177</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4004</v>
      </c>
      <c r="D5" s="2759">
        <f>ROUND(C6+C16,0)</f>
        <v>3640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0.75249999999999995</v>
      </c>
      <c r="T5" s="2622">
        <f t="shared" ca="1" si="0"/>
        <v>5362</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SUMIF(L1:L12,'基准地价（住宅）1.2'!G2,M1:M12)</f>
        <v>3640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0.56589999999999996</v>
      </c>
      <c r="T6" s="2622">
        <f t="shared" ca="1" si="0"/>
        <v>4033</v>
      </c>
      <c r="U6" s="2611"/>
      <c r="V6" s="2622">
        <f t="shared" ca="1" si="1"/>
        <v>0</v>
      </c>
      <c r="W6" s="2041"/>
      <c r="X6" s="2041"/>
      <c r="Y6" s="2041"/>
      <c r="Z6" s="2041"/>
      <c r="AA6" s="2041"/>
      <c r="AB6" s="2041"/>
      <c r="AC6" s="2043"/>
      <c r="AD6" s="1342"/>
      <c r="AE6" s="1342"/>
      <c r="AF6" s="1342"/>
      <c r="AG6" s="1342"/>
      <c r="AH6" s="1342"/>
      <c r="AI6" s="1342"/>
      <c r="AJ6" s="1343"/>
    </row>
    <row r="7" spans="1:39" ht="24">
      <c r="A7" s="3730"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0.45250000000000001</v>
      </c>
      <c r="T7" s="2622">
        <f t="shared" ca="1" si="0"/>
        <v>3224</v>
      </c>
      <c r="U7" s="2611"/>
      <c r="V7" s="2622">
        <f t="shared" ca="1" si="1"/>
        <v>0</v>
      </c>
      <c r="W7" s="3470" t="s">
        <v>2717</v>
      </c>
      <c r="X7" s="2612" t="str">
        <f>G2</f>
        <v>九级</v>
      </c>
      <c r="Y7" s="2612" t="s">
        <v>2718</v>
      </c>
      <c r="Z7" s="2613">
        <f>G3</f>
        <v>1.2</v>
      </c>
      <c r="AA7" s="2044"/>
      <c r="AB7" s="2044"/>
      <c r="AC7" s="2045"/>
      <c r="AD7" s="2614"/>
      <c r="AE7" s="2614"/>
      <c r="AF7" s="2614"/>
      <c r="AG7" s="2614"/>
      <c r="AH7" s="2614"/>
      <c r="AI7" s="2614"/>
      <c r="AJ7" s="2615"/>
    </row>
    <row r="8" spans="1:39" ht="15">
      <c r="A8" s="3731"/>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17" t="s">
        <v>2735</v>
      </c>
      <c r="X8" s="3718"/>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3640</v>
      </c>
      <c r="N9" s="1774">
        <f>SUMPRODUCT((因素修正幅度!B245:B289=I2)*(因素修正幅度!C3:F3=E2)*(因素修正幅度!C245:F289))</f>
        <v>0.14899999999999999</v>
      </c>
      <c r="O9" s="3200"/>
      <c r="P9" s="2041"/>
      <c r="Q9" s="2041"/>
      <c r="R9" s="2622">
        <v>8</v>
      </c>
      <c r="S9" s="2611"/>
      <c r="T9" s="2622">
        <f t="shared" ca="1" si="0"/>
        <v>0</v>
      </c>
      <c r="U9" s="2611"/>
      <c r="V9" s="2622">
        <f t="shared" ca="1" si="1"/>
        <v>0</v>
      </c>
      <c r="W9" s="3716"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16"/>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16" t="s">
        <v>2733</v>
      </c>
      <c r="X11" s="1017" t="s">
        <v>2718</v>
      </c>
      <c r="Y11" s="1555">
        <f>$G$3</f>
        <v>1.2</v>
      </c>
      <c r="Z11" s="1555">
        <f t="shared" ref="Z11:AJ11" si="3">$G$3</f>
        <v>1.2</v>
      </c>
      <c r="AA11" s="1555">
        <f t="shared" si="3"/>
        <v>1.2</v>
      </c>
      <c r="AB11" s="1555">
        <f t="shared" si="3"/>
        <v>1.2</v>
      </c>
      <c r="AC11" s="1555">
        <f t="shared" si="3"/>
        <v>1.2</v>
      </c>
      <c r="AD11" s="1555">
        <f t="shared" si="3"/>
        <v>1.2</v>
      </c>
      <c r="AE11" s="1555">
        <f t="shared" si="3"/>
        <v>1.2</v>
      </c>
      <c r="AF11" s="1555">
        <f t="shared" si="3"/>
        <v>1.2</v>
      </c>
      <c r="AG11" s="1555">
        <f t="shared" si="3"/>
        <v>1.2</v>
      </c>
      <c r="AH11" s="1555">
        <f t="shared" si="3"/>
        <v>1.2</v>
      </c>
      <c r="AI11" s="1555">
        <f t="shared" si="3"/>
        <v>1.2</v>
      </c>
      <c r="AJ11" s="1555">
        <f t="shared" si="3"/>
        <v>1.2</v>
      </c>
    </row>
    <row r="12" spans="1:39" ht="25.5" thickBot="1">
      <c r="A12" s="3730"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16"/>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3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16"/>
      <c r="X13" s="2619"/>
      <c r="Y13" s="2618">
        <f>(-0.163*(Y12^2)-0.59*Y12+7617)*(10^(-4))/Y11</f>
        <v>0.63475000000000004</v>
      </c>
      <c r="Z13" s="2618">
        <f t="shared" ref="Z13:AJ13" si="5">(-0.163*(Z12^2)-0.59*Z12+7617)*(10^(-4))/Z11</f>
        <v>0.63475000000000004</v>
      </c>
      <c r="AA13" s="2618">
        <f t="shared" si="5"/>
        <v>0.63475000000000004</v>
      </c>
      <c r="AB13" s="2618">
        <f t="shared" si="5"/>
        <v>0.63475000000000004</v>
      </c>
      <c r="AC13" s="2618">
        <f t="shared" si="5"/>
        <v>0.63475000000000004</v>
      </c>
      <c r="AD13" s="2618">
        <f t="shared" si="5"/>
        <v>0.63475000000000004</v>
      </c>
      <c r="AE13" s="2618">
        <f t="shared" si="5"/>
        <v>0.63475000000000004</v>
      </c>
      <c r="AF13" s="2618">
        <f t="shared" si="5"/>
        <v>0.63475000000000004</v>
      </c>
      <c r="AG13" s="2618">
        <f t="shared" si="5"/>
        <v>0.63475000000000004</v>
      </c>
      <c r="AH13" s="2618">
        <f t="shared" si="5"/>
        <v>0.63475000000000004</v>
      </c>
      <c r="AI13" s="2618">
        <f t="shared" si="5"/>
        <v>0.63475000000000004</v>
      </c>
      <c r="AJ13" s="2618">
        <f t="shared" si="5"/>
        <v>0.63475000000000004</v>
      </c>
    </row>
    <row r="14" spans="1:39" ht="12.75" customHeight="1">
      <c r="A14" s="3732"/>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3"/>
      <c r="B15" s="2814" t="s">
        <v>1675</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30" t="s">
        <v>1813</v>
      </c>
      <c r="B16" s="1350" t="s">
        <v>925</v>
      </c>
      <c r="C16" s="1021">
        <f>ROUND(IF(F17="与级别开发程度一致",0,(G17-E17)/C17),0)</f>
        <v>0</v>
      </c>
      <c r="D16" s="3724" t="s">
        <v>929</v>
      </c>
      <c r="E16" s="3725"/>
      <c r="F16" s="3724" t="s">
        <v>926</v>
      </c>
      <c r="G16" s="3725"/>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34"/>
      <c r="B17" s="2820" t="s">
        <v>928</v>
      </c>
      <c r="C17" s="2821">
        <f>SUMPRODUCT((修正!A2:A5=E2)*(修正!B1:M1=G2)*(修正!B2:M5))</f>
        <v>1.5</v>
      </c>
      <c r="D17" s="2822" t="str">
        <f>IF(OR(G2="八级",G2="九级",G2="十级",G2="十一级",G2="十二级"),"五通一平","七通一平")</f>
        <v>五通一平</v>
      </c>
      <c r="E17" s="2812">
        <f>SUMPRODUCT((修正!B1:M1=G2)*(修正!B15:M15))</f>
        <v>155</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3213</v>
      </c>
      <c r="C21" s="1123">
        <f>IF(B21="容积率修正",IF(G3&lt;=10,D22,J22),C23)</f>
        <v>1.0601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1.0601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08">
        <f>ROUNDUP(G3,1)</f>
        <v>1.2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159929</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7554</v>
      </c>
      <c r="D29" s="1418">
        <f>'数据-基础表'!I13</f>
        <v>211713.77</v>
      </c>
      <c r="E29" s="1736">
        <f ca="1">ROUND(C29*D29/10000,0)</f>
        <v>159929</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1889</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26"/>
      <c r="B33" s="1438" t="s">
        <v>974</v>
      </c>
      <c r="C33" s="1028">
        <f ca="1">ROUND(D5*C19*C20*C24*F33,0)</f>
        <v>3887</v>
      </c>
      <c r="D33" s="1451"/>
      <c r="E33" s="1017">
        <f ca="1">ROUND(C33*D33/10000,0)</f>
        <v>0</v>
      </c>
      <c r="F33" s="1017">
        <f>SUMIF(修正!A45:A56,G2,修正!B45:B56)</f>
        <v>0.6</v>
      </c>
      <c r="G33" s="1017">
        <f t="shared" ref="G33" ca="1" si="6">ROUND(IF(E2="工业",C33*$M$39,C33*$M$38),0)</f>
        <v>972</v>
      </c>
      <c r="H33" s="1017">
        <f>D33</f>
        <v>0</v>
      </c>
      <c r="I33" s="1017">
        <f ca="1">ROUND(G33*H33/10000,0)</f>
        <v>0</v>
      </c>
      <c r="J33" s="3726"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27"/>
      <c r="B34" s="1368" t="s">
        <v>975</v>
      </c>
      <c r="C34" s="1028">
        <f ca="1">ROUND(D5*C19*C20*C24*F34,0)</f>
        <v>1943</v>
      </c>
      <c r="D34" s="1451"/>
      <c r="E34" s="1017">
        <f t="shared" ref="E34:E39" ca="1" si="7">ROUND(C34*D34/10000,0)</f>
        <v>0</v>
      </c>
      <c r="F34" s="1017">
        <f>SUMIF(修正!A45:A56,G2,修正!C45:C56)</f>
        <v>0.3</v>
      </c>
      <c r="G34" s="1017">
        <f ca="1">ROUND(IF(E2="工业",C34*$M$39,C34*$M$38),0)</f>
        <v>486</v>
      </c>
      <c r="H34" s="1017">
        <f t="shared" ref="H34:H39" si="8">D34</f>
        <v>0</v>
      </c>
      <c r="I34" s="1017">
        <f t="shared" ref="I34:I39" ca="1" si="9">ROUND(G34*H34/10000,0)</f>
        <v>0</v>
      </c>
      <c r="J34" s="372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27"/>
      <c r="B35" s="1368" t="s">
        <v>976</v>
      </c>
      <c r="C35" s="1028">
        <f ca="1">ROUND(D5*C19*C20*C24*F35,0)</f>
        <v>1296</v>
      </c>
      <c r="D35" s="1451"/>
      <c r="E35" s="1017">
        <f t="shared" ca="1" si="7"/>
        <v>0</v>
      </c>
      <c r="F35" s="1017">
        <f>SUMIF(修正!A45:A56,G2,修正!D45:D56)</f>
        <v>0.2</v>
      </c>
      <c r="G35" s="1017">
        <f ca="1">ROUND(IF(E2="工业",C35*$M$39,C35*$M$38),0)</f>
        <v>324</v>
      </c>
      <c r="H35" s="1017">
        <f t="shared" si="8"/>
        <v>0</v>
      </c>
      <c r="I35" s="1017">
        <f t="shared" ca="1" si="9"/>
        <v>0</v>
      </c>
      <c r="J35" s="372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8"/>
      <c r="B36" s="1368" t="s">
        <v>977</v>
      </c>
      <c r="C36" s="1028">
        <f ca="1">ROUND(D5*C19*C20*C24*F36,0)</f>
        <v>1296</v>
      </c>
      <c r="D36" s="1451"/>
      <c r="E36" s="1017">
        <f t="shared" ca="1" si="7"/>
        <v>0</v>
      </c>
      <c r="F36" s="1017">
        <f>SUMIF(修正!A45:A56,G2,修正!E45:E56)</f>
        <v>0.2</v>
      </c>
      <c r="G36" s="1017">
        <f ca="1">ROUND(IF(E2="工业",C36*$M$39,C36*$M$38),0)</f>
        <v>324</v>
      </c>
      <c r="H36" s="1017">
        <f t="shared" si="8"/>
        <v>0</v>
      </c>
      <c r="I36" s="1017">
        <f t="shared" ca="1" si="9"/>
        <v>0</v>
      </c>
      <c r="J36" s="372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1296</v>
      </c>
      <c r="D37" s="1451"/>
      <c r="E37" s="1017">
        <f t="shared" ca="1" si="7"/>
        <v>0</v>
      </c>
      <c r="F37" s="1028">
        <f>SUMIF(修正!A45:A56,G2,修正!F45:F56)</f>
        <v>0.2</v>
      </c>
      <c r="G37" s="1017">
        <f ca="1">ROUND(IF(E2="工业",C37*$M$39,C37*$M$38),0)</f>
        <v>324</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7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7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7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75" hidden="1" thickBot="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75" hidden="1" thickBot="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75" hidden="1" thickBot="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75" hidden="1" thickBot="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75" hidden="1" thickBot="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75" hidden="1" thickBot="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75" hidden="1" thickBot="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7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7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7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75" hidden="1" thickBot="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7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75" hidden="1" thickBot="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75" hidden="1" thickBot="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75" hidden="1" thickBot="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75" hidden="1" thickBot="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7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0.14899999999999999</v>
      </c>
      <c r="G69" s="2244"/>
      <c r="H69" s="2287">
        <f t="shared" ref="H69:H77" si="21">IFERROR(ROUNDDOWN($F$69*I69/2,4),"——")</f>
        <v>1.04E-2</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f t="shared" si="21"/>
        <v>2.23E-2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f t="shared" si="21"/>
        <v>5.8999999999999999E-3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f t="shared" si="21"/>
        <v>2.8999999999999998E-3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f t="shared" si="21"/>
        <v>5.8999999999999999E-3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f t="shared" si="21"/>
        <v>8.8999999999999999E-3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f t="shared" si="21"/>
        <v>3.7000000000000002E-3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f t="shared" si="21"/>
        <v>1.11E-2</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f t="shared" si="21"/>
        <v>2.8999999999999998E-3</v>
      </c>
      <c r="I77" s="2268">
        <v>0.04</v>
      </c>
      <c r="J77" s="2264">
        <f t="shared" si="22"/>
        <v>0</v>
      </c>
      <c r="K77" s="2264">
        <f t="shared" si="23"/>
        <v>0</v>
      </c>
      <c r="L77" s="2264">
        <v>0</v>
      </c>
      <c r="M77" s="2264">
        <f t="shared" si="24"/>
        <v>0</v>
      </c>
      <c r="N77" s="2264">
        <f t="shared" si="24"/>
        <v>0</v>
      </c>
      <c r="AC77" s="1328"/>
      <c r="AD77" s="1327"/>
      <c r="AJ77" s="1326"/>
      <c r="AN77" s="1327"/>
    </row>
    <row r="78" spans="1:40" ht="15"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4"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6"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3468"/>
      <c r="L90" s="3468"/>
      <c r="M90" s="3468"/>
      <c r="N90" s="3468"/>
    </row>
    <row r="91" spans="1:40">
      <c r="A91" s="3736" t="s">
        <v>873</v>
      </c>
      <c r="B91" s="3736" t="s">
        <v>1609</v>
      </c>
      <c r="C91" s="1105" t="s">
        <v>1610</v>
      </c>
      <c r="D91" s="1106"/>
      <c r="E91" s="1106"/>
      <c r="F91" s="1106"/>
      <c r="G91" s="1106"/>
      <c r="H91" s="1106"/>
      <c r="I91" s="1106"/>
      <c r="J91" s="1107"/>
      <c r="K91" s="1099"/>
      <c r="L91" s="1099"/>
      <c r="M91" s="1099"/>
      <c r="N91" s="1099"/>
    </row>
    <row r="92" spans="1:40">
      <c r="A92" s="3736"/>
      <c r="B92" s="3736"/>
      <c r="C92" s="3469" t="s">
        <v>859</v>
      </c>
      <c r="D92" s="3469" t="s">
        <v>860</v>
      </c>
      <c r="E92" s="3469" t="s">
        <v>861</v>
      </c>
      <c r="F92" s="3469" t="s">
        <v>862</v>
      </c>
      <c r="G92" s="3469" t="s">
        <v>863</v>
      </c>
      <c r="H92" s="3469" t="s">
        <v>864</v>
      </c>
      <c r="I92" s="3469" t="s">
        <v>865</v>
      </c>
      <c r="J92" s="3469" t="s">
        <v>866</v>
      </c>
      <c r="K92" s="3469" t="s">
        <v>867</v>
      </c>
      <c r="L92" s="3469" t="s">
        <v>868</v>
      </c>
      <c r="M92" s="3469" t="s">
        <v>869</v>
      </c>
      <c r="N92" s="3469" t="s">
        <v>870</v>
      </c>
    </row>
    <row r="93" spans="1:40">
      <c r="A93" s="371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0"/>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1"/>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9" t="s">
        <v>1612</v>
      </c>
      <c r="B101" s="1112" t="s">
        <v>858</v>
      </c>
      <c r="C101" s="1113">
        <f>$G$3</f>
        <v>1.2</v>
      </c>
      <c r="D101" s="1113">
        <f t="shared" ref="D101:N101" si="31">$G$3</f>
        <v>1.2</v>
      </c>
      <c r="E101" s="1113">
        <f t="shared" si="31"/>
        <v>1.2</v>
      </c>
      <c r="F101" s="1113">
        <f t="shared" si="31"/>
        <v>1.2</v>
      </c>
      <c r="G101" s="1113">
        <f t="shared" si="31"/>
        <v>1.2</v>
      </c>
      <c r="H101" s="1113">
        <f t="shared" si="31"/>
        <v>1.2</v>
      </c>
      <c r="I101" s="1113">
        <f t="shared" si="31"/>
        <v>1.2</v>
      </c>
      <c r="J101" s="1113">
        <f t="shared" si="31"/>
        <v>1.2</v>
      </c>
      <c r="K101" s="1113">
        <f t="shared" si="31"/>
        <v>1.2</v>
      </c>
      <c r="L101" s="1113">
        <f t="shared" si="31"/>
        <v>1.2</v>
      </c>
      <c r="M101" s="1113">
        <f t="shared" si="31"/>
        <v>1.2</v>
      </c>
      <c r="N101" s="1113">
        <f t="shared" si="31"/>
        <v>1.2</v>
      </c>
    </row>
    <row r="102" spans="1:14">
      <c r="A102" s="3720"/>
      <c r="B102" s="1108">
        <v>1</v>
      </c>
      <c r="C102" s="1109">
        <f>1.9362/C101</f>
        <v>1.6134999999999999</v>
      </c>
      <c r="D102" s="1109">
        <f>1.9362/D101</f>
        <v>1.6134999999999999</v>
      </c>
      <c r="E102" s="1109">
        <f>1.8629/E101</f>
        <v>1.5524166666666668</v>
      </c>
      <c r="F102" s="1109">
        <f>1.8629/F101</f>
        <v>1.5524166666666668</v>
      </c>
      <c r="G102" s="1109">
        <f>1.8629/G101</f>
        <v>1.5524166666666668</v>
      </c>
      <c r="H102" s="1109">
        <f>1.8629/H101</f>
        <v>1.5524166666666668</v>
      </c>
      <c r="I102" s="1109">
        <f>1.8629/I101</f>
        <v>1.5524166666666668</v>
      </c>
      <c r="J102" s="1109">
        <f>1.942/J101</f>
        <v>1.6183333333333334</v>
      </c>
      <c r="K102" s="1109">
        <f>1.942/K101</f>
        <v>1.6183333333333334</v>
      </c>
      <c r="L102" s="1109">
        <f>1.942/L101</f>
        <v>1.6183333333333334</v>
      </c>
      <c r="M102" s="1109">
        <f>1.942/M101</f>
        <v>1.6183333333333334</v>
      </c>
      <c r="N102" s="1109">
        <f>1.942/N101</f>
        <v>1.6183333333333334</v>
      </c>
    </row>
    <row r="103" spans="1:14">
      <c r="A103" s="3720"/>
      <c r="B103" s="1108">
        <v>2</v>
      </c>
      <c r="C103" s="1109">
        <f>1.4198/C101</f>
        <v>1.1831666666666667</v>
      </c>
      <c r="D103" s="1109">
        <f>1.4198/D101</f>
        <v>1.1831666666666667</v>
      </c>
      <c r="E103" s="1109">
        <f>1.3372/E101</f>
        <v>1.1143333333333334</v>
      </c>
      <c r="F103" s="1109">
        <f>1.3372/F101</f>
        <v>1.1143333333333334</v>
      </c>
      <c r="G103" s="1109">
        <f>1.3372/G101</f>
        <v>1.1143333333333334</v>
      </c>
      <c r="H103" s="1109">
        <f>1.3372/H101</f>
        <v>1.1143333333333334</v>
      </c>
      <c r="I103" s="1109">
        <f>1.3372/I101</f>
        <v>1.1143333333333334</v>
      </c>
      <c r="J103" s="1109">
        <f>1.2799/J101</f>
        <v>1.0665833333333334</v>
      </c>
      <c r="K103" s="1109">
        <f>1.2799/K101</f>
        <v>1.0665833333333334</v>
      </c>
      <c r="L103" s="1109">
        <f>1.2799/L101</f>
        <v>1.0665833333333334</v>
      </c>
      <c r="M103" s="1109">
        <f>1.2799/M101</f>
        <v>1.0665833333333334</v>
      </c>
      <c r="N103" s="1109">
        <f>1.2799/N101</f>
        <v>1.0665833333333334</v>
      </c>
    </row>
    <row r="104" spans="1:14">
      <c r="A104" s="3720"/>
      <c r="B104" s="1108">
        <v>3</v>
      </c>
      <c r="C104" s="1109">
        <f>1.1594/C101</f>
        <v>0.96616666666666673</v>
      </c>
      <c r="D104" s="1109">
        <f>1.1594/D101</f>
        <v>0.96616666666666673</v>
      </c>
      <c r="E104" s="1109">
        <f>1.0788/E101</f>
        <v>0.89900000000000002</v>
      </c>
      <c r="F104" s="1109">
        <f>1.0788/F101</f>
        <v>0.89900000000000002</v>
      </c>
      <c r="G104" s="1109">
        <f>1.0788/G101</f>
        <v>0.89900000000000002</v>
      </c>
      <c r="H104" s="1109">
        <f>1.0788/H101</f>
        <v>0.89900000000000002</v>
      </c>
      <c r="I104" s="1109">
        <f>1.0788/I101</f>
        <v>0.89900000000000002</v>
      </c>
      <c r="J104" s="1109">
        <f>1.0072/J101</f>
        <v>0.83933333333333349</v>
      </c>
      <c r="K104" s="1109">
        <f>1.0072/K101</f>
        <v>0.83933333333333349</v>
      </c>
      <c r="L104" s="1109">
        <f>1.0072/L101</f>
        <v>0.83933333333333349</v>
      </c>
      <c r="M104" s="1109">
        <f>1.0072/M101</f>
        <v>0.83933333333333349</v>
      </c>
      <c r="N104" s="1109">
        <f>1.0072/N101</f>
        <v>0.83933333333333349</v>
      </c>
    </row>
    <row r="105" spans="1:14">
      <c r="A105" s="3720"/>
      <c r="B105" s="1108">
        <v>4</v>
      </c>
      <c r="C105" s="1109">
        <f>0.9622/C101</f>
        <v>0.8018333333333334</v>
      </c>
      <c r="D105" s="1109">
        <f>0.9622/D101</f>
        <v>0.8018333333333334</v>
      </c>
      <c r="E105" s="1109">
        <f>0.8656/E101</f>
        <v>0.72133333333333338</v>
      </c>
      <c r="F105" s="1109">
        <f>0.8656/F101</f>
        <v>0.72133333333333338</v>
      </c>
      <c r="G105" s="1109">
        <f>0.8656/G101</f>
        <v>0.72133333333333338</v>
      </c>
      <c r="H105" s="1109">
        <f>0.8656/H101</f>
        <v>0.72133333333333338</v>
      </c>
      <c r="I105" s="1109">
        <f>0.8656/I101</f>
        <v>0.72133333333333338</v>
      </c>
      <c r="J105" s="1109">
        <f>0.7525/J101</f>
        <v>0.62708333333333333</v>
      </c>
      <c r="K105" s="1109">
        <f>0.7525/K101</f>
        <v>0.62708333333333333</v>
      </c>
      <c r="L105" s="1109">
        <f>0.7525/L101</f>
        <v>0.62708333333333333</v>
      </c>
      <c r="M105" s="1109">
        <f>0.7525/M101</f>
        <v>0.62708333333333333</v>
      </c>
      <c r="N105" s="1109">
        <f>0.7525/N101</f>
        <v>0.62708333333333333</v>
      </c>
    </row>
    <row r="106" spans="1:14">
      <c r="A106" s="3720"/>
      <c r="B106" s="1108">
        <v>5</v>
      </c>
      <c r="C106" s="1109">
        <f>0.8417/C101</f>
        <v>0.70141666666666669</v>
      </c>
      <c r="D106" s="1109">
        <f>0.8417/D101</f>
        <v>0.70141666666666669</v>
      </c>
      <c r="E106" s="1109">
        <f>0.7371/E101</f>
        <v>0.61424999999999996</v>
      </c>
      <c r="F106" s="1109">
        <f>0.7371/F101</f>
        <v>0.61424999999999996</v>
      </c>
      <c r="G106" s="1109">
        <f>0.7371/G101</f>
        <v>0.61424999999999996</v>
      </c>
      <c r="H106" s="1109">
        <f>0.7371/H101</f>
        <v>0.61424999999999996</v>
      </c>
      <c r="I106" s="1109">
        <f>0.7371/I101</f>
        <v>0.61424999999999996</v>
      </c>
      <c r="J106" s="1109">
        <f>0.5659/J101</f>
        <v>0.4715833333333333</v>
      </c>
      <c r="K106" s="1109">
        <f>0.5659/K101</f>
        <v>0.4715833333333333</v>
      </c>
      <c r="L106" s="1109">
        <f>0.5659/L101</f>
        <v>0.4715833333333333</v>
      </c>
      <c r="M106" s="1109">
        <f>0.5659/M101</f>
        <v>0.4715833333333333</v>
      </c>
      <c r="N106" s="1109">
        <f>0.5659/N101</f>
        <v>0.4715833333333333</v>
      </c>
    </row>
    <row r="107" spans="1:14">
      <c r="A107" s="3720"/>
      <c r="B107" s="1108">
        <v>6</v>
      </c>
      <c r="C107" s="1109">
        <f>0.7608/C101</f>
        <v>0.63400000000000001</v>
      </c>
      <c r="D107" s="1109">
        <f>0.7608/D101</f>
        <v>0.63400000000000001</v>
      </c>
      <c r="E107" s="1109">
        <f>0.6482/E101</f>
        <v>0.54016666666666668</v>
      </c>
      <c r="F107" s="1109">
        <f>0.6482/F101</f>
        <v>0.54016666666666668</v>
      </c>
      <c r="G107" s="1109">
        <f>0.6482/G101</f>
        <v>0.54016666666666668</v>
      </c>
      <c r="H107" s="1109">
        <f>0.6482/H101</f>
        <v>0.54016666666666668</v>
      </c>
      <c r="I107" s="1109">
        <f>0.6482/I101</f>
        <v>0.54016666666666668</v>
      </c>
      <c r="J107" s="1109">
        <f>0.4525/J101</f>
        <v>0.37708333333333338</v>
      </c>
      <c r="K107" s="1109">
        <f>0.4525/K101</f>
        <v>0.37708333333333338</v>
      </c>
      <c r="L107" s="1109">
        <f>0.4525/L101</f>
        <v>0.37708333333333338</v>
      </c>
      <c r="M107" s="1109">
        <f>0.4525/M101</f>
        <v>0.37708333333333338</v>
      </c>
      <c r="N107" s="1109">
        <f>0.4525/N101</f>
        <v>0.37708333333333338</v>
      </c>
    </row>
    <row r="108" spans="1:14">
      <c r="A108" s="3720"/>
      <c r="B108" s="3722"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1"/>
      <c r="B109" s="3723"/>
      <c r="C109" s="1111">
        <f>(-0.163*(C108^2)-0.59*C108+7617)*(10^(-4))/C101</f>
        <v>0.63475000000000004</v>
      </c>
      <c r="D109" s="1111">
        <f>(-0.163*(D108^2)-0.59*D108+7617)*(10^(-4))/D101</f>
        <v>0.63475000000000004</v>
      </c>
      <c r="E109" s="1111">
        <f>(-0.161*(E108^2)-7.509*E108+6533)*(10^(-4))/E101</f>
        <v>0.54441666666666666</v>
      </c>
      <c r="F109" s="1111">
        <f>(-0.161*(F108^2)-7.509*F108+6533)*(10^(-4))/F101</f>
        <v>0.54441666666666666</v>
      </c>
      <c r="G109" s="1111">
        <f>(-0.161*(G108^2)-7.509*G108+6533)*(10^(-4))/G101</f>
        <v>0.54441666666666666</v>
      </c>
      <c r="H109" s="1111">
        <f>(-0.161*(H108^2)-7.509*H108+6533)*(10^(-4))/H101</f>
        <v>0.54441666666666666</v>
      </c>
      <c r="I109" s="1111">
        <f>(-0.161*(I108^2)-7.509*I108+6533)*(10^(-4))/I101</f>
        <v>0.54441666666666666</v>
      </c>
      <c r="J109" s="1111">
        <f>(-0.214*(J108^2)-21.991*J108+4665)*(10^(-4))/J101</f>
        <v>0.38875000000000004</v>
      </c>
      <c r="K109" s="1111">
        <f>(-0.214*(K108^2)-21.991*K108+4665)*(10^(-4))/K101</f>
        <v>0.38875000000000004</v>
      </c>
      <c r="L109" s="1111">
        <f>(-0.214*(L108^2)-21.991*L108+4665)*(10^(-4))/L101</f>
        <v>0.38875000000000004</v>
      </c>
      <c r="M109" s="1111">
        <f>(-0.214*(M108^2)-21.991*M108+4665)*(10^(-4))/M101</f>
        <v>0.38875000000000004</v>
      </c>
      <c r="N109" s="1111">
        <f>(-0.214*(N108^2)-21.991*N108+4665)*(10^(-4))/N101</f>
        <v>0.38875000000000004</v>
      </c>
    </row>
    <row r="110" spans="1:14">
      <c r="A110" s="3729" t="s">
        <v>1614</v>
      </c>
      <c r="B110" s="3729"/>
      <c r="C110" s="3729"/>
      <c r="D110" s="3729"/>
      <c r="E110" s="3729"/>
      <c r="F110" s="3729"/>
      <c r="G110" s="3729"/>
      <c r="H110" s="3729"/>
      <c r="I110" s="3729"/>
      <c r="J110" s="3729"/>
      <c r="K110" s="3467"/>
      <c r="L110" s="3467"/>
      <c r="M110" s="3467"/>
      <c r="N110" s="3467"/>
    </row>
    <row r="112" spans="1:14" ht="12.75" thickBot="1"/>
    <row r="113" spans="1:13" ht="25.5" thickBot="1">
      <c r="A113" s="985" t="s">
        <v>871</v>
      </c>
      <c r="B113" s="2277">
        <f>G3</f>
        <v>1.2</v>
      </c>
      <c r="C113" s="986" t="s">
        <v>872</v>
      </c>
      <c r="D113" s="987">
        <f>SUMPRODUCT((A115:A118=F113)*(B114:M114=H113)*B115:M118)</f>
        <v>0.7298</v>
      </c>
      <c r="E113" s="988" t="s">
        <v>873</v>
      </c>
      <c r="F113" s="989" t="str">
        <f>E2</f>
        <v>住宅</v>
      </c>
      <c r="G113" s="988" t="s">
        <v>874</v>
      </c>
      <c r="H113" s="989" t="str">
        <f>G2</f>
        <v>九级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0.92220000000000002</v>
      </c>
      <c r="C115" s="999">
        <f>B115</f>
        <v>0.92220000000000002</v>
      </c>
      <c r="D115" s="999">
        <f>ROUND(0.8331-0.0109*B113,4)</f>
        <v>0.82</v>
      </c>
      <c r="E115" s="999">
        <f>D115</f>
        <v>0.82</v>
      </c>
      <c r="F115" s="999">
        <f>E115</f>
        <v>0.82</v>
      </c>
      <c r="G115" s="999">
        <f>F115</f>
        <v>0.82</v>
      </c>
      <c r="H115" s="999">
        <f>G115</f>
        <v>0.82</v>
      </c>
      <c r="I115" s="999">
        <f>ROUND(0.689-0.0155*B113,4)</f>
        <v>0.6704</v>
      </c>
      <c r="J115" s="999">
        <f t="shared" ref="J115:M118" si="33">I115</f>
        <v>0.6704</v>
      </c>
      <c r="K115" s="999">
        <f t="shared" si="33"/>
        <v>0.6704</v>
      </c>
      <c r="L115" s="999">
        <f t="shared" si="33"/>
        <v>0.6704</v>
      </c>
      <c r="M115" s="1000">
        <f t="shared" si="33"/>
        <v>0.6704</v>
      </c>
    </row>
    <row r="116" spans="1:13" ht="12.75">
      <c r="A116" s="998" t="s">
        <v>876</v>
      </c>
      <c r="B116" s="999">
        <f>ROUND(0.949-0.012*B113,4)</f>
        <v>0.93459999999999999</v>
      </c>
      <c r="C116" s="999">
        <f>B116</f>
        <v>0.93459999999999999</v>
      </c>
      <c r="D116" s="999">
        <f>ROUND(0.8567-0.013*B113,4)</f>
        <v>0.84109999999999996</v>
      </c>
      <c r="E116" s="999">
        <f t="shared" ref="E116:H117" si="34">D116</f>
        <v>0.84109999999999996</v>
      </c>
      <c r="F116" s="999">
        <f t="shared" si="34"/>
        <v>0.84109999999999996</v>
      </c>
      <c r="G116" s="999">
        <f t="shared" si="34"/>
        <v>0.84109999999999996</v>
      </c>
      <c r="H116" s="999">
        <f t="shared" si="34"/>
        <v>0.84109999999999996</v>
      </c>
      <c r="I116" s="999">
        <f>ROUND(0.7694-0.014*B113,4)</f>
        <v>0.75260000000000005</v>
      </c>
      <c r="J116" s="999">
        <f t="shared" si="33"/>
        <v>0.75260000000000005</v>
      </c>
      <c r="K116" s="999">
        <f t="shared" si="33"/>
        <v>0.75260000000000005</v>
      </c>
      <c r="L116" s="999">
        <f t="shared" si="33"/>
        <v>0.75260000000000005</v>
      </c>
      <c r="M116" s="1000">
        <f t="shared" si="33"/>
        <v>0.75260000000000005</v>
      </c>
    </row>
    <row r="117" spans="1:13" ht="12.75">
      <c r="A117" s="1001" t="s">
        <v>877</v>
      </c>
      <c r="B117" s="999">
        <f>ROUND(0.8808-0.006*B113,4)</f>
        <v>0.87360000000000004</v>
      </c>
      <c r="C117" s="999">
        <f>B117</f>
        <v>0.87360000000000004</v>
      </c>
      <c r="D117" s="999">
        <f>ROUND(0.8748-0.008*B113,4)</f>
        <v>0.86519999999999997</v>
      </c>
      <c r="E117" s="999">
        <f t="shared" si="34"/>
        <v>0.86519999999999997</v>
      </c>
      <c r="F117" s="999">
        <f t="shared" si="34"/>
        <v>0.86519999999999997</v>
      </c>
      <c r="G117" s="999">
        <f t="shared" si="34"/>
        <v>0.86519999999999997</v>
      </c>
      <c r="H117" s="999">
        <f t="shared" si="34"/>
        <v>0.86519999999999997</v>
      </c>
      <c r="I117" s="999">
        <f>ROUND(0.7412-0.0095*B113,4)</f>
        <v>0.7298</v>
      </c>
      <c r="J117" s="999">
        <f t="shared" si="33"/>
        <v>0.7298</v>
      </c>
      <c r="K117" s="999">
        <f t="shared" si="33"/>
        <v>0.7298</v>
      </c>
      <c r="L117" s="999">
        <f t="shared" si="33"/>
        <v>0.7298</v>
      </c>
      <c r="M117" s="1000">
        <f t="shared" si="33"/>
        <v>0.7298</v>
      </c>
    </row>
    <row r="118" spans="1:13" ht="13.5" thickBot="1">
      <c r="A118" s="1002" t="s">
        <v>878</v>
      </c>
      <c r="B118" s="1003">
        <f>ROUND(0.7275-0.01*B113,4)</f>
        <v>0.71550000000000002</v>
      </c>
      <c r="C118" s="1003">
        <f>B118</f>
        <v>0.71550000000000002</v>
      </c>
      <c r="D118" s="1003">
        <f>ROUND(0.7043-0.012*B113,4)</f>
        <v>0.68989999999999996</v>
      </c>
      <c r="E118" s="1003">
        <f>D118</f>
        <v>0.68989999999999996</v>
      </c>
      <c r="F118" s="1003">
        <f>E118</f>
        <v>0.68989999999999996</v>
      </c>
      <c r="G118" s="1003">
        <f>ROUND(0.6299-0.0122*B113,4)</f>
        <v>0.61529999999999996</v>
      </c>
      <c r="H118" s="1003">
        <f>G118</f>
        <v>0.61529999999999996</v>
      </c>
      <c r="I118" s="1003">
        <f>ROUND(0.5667-0.0136*B113,4)</f>
        <v>0.5504</v>
      </c>
      <c r="J118" s="1003">
        <f t="shared" si="33"/>
        <v>0.5504</v>
      </c>
      <c r="K118" s="1003">
        <f t="shared" si="33"/>
        <v>0.5504</v>
      </c>
      <c r="L118" s="1003">
        <f t="shared" si="33"/>
        <v>0.5504</v>
      </c>
      <c r="M118" s="1004">
        <f t="shared" si="33"/>
        <v>0.5504</v>
      </c>
    </row>
  </sheetData>
  <sheetProtection algorithmName="SHA-512" hashValue="gdzrJoWoZnvuoVzVcQxFRSZZqZf7+MYhWf6LUEuwmV8M3C38Pzu0DQ3jtt+cWdtPeh2MkyFqgHBUnDc/nb//pw==" saltValue="WAwk5dKtkrb4JMGzxiU8Zw=="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H16:O16" xr:uid="{1F68474F-834B-4649-9C28-B94B5D1014FB}">
      <formula1>七通一平</formula1>
    </dataValidation>
    <dataValidation type="list" allowBlank="1" showInputMessage="1" showErrorMessage="1" sqref="C69:C77 C80:C87 C47:C55 C58:C66" xr:uid="{3AB5E957-7FB2-4809-B1F3-337111A45363}">
      <formula1>五等判定</formula1>
    </dataValidation>
    <dataValidation type="list" allowBlank="1" showInputMessage="1" showErrorMessage="1" sqref="E3" xr:uid="{3987006B-7326-4EAA-B659-05A66ED51FA5}">
      <formula1>二级分类</formula1>
    </dataValidation>
    <dataValidation type="list" allowBlank="1" showInputMessage="1" showErrorMessage="1" sqref="C8" xr:uid="{3474AA09-8FD0-4532-84F1-5EAD3D9C50E2}">
      <formula1>商业街名称</formula1>
    </dataValidation>
    <dataValidation type="list" allowBlank="1" showInputMessage="1" showErrorMessage="1" sqref="F3" xr:uid="{CA119034-AC8E-4625-BAB9-4B699F3ACD70}">
      <formula1>"宗地容积率,估价对象容积率,自定义容积率"</formula1>
    </dataValidation>
    <dataValidation type="list" allowBlank="1" showInputMessage="1" showErrorMessage="1" sqref="H19" xr:uid="{4A0620DB-9CA6-40B0-87A5-9CA7AB5A6A59}">
      <formula1>"地价指数,季度增幅（自定义）,按公示增长率计算"</formula1>
    </dataValidation>
    <dataValidation type="list" allowBlank="1" showInputMessage="1" showErrorMessage="1" sqref="F14" xr:uid="{ED59593C-F50A-43A0-AC2C-CA29D1D53001}">
      <formula1>"500米范围内,500-1000米,1000米以外"</formula1>
    </dataValidation>
    <dataValidation type="list" allowBlank="1" showInputMessage="1" showErrorMessage="1" sqref="C14:E14" xr:uid="{383DB95F-1F2F-4621-BBAB-26BC799B6C41}">
      <formula1>"有,无"</formula1>
    </dataValidation>
    <dataValidation type="list" allowBlank="1" showInputMessage="1" showErrorMessage="1" sqref="B21" xr:uid="{0B424227-8A57-4B54-909F-134BF6C9A28B}">
      <formula1>"容积率修正,楼层修正"</formula1>
    </dataValidation>
    <dataValidation type="list" allowBlank="1" showInputMessage="1" showErrorMessage="1" sqref="F17" xr:uid="{1FCE709C-0B45-476A-956D-C2A1B5DA7985}">
      <formula1>"与级别开发程度一致,与级别开发程度不一致"</formula1>
    </dataValidation>
    <dataValidation type="list" allowBlank="1" showInputMessage="1" showErrorMessage="1" sqref="E2" xr:uid="{C195FB5D-8874-481A-9238-98A8D09D71D3}">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9995-BDFC-41E1-B939-A65155626649}">
  <sheetPr>
    <tabColor rgb="FF92D050"/>
  </sheetPr>
  <dimension ref="A1:AR118"/>
  <sheetViews>
    <sheetView view="pageBreakPreview" topLeftCell="A4" zoomScale="80" zoomScaleNormal="60" zoomScaleSheetLayoutView="80" workbookViewId="0">
      <selection activeCell="D14" sqref="D1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211713.77</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108038</v>
      </c>
      <c r="C2" s="1330" t="s">
        <v>896</v>
      </c>
      <c r="D2" s="1331" t="s">
        <v>873</v>
      </c>
      <c r="E2" s="1332" t="s">
        <v>3201</v>
      </c>
      <c r="F2" s="1331" t="s">
        <v>874</v>
      </c>
      <c r="G2" s="1554" t="str">
        <f>IF(E2="商业",项目基本情况!B43,IF(E2="办公",项目基本情况!C43,IF(E2="住宅",项目基本情况!D43,项目基本情况!E43)))</f>
        <v>九级</v>
      </c>
      <c r="H2" s="1331" t="s">
        <v>901</v>
      </c>
      <c r="I2" s="1555" t="str">
        <f>IF(E2="商业",项目基本情况!B44,IF(E2="办公",项目基本情况!C44,IF(E2="住宅",项目基本情况!D44,项目基本情况!E44)))</f>
        <v>Ⅸ-顺3</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1.9419999999999999</v>
      </c>
      <c r="T2" s="2622">
        <f ca="1">ROUND($C$5*$C$18*$C$19*$C$20*S2*$C$24,0)</f>
        <v>9409</v>
      </c>
      <c r="U2" s="2611"/>
      <c r="V2" s="2622">
        <f ca="1">ROUND(T2*U2/10000,0)</f>
        <v>0</v>
      </c>
      <c r="W2" s="2041"/>
      <c r="X2" s="2041"/>
      <c r="Y2" s="2041"/>
      <c r="Z2" s="2041"/>
      <c r="AA2" s="2041"/>
      <c r="AB2" s="2041"/>
      <c r="AC2" s="2042"/>
    </row>
    <row r="3" spans="1:39" ht="15.75">
      <c r="A3" s="1334" t="s">
        <v>1662</v>
      </c>
      <c r="B3" s="1007">
        <f ca="1">ROUND(B2*10000/D1,0)</f>
        <v>5103</v>
      </c>
      <c r="C3" s="1330" t="s">
        <v>902</v>
      </c>
      <c r="D3" s="1331" t="s">
        <v>903</v>
      </c>
      <c r="E3" s="1335" t="s">
        <v>3217</v>
      </c>
      <c r="F3" s="1336" t="s">
        <v>3210</v>
      </c>
      <c r="G3" s="3471">
        <v>1.8</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1.2799</v>
      </c>
      <c r="T3" s="2622">
        <f t="shared" ref="T3:T16" ca="1" si="0">ROUND($C$5*$C$18*$C$19*$C$20*S3*$C$24,0)</f>
        <v>6201</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1.0072000000000001</v>
      </c>
      <c r="T4" s="2622">
        <f t="shared" ca="1" si="0"/>
        <v>4880</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3470</v>
      </c>
      <c r="D5" s="2759">
        <f>ROUND(C6+C16,0)</f>
        <v>3470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0.75249999999999995</v>
      </c>
      <c r="T5" s="2622">
        <f t="shared" ca="1" si="0"/>
        <v>3646</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SUMIF(L1:L12,'基准地价（商业）'!G2,M1:M12)</f>
        <v>3470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0.56589999999999996</v>
      </c>
      <c r="T6" s="2622">
        <f t="shared" ca="1" si="0"/>
        <v>2742</v>
      </c>
      <c r="U6" s="2611"/>
      <c r="V6" s="2622">
        <f t="shared" ca="1" si="1"/>
        <v>0</v>
      </c>
      <c r="W6" s="2041"/>
      <c r="X6" s="2041"/>
      <c r="Y6" s="2041"/>
      <c r="Z6" s="2041"/>
      <c r="AA6" s="2041"/>
      <c r="AB6" s="2041"/>
      <c r="AC6" s="2043"/>
      <c r="AD6" s="1342"/>
      <c r="AE6" s="1342"/>
      <c r="AF6" s="1342"/>
      <c r="AG6" s="1342"/>
      <c r="AH6" s="1342"/>
      <c r="AI6" s="1342"/>
      <c r="AJ6" s="1343"/>
    </row>
    <row r="7" spans="1:39" ht="24">
      <c r="A7" s="3730"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0.45250000000000001</v>
      </c>
      <c r="T7" s="2622">
        <f t="shared" ca="1" si="0"/>
        <v>2192</v>
      </c>
      <c r="U7" s="2611"/>
      <c r="V7" s="2622">
        <f t="shared" ca="1" si="1"/>
        <v>0</v>
      </c>
      <c r="W7" s="3443" t="s">
        <v>2717</v>
      </c>
      <c r="X7" s="2612" t="str">
        <f>G2</f>
        <v>九级</v>
      </c>
      <c r="Y7" s="2612" t="s">
        <v>2718</v>
      </c>
      <c r="Z7" s="2613">
        <f>G3</f>
        <v>1.8</v>
      </c>
      <c r="AA7" s="2044"/>
      <c r="AB7" s="2044"/>
      <c r="AC7" s="2045"/>
      <c r="AD7" s="2614"/>
      <c r="AE7" s="2614"/>
      <c r="AF7" s="2614"/>
      <c r="AG7" s="2614"/>
      <c r="AH7" s="2614"/>
      <c r="AI7" s="2614"/>
      <c r="AJ7" s="2615"/>
    </row>
    <row r="8" spans="1:39" ht="25.5">
      <c r="A8" s="3731"/>
      <c r="B8" s="1337" t="s">
        <v>909</v>
      </c>
      <c r="C8" s="1443" t="s">
        <v>3218</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17" t="s">
        <v>2735</v>
      </c>
      <c r="X8" s="3718"/>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3470</v>
      </c>
      <c r="N9" s="1774">
        <f>SUMPRODUCT((因素修正幅度!B245:B289=I2)*(因素修正幅度!C3:F3=E2)*(因素修正幅度!C245:F289))</f>
        <v>0.15</v>
      </c>
      <c r="O9" s="3200"/>
      <c r="P9" s="2041"/>
      <c r="Q9" s="2041"/>
      <c r="R9" s="2622">
        <v>8</v>
      </c>
      <c r="S9" s="2611"/>
      <c r="T9" s="2622">
        <f t="shared" ca="1" si="0"/>
        <v>0</v>
      </c>
      <c r="U9" s="2611"/>
      <c r="V9" s="2622">
        <f t="shared" ca="1" si="1"/>
        <v>0</v>
      </c>
      <c r="W9" s="3716"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16"/>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16" t="s">
        <v>2733</v>
      </c>
      <c r="X11" s="1017" t="s">
        <v>2718</v>
      </c>
      <c r="Y11" s="1555">
        <f>$G$3</f>
        <v>1.8</v>
      </c>
      <c r="Z11" s="1555">
        <f t="shared" ref="Z11:AJ11" si="3">$G$3</f>
        <v>1.8</v>
      </c>
      <c r="AA11" s="1555">
        <f t="shared" si="3"/>
        <v>1.8</v>
      </c>
      <c r="AB11" s="1555">
        <f t="shared" si="3"/>
        <v>1.8</v>
      </c>
      <c r="AC11" s="1555">
        <f t="shared" si="3"/>
        <v>1.8</v>
      </c>
      <c r="AD11" s="1555">
        <f t="shared" si="3"/>
        <v>1.8</v>
      </c>
      <c r="AE11" s="1555">
        <f t="shared" si="3"/>
        <v>1.8</v>
      </c>
      <c r="AF11" s="1555">
        <f t="shared" si="3"/>
        <v>1.8</v>
      </c>
      <c r="AG11" s="1555">
        <f t="shared" si="3"/>
        <v>1.8</v>
      </c>
      <c r="AH11" s="1555">
        <f t="shared" si="3"/>
        <v>1.8</v>
      </c>
      <c r="AI11" s="1555">
        <f t="shared" si="3"/>
        <v>1.8</v>
      </c>
      <c r="AJ11" s="1555">
        <f t="shared" si="3"/>
        <v>1.8</v>
      </c>
    </row>
    <row r="12" spans="1:39" ht="25.5" thickBot="1">
      <c r="A12" s="3730"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16"/>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3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16"/>
      <c r="X13" s="2619"/>
      <c r="Y13" s="2618">
        <f>(-0.163*(Y12^2)-0.59*Y12+7617)*(10^(-4))/Y11</f>
        <v>0.42316666666666669</v>
      </c>
      <c r="Z13" s="2618">
        <f t="shared" ref="Z13:AJ13" si="5">(-0.163*(Z12^2)-0.59*Z12+7617)*(10^(-4))/Z11</f>
        <v>0.42316666666666669</v>
      </c>
      <c r="AA13" s="2618">
        <f t="shared" si="5"/>
        <v>0.42316666666666669</v>
      </c>
      <c r="AB13" s="2618">
        <f t="shared" si="5"/>
        <v>0.42316666666666669</v>
      </c>
      <c r="AC13" s="2618">
        <f t="shared" si="5"/>
        <v>0.42316666666666669</v>
      </c>
      <c r="AD13" s="2618">
        <f t="shared" si="5"/>
        <v>0.42316666666666669</v>
      </c>
      <c r="AE13" s="2618">
        <f t="shared" si="5"/>
        <v>0.42316666666666669</v>
      </c>
      <c r="AF13" s="2618">
        <f t="shared" si="5"/>
        <v>0.42316666666666669</v>
      </c>
      <c r="AG13" s="2618">
        <f t="shared" si="5"/>
        <v>0.42316666666666669</v>
      </c>
      <c r="AH13" s="2618">
        <f t="shared" si="5"/>
        <v>0.42316666666666669</v>
      </c>
      <c r="AI13" s="2618">
        <f t="shared" si="5"/>
        <v>0.42316666666666669</v>
      </c>
      <c r="AJ13" s="2618">
        <f t="shared" si="5"/>
        <v>0.42316666666666669</v>
      </c>
    </row>
    <row r="14" spans="1:39" ht="12.75" customHeight="1">
      <c r="A14" s="3732"/>
      <c r="B14" s="1374"/>
      <c r="C14" s="1375"/>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3"/>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30" t="s">
        <v>1813</v>
      </c>
      <c r="B16" s="1350" t="s">
        <v>925</v>
      </c>
      <c r="C16" s="1021">
        <f>ROUND(IF(F17="与级别开发程度一致",0,(G17-E17)/C17),0)</f>
        <v>0</v>
      </c>
      <c r="D16" s="3724" t="s">
        <v>929</v>
      </c>
      <c r="E16" s="3725"/>
      <c r="F16" s="3724" t="s">
        <v>926</v>
      </c>
      <c r="G16" s="3725"/>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34"/>
      <c r="B17" s="2820" t="s">
        <v>928</v>
      </c>
      <c r="C17" s="2821">
        <f>SUMPRODUCT((修正!A2:A5=E2)*(修正!B1:M1=G2)*(修正!B2:M5))</f>
        <v>2</v>
      </c>
      <c r="D17" s="2822" t="str">
        <f>IF(OR(G2="八级",G2="九级",G2="十级",G2="十一级",G2="十二级"),"五通一平","七通一平")</f>
        <v>五通一平</v>
      </c>
      <c r="E17" s="2812">
        <f>SUMPRODUCT((修正!B1:M1=G2)*(修正!B15:M15))</f>
        <v>155</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3213</v>
      </c>
      <c r="C21" s="1123">
        <f>IF(B21="容积率修正",IF(G3&lt;=10,D22,J22),C23)</f>
        <v>1.0531999999999999</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1.0531999999999999</v>
      </c>
      <c r="E22" s="1008">
        <f>ROUNDDOWN(G3,1)</f>
        <v>1.8</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1.0531999999999999</v>
      </c>
      <c r="G22" s="1008">
        <f>ROUNDUP(G3,1)</f>
        <v>1.8</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1.0531999999999999</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108038</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5103</v>
      </c>
      <c r="D29" s="1418">
        <f>'数据-基础表'!I13</f>
        <v>211713.77</v>
      </c>
      <c r="E29" s="1736">
        <f ca="1">ROUND(C29*D29/10000,0)</f>
        <v>108038</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1276</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26"/>
      <c r="B33" s="1438" t="s">
        <v>974</v>
      </c>
      <c r="C33" s="1028">
        <f ca="1">ROUND(D5*C19*C20*C24*F33,0)</f>
        <v>2907</v>
      </c>
      <c r="D33" s="1451"/>
      <c r="E33" s="1017">
        <f ca="1">ROUND(C33*D33/10000,0)</f>
        <v>0</v>
      </c>
      <c r="F33" s="1017">
        <f>SUMIF(修正!A45:A56,G2,修正!B45:B56)</f>
        <v>0.6</v>
      </c>
      <c r="G33" s="1017">
        <f t="shared" ref="G33" ca="1" si="6">ROUND(IF(E2="工业",C33*$M$39,C33*$M$38),0)</f>
        <v>727</v>
      </c>
      <c r="H33" s="1017">
        <f>D33</f>
        <v>0</v>
      </c>
      <c r="I33" s="1017">
        <f ca="1">ROUND(G33*H33/10000,0)</f>
        <v>0</v>
      </c>
      <c r="J33" s="3726"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27"/>
      <c r="B34" s="1368" t="s">
        <v>975</v>
      </c>
      <c r="C34" s="1028">
        <f ca="1">ROUND(D5*C19*C20*C24*F34,0)</f>
        <v>1454</v>
      </c>
      <c r="D34" s="1451"/>
      <c r="E34" s="1017">
        <f t="shared" ref="E34:E39" ca="1" si="7">ROUND(C34*D34/10000,0)</f>
        <v>0</v>
      </c>
      <c r="F34" s="1017">
        <f>SUMIF(修正!A45:A56,G2,修正!C45:C56)</f>
        <v>0.3</v>
      </c>
      <c r="G34" s="1017">
        <f ca="1">ROUND(IF(E2="工业",C34*$M$39,C34*$M$38),0)</f>
        <v>364</v>
      </c>
      <c r="H34" s="1017">
        <f t="shared" ref="H34:H39" si="8">D34</f>
        <v>0</v>
      </c>
      <c r="I34" s="1017">
        <f t="shared" ref="I34:I39" ca="1" si="9">ROUND(G34*H34/10000,0)</f>
        <v>0</v>
      </c>
      <c r="J34" s="372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27"/>
      <c r="B35" s="1368" t="s">
        <v>976</v>
      </c>
      <c r="C35" s="1028">
        <f ca="1">ROUND(D5*C19*C20*C24*F35,0)</f>
        <v>969</v>
      </c>
      <c r="D35" s="1451"/>
      <c r="E35" s="1017">
        <f t="shared" ca="1" si="7"/>
        <v>0</v>
      </c>
      <c r="F35" s="1017">
        <f>SUMIF(修正!A45:A56,G2,修正!D45:D56)</f>
        <v>0.2</v>
      </c>
      <c r="G35" s="1017">
        <f ca="1">ROUND(IF(E2="工业",C35*$M$39,C35*$M$38),0)</f>
        <v>242</v>
      </c>
      <c r="H35" s="1017">
        <f t="shared" si="8"/>
        <v>0</v>
      </c>
      <c r="I35" s="1017">
        <f t="shared" ca="1" si="9"/>
        <v>0</v>
      </c>
      <c r="J35" s="372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8"/>
      <c r="B36" s="1368" t="s">
        <v>977</v>
      </c>
      <c r="C36" s="1028">
        <f ca="1">ROUND(D5*C19*C20*C24*F36,0)</f>
        <v>969</v>
      </c>
      <c r="D36" s="1451"/>
      <c r="E36" s="1017">
        <f t="shared" ca="1" si="7"/>
        <v>0</v>
      </c>
      <c r="F36" s="1017">
        <f>SUMIF(修正!A45:A56,G2,修正!E45:E56)</f>
        <v>0.2</v>
      </c>
      <c r="G36" s="1017">
        <f ca="1">ROUND(IF(E2="工业",C36*$M$39,C36*$M$38),0)</f>
        <v>242</v>
      </c>
      <c r="H36" s="1017">
        <f t="shared" si="8"/>
        <v>0</v>
      </c>
      <c r="I36" s="1017">
        <f t="shared" ca="1" si="9"/>
        <v>0</v>
      </c>
      <c r="J36" s="372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969</v>
      </c>
      <c r="D37" s="1451"/>
      <c r="E37" s="1017">
        <f t="shared" ca="1" si="7"/>
        <v>0</v>
      </c>
      <c r="F37" s="1028">
        <f>SUMIF(修正!A45:A56,G2,修正!F45:F56)</f>
        <v>0.2</v>
      </c>
      <c r="G37" s="1017">
        <f ca="1">ROUND(IF(E2="工业",C37*$M$39,C37*$M$38),0)</f>
        <v>242</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hidden="1">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hidden="1">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4"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6"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3445"/>
      <c r="L90" s="3445"/>
      <c r="M90" s="3445"/>
      <c r="N90" s="3445"/>
    </row>
    <row r="91" spans="1:40">
      <c r="A91" s="3736" t="s">
        <v>873</v>
      </c>
      <c r="B91" s="3736" t="s">
        <v>1609</v>
      </c>
      <c r="C91" s="1105" t="s">
        <v>1610</v>
      </c>
      <c r="D91" s="1106"/>
      <c r="E91" s="1106"/>
      <c r="F91" s="1106"/>
      <c r="G91" s="1106"/>
      <c r="H91" s="1106"/>
      <c r="I91" s="1106"/>
      <c r="J91" s="1107"/>
      <c r="K91" s="1099"/>
      <c r="L91" s="1099"/>
      <c r="M91" s="1099"/>
      <c r="N91" s="1099"/>
    </row>
    <row r="92" spans="1:40">
      <c r="A92" s="3736"/>
      <c r="B92" s="3736"/>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1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0"/>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1"/>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9" t="s">
        <v>1612</v>
      </c>
      <c r="B101" s="1112" t="s">
        <v>858</v>
      </c>
      <c r="C101" s="1113">
        <f>$G$3</f>
        <v>1.8</v>
      </c>
      <c r="D101" s="1113">
        <f t="shared" ref="D101:N101" si="31">$G$3</f>
        <v>1.8</v>
      </c>
      <c r="E101" s="1113">
        <f t="shared" si="31"/>
        <v>1.8</v>
      </c>
      <c r="F101" s="1113">
        <f t="shared" si="31"/>
        <v>1.8</v>
      </c>
      <c r="G101" s="1113">
        <f t="shared" si="31"/>
        <v>1.8</v>
      </c>
      <c r="H101" s="1113">
        <f t="shared" si="31"/>
        <v>1.8</v>
      </c>
      <c r="I101" s="1113">
        <f t="shared" si="31"/>
        <v>1.8</v>
      </c>
      <c r="J101" s="1113">
        <f t="shared" si="31"/>
        <v>1.8</v>
      </c>
      <c r="K101" s="1113">
        <f t="shared" si="31"/>
        <v>1.8</v>
      </c>
      <c r="L101" s="1113">
        <f t="shared" si="31"/>
        <v>1.8</v>
      </c>
      <c r="M101" s="1113">
        <f t="shared" si="31"/>
        <v>1.8</v>
      </c>
      <c r="N101" s="1113">
        <f t="shared" si="31"/>
        <v>1.8</v>
      </c>
    </row>
    <row r="102" spans="1:14">
      <c r="A102" s="3720"/>
      <c r="B102" s="1108">
        <v>1</v>
      </c>
      <c r="C102" s="1109">
        <f>1.9362/C101</f>
        <v>1.0756666666666665</v>
      </c>
      <c r="D102" s="1109">
        <f>1.9362/D101</f>
        <v>1.0756666666666665</v>
      </c>
      <c r="E102" s="1109">
        <f>1.8629/E101</f>
        <v>1.0349444444444444</v>
      </c>
      <c r="F102" s="1109">
        <f>1.8629/F101</f>
        <v>1.0349444444444444</v>
      </c>
      <c r="G102" s="1109">
        <f>1.8629/G101</f>
        <v>1.0349444444444444</v>
      </c>
      <c r="H102" s="1109">
        <f>1.8629/H101</f>
        <v>1.0349444444444444</v>
      </c>
      <c r="I102" s="1109">
        <f>1.8629/I101</f>
        <v>1.0349444444444444</v>
      </c>
      <c r="J102" s="1109">
        <f>1.942/J101</f>
        <v>1.0788888888888888</v>
      </c>
      <c r="K102" s="1109">
        <f>1.942/K101</f>
        <v>1.0788888888888888</v>
      </c>
      <c r="L102" s="1109">
        <f>1.942/L101</f>
        <v>1.0788888888888888</v>
      </c>
      <c r="M102" s="1109">
        <f>1.942/M101</f>
        <v>1.0788888888888888</v>
      </c>
      <c r="N102" s="1109">
        <f>1.942/N101</f>
        <v>1.0788888888888888</v>
      </c>
    </row>
    <row r="103" spans="1:14">
      <c r="A103" s="3720"/>
      <c r="B103" s="1108">
        <v>2</v>
      </c>
      <c r="C103" s="1109">
        <f>1.4198/C101</f>
        <v>0.78877777777777769</v>
      </c>
      <c r="D103" s="1109">
        <f>1.4198/D101</f>
        <v>0.78877777777777769</v>
      </c>
      <c r="E103" s="1109">
        <f>1.3372/E101</f>
        <v>0.74288888888888882</v>
      </c>
      <c r="F103" s="1109">
        <f>1.3372/F101</f>
        <v>0.74288888888888882</v>
      </c>
      <c r="G103" s="1109">
        <f>1.3372/G101</f>
        <v>0.74288888888888882</v>
      </c>
      <c r="H103" s="1109">
        <f>1.3372/H101</f>
        <v>0.74288888888888882</v>
      </c>
      <c r="I103" s="1109">
        <f>1.3372/I101</f>
        <v>0.74288888888888882</v>
      </c>
      <c r="J103" s="1109">
        <f>1.2799/J101</f>
        <v>0.71105555555555555</v>
      </c>
      <c r="K103" s="1109">
        <f>1.2799/K101</f>
        <v>0.71105555555555555</v>
      </c>
      <c r="L103" s="1109">
        <f>1.2799/L101</f>
        <v>0.71105555555555555</v>
      </c>
      <c r="M103" s="1109">
        <f>1.2799/M101</f>
        <v>0.71105555555555555</v>
      </c>
      <c r="N103" s="1109">
        <f>1.2799/N101</f>
        <v>0.71105555555555555</v>
      </c>
    </row>
    <row r="104" spans="1:14">
      <c r="A104" s="3720"/>
      <c r="B104" s="1108">
        <v>3</v>
      </c>
      <c r="C104" s="1109">
        <f>1.1594/C101</f>
        <v>0.64411111111111108</v>
      </c>
      <c r="D104" s="1109">
        <f>1.1594/D101</f>
        <v>0.64411111111111108</v>
      </c>
      <c r="E104" s="1109">
        <f>1.0788/E101</f>
        <v>0.59933333333333327</v>
      </c>
      <c r="F104" s="1109">
        <f>1.0788/F101</f>
        <v>0.59933333333333327</v>
      </c>
      <c r="G104" s="1109">
        <f>1.0788/G101</f>
        <v>0.59933333333333327</v>
      </c>
      <c r="H104" s="1109">
        <f>1.0788/H101</f>
        <v>0.59933333333333327</v>
      </c>
      <c r="I104" s="1109">
        <f>1.0788/I101</f>
        <v>0.59933333333333327</v>
      </c>
      <c r="J104" s="1109">
        <f>1.0072/J101</f>
        <v>0.55955555555555558</v>
      </c>
      <c r="K104" s="1109">
        <f>1.0072/K101</f>
        <v>0.55955555555555558</v>
      </c>
      <c r="L104" s="1109">
        <f>1.0072/L101</f>
        <v>0.55955555555555558</v>
      </c>
      <c r="M104" s="1109">
        <f>1.0072/M101</f>
        <v>0.55955555555555558</v>
      </c>
      <c r="N104" s="1109">
        <f>1.0072/N101</f>
        <v>0.55955555555555558</v>
      </c>
    </row>
    <row r="105" spans="1:14">
      <c r="A105" s="3720"/>
      <c r="B105" s="1108">
        <v>4</v>
      </c>
      <c r="C105" s="1109">
        <f>0.9622/C101</f>
        <v>0.53455555555555556</v>
      </c>
      <c r="D105" s="1109">
        <f>0.9622/D101</f>
        <v>0.53455555555555556</v>
      </c>
      <c r="E105" s="1109">
        <f>0.8656/E101</f>
        <v>0.48088888888888892</v>
      </c>
      <c r="F105" s="1109">
        <f>0.8656/F101</f>
        <v>0.48088888888888892</v>
      </c>
      <c r="G105" s="1109">
        <f>0.8656/G101</f>
        <v>0.48088888888888892</v>
      </c>
      <c r="H105" s="1109">
        <f>0.8656/H101</f>
        <v>0.48088888888888892</v>
      </c>
      <c r="I105" s="1109">
        <f>0.8656/I101</f>
        <v>0.48088888888888892</v>
      </c>
      <c r="J105" s="1109">
        <f>0.7525/J101</f>
        <v>0.41805555555555551</v>
      </c>
      <c r="K105" s="1109">
        <f>0.7525/K101</f>
        <v>0.41805555555555551</v>
      </c>
      <c r="L105" s="1109">
        <f>0.7525/L101</f>
        <v>0.41805555555555551</v>
      </c>
      <c r="M105" s="1109">
        <f>0.7525/M101</f>
        <v>0.41805555555555551</v>
      </c>
      <c r="N105" s="1109">
        <f>0.7525/N101</f>
        <v>0.41805555555555551</v>
      </c>
    </row>
    <row r="106" spans="1:14">
      <c r="A106" s="3720"/>
      <c r="B106" s="1108">
        <v>5</v>
      </c>
      <c r="C106" s="1109">
        <f>0.8417/C101</f>
        <v>0.46761111111111109</v>
      </c>
      <c r="D106" s="1109">
        <f>0.8417/D101</f>
        <v>0.46761111111111109</v>
      </c>
      <c r="E106" s="1109">
        <f>0.7371/E101</f>
        <v>0.40949999999999998</v>
      </c>
      <c r="F106" s="1109">
        <f>0.7371/F101</f>
        <v>0.40949999999999998</v>
      </c>
      <c r="G106" s="1109">
        <f>0.7371/G101</f>
        <v>0.40949999999999998</v>
      </c>
      <c r="H106" s="1109">
        <f>0.7371/H101</f>
        <v>0.40949999999999998</v>
      </c>
      <c r="I106" s="1109">
        <f>0.7371/I101</f>
        <v>0.40949999999999998</v>
      </c>
      <c r="J106" s="1109">
        <f>0.5659/J101</f>
        <v>0.31438888888888888</v>
      </c>
      <c r="K106" s="1109">
        <f>0.5659/K101</f>
        <v>0.31438888888888888</v>
      </c>
      <c r="L106" s="1109">
        <f>0.5659/L101</f>
        <v>0.31438888888888888</v>
      </c>
      <c r="M106" s="1109">
        <f>0.5659/M101</f>
        <v>0.31438888888888888</v>
      </c>
      <c r="N106" s="1109">
        <f>0.5659/N101</f>
        <v>0.31438888888888888</v>
      </c>
    </row>
    <row r="107" spans="1:14">
      <c r="A107" s="3720"/>
      <c r="B107" s="1108">
        <v>6</v>
      </c>
      <c r="C107" s="1109">
        <f>0.7608/C101</f>
        <v>0.42266666666666669</v>
      </c>
      <c r="D107" s="1109">
        <f>0.7608/D101</f>
        <v>0.42266666666666669</v>
      </c>
      <c r="E107" s="1109">
        <f>0.6482/E101</f>
        <v>0.3601111111111111</v>
      </c>
      <c r="F107" s="1109">
        <f>0.6482/F101</f>
        <v>0.3601111111111111</v>
      </c>
      <c r="G107" s="1109">
        <f>0.6482/G101</f>
        <v>0.3601111111111111</v>
      </c>
      <c r="H107" s="1109">
        <f>0.6482/H101</f>
        <v>0.3601111111111111</v>
      </c>
      <c r="I107" s="1109">
        <f>0.6482/I101</f>
        <v>0.3601111111111111</v>
      </c>
      <c r="J107" s="1109">
        <f>0.4525/J101</f>
        <v>0.25138888888888888</v>
      </c>
      <c r="K107" s="1109">
        <f>0.4525/K101</f>
        <v>0.25138888888888888</v>
      </c>
      <c r="L107" s="1109">
        <f>0.4525/L101</f>
        <v>0.25138888888888888</v>
      </c>
      <c r="M107" s="1109">
        <f>0.4525/M101</f>
        <v>0.25138888888888888</v>
      </c>
      <c r="N107" s="1109">
        <f>0.4525/N101</f>
        <v>0.25138888888888888</v>
      </c>
    </row>
    <row r="108" spans="1:14">
      <c r="A108" s="3720"/>
      <c r="B108" s="3722"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1"/>
      <c r="B109" s="3723"/>
      <c r="C109" s="1111">
        <f>(-0.163*(C108^2)-0.59*C108+7617)*(10^(-4))/C101</f>
        <v>0.42316666666666669</v>
      </c>
      <c r="D109" s="1111">
        <f>(-0.163*(D108^2)-0.59*D108+7617)*(10^(-4))/D101</f>
        <v>0.42316666666666669</v>
      </c>
      <c r="E109" s="1111">
        <f>(-0.161*(E108^2)-7.509*E108+6533)*(10^(-4))/E101</f>
        <v>0.36294444444444446</v>
      </c>
      <c r="F109" s="1111">
        <f>(-0.161*(F108^2)-7.509*F108+6533)*(10^(-4))/F101</f>
        <v>0.36294444444444446</v>
      </c>
      <c r="G109" s="1111">
        <f>(-0.161*(G108^2)-7.509*G108+6533)*(10^(-4))/G101</f>
        <v>0.36294444444444446</v>
      </c>
      <c r="H109" s="1111">
        <f>(-0.161*(H108^2)-7.509*H108+6533)*(10^(-4))/H101</f>
        <v>0.36294444444444446</v>
      </c>
      <c r="I109" s="1111">
        <f>(-0.161*(I108^2)-7.509*I108+6533)*(10^(-4))/I101</f>
        <v>0.36294444444444446</v>
      </c>
      <c r="J109" s="1111">
        <f>(-0.214*(J108^2)-21.991*J108+4665)*(10^(-4))/J101</f>
        <v>0.25916666666666666</v>
      </c>
      <c r="K109" s="1111">
        <f>(-0.214*(K108^2)-21.991*K108+4665)*(10^(-4))/K101</f>
        <v>0.25916666666666666</v>
      </c>
      <c r="L109" s="1111">
        <f>(-0.214*(L108^2)-21.991*L108+4665)*(10^(-4))/L101</f>
        <v>0.25916666666666666</v>
      </c>
      <c r="M109" s="1111">
        <f>(-0.214*(M108^2)-21.991*M108+4665)*(10^(-4))/M101</f>
        <v>0.25916666666666666</v>
      </c>
      <c r="N109" s="1111">
        <f>(-0.214*(N108^2)-21.991*N108+4665)*(10^(-4))/N101</f>
        <v>0.25916666666666666</v>
      </c>
    </row>
    <row r="110" spans="1:14">
      <c r="A110" s="3729" t="s">
        <v>1614</v>
      </c>
      <c r="B110" s="3729"/>
      <c r="C110" s="3729"/>
      <c r="D110" s="3729"/>
      <c r="E110" s="3729"/>
      <c r="F110" s="3729"/>
      <c r="G110" s="3729"/>
      <c r="H110" s="3729"/>
      <c r="I110" s="3729"/>
      <c r="J110" s="3729"/>
      <c r="K110" s="3444"/>
      <c r="L110" s="3444"/>
      <c r="M110" s="3444"/>
      <c r="N110" s="3444"/>
    </row>
    <row r="112" spans="1:14" ht="12.75" thickBot="1"/>
    <row r="113" spans="1:13" ht="25.5" thickBot="1">
      <c r="A113" s="985" t="s">
        <v>871</v>
      </c>
      <c r="B113" s="2277">
        <f>G3</f>
        <v>1.8</v>
      </c>
      <c r="C113" s="986" t="s">
        <v>872</v>
      </c>
      <c r="D113" s="987">
        <f>SUMPRODUCT((A115:A118=F113)*(B114:M114=H113)*B115:M118)</f>
        <v>0.66110000000000002</v>
      </c>
      <c r="E113" s="988" t="s">
        <v>873</v>
      </c>
      <c r="F113" s="989" t="str">
        <f>E2</f>
        <v>商业</v>
      </c>
      <c r="G113" s="988" t="s">
        <v>874</v>
      </c>
      <c r="H113" s="989" t="str">
        <f>G2</f>
        <v>九级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0.91659999999999997</v>
      </c>
      <c r="C115" s="999">
        <f>B115</f>
        <v>0.91659999999999997</v>
      </c>
      <c r="D115" s="999">
        <f>ROUND(0.8331-0.0109*B113,4)</f>
        <v>0.8135</v>
      </c>
      <c r="E115" s="999">
        <f>D115</f>
        <v>0.8135</v>
      </c>
      <c r="F115" s="999">
        <f>E115</f>
        <v>0.8135</v>
      </c>
      <c r="G115" s="999">
        <f>F115</f>
        <v>0.8135</v>
      </c>
      <c r="H115" s="999">
        <f>G115</f>
        <v>0.8135</v>
      </c>
      <c r="I115" s="999">
        <f>ROUND(0.689-0.0155*B113,4)</f>
        <v>0.66110000000000002</v>
      </c>
      <c r="J115" s="999">
        <f t="shared" ref="J115:M118" si="33">I115</f>
        <v>0.66110000000000002</v>
      </c>
      <c r="K115" s="999">
        <f t="shared" si="33"/>
        <v>0.66110000000000002</v>
      </c>
      <c r="L115" s="999">
        <f t="shared" si="33"/>
        <v>0.66110000000000002</v>
      </c>
      <c r="M115" s="1000">
        <f t="shared" si="33"/>
        <v>0.66110000000000002</v>
      </c>
    </row>
    <row r="116" spans="1:13" ht="12.75">
      <c r="A116" s="998" t="s">
        <v>876</v>
      </c>
      <c r="B116" s="999">
        <f>ROUND(0.949-0.012*B113,4)</f>
        <v>0.9274</v>
      </c>
      <c r="C116" s="999">
        <f>B116</f>
        <v>0.9274</v>
      </c>
      <c r="D116" s="999">
        <f>ROUND(0.8567-0.013*B113,4)</f>
        <v>0.83330000000000004</v>
      </c>
      <c r="E116" s="999">
        <f t="shared" ref="E116:H117" si="34">D116</f>
        <v>0.83330000000000004</v>
      </c>
      <c r="F116" s="999">
        <f t="shared" si="34"/>
        <v>0.83330000000000004</v>
      </c>
      <c r="G116" s="999">
        <f t="shared" si="34"/>
        <v>0.83330000000000004</v>
      </c>
      <c r="H116" s="999">
        <f t="shared" si="34"/>
        <v>0.83330000000000004</v>
      </c>
      <c r="I116" s="999">
        <f>ROUND(0.7694-0.014*B113,4)</f>
        <v>0.74419999999999997</v>
      </c>
      <c r="J116" s="999">
        <f t="shared" si="33"/>
        <v>0.74419999999999997</v>
      </c>
      <c r="K116" s="999">
        <f t="shared" si="33"/>
        <v>0.74419999999999997</v>
      </c>
      <c r="L116" s="999">
        <f t="shared" si="33"/>
        <v>0.74419999999999997</v>
      </c>
      <c r="M116" s="1000">
        <f t="shared" si="33"/>
        <v>0.74419999999999997</v>
      </c>
    </row>
    <row r="117" spans="1:13" ht="12.75">
      <c r="A117" s="1001" t="s">
        <v>877</v>
      </c>
      <c r="B117" s="999">
        <f>ROUND(0.8808-0.006*B113,4)</f>
        <v>0.87</v>
      </c>
      <c r="C117" s="999">
        <f>B117</f>
        <v>0.87</v>
      </c>
      <c r="D117" s="999">
        <f>ROUND(0.8748-0.008*B113,4)</f>
        <v>0.86040000000000005</v>
      </c>
      <c r="E117" s="999">
        <f t="shared" si="34"/>
        <v>0.86040000000000005</v>
      </c>
      <c r="F117" s="999">
        <f t="shared" si="34"/>
        <v>0.86040000000000005</v>
      </c>
      <c r="G117" s="999">
        <f t="shared" si="34"/>
        <v>0.86040000000000005</v>
      </c>
      <c r="H117" s="999">
        <f t="shared" si="34"/>
        <v>0.86040000000000005</v>
      </c>
      <c r="I117" s="999">
        <f>ROUND(0.7412-0.0095*B113,4)</f>
        <v>0.72409999999999997</v>
      </c>
      <c r="J117" s="999">
        <f t="shared" si="33"/>
        <v>0.72409999999999997</v>
      </c>
      <c r="K117" s="999">
        <f t="shared" si="33"/>
        <v>0.72409999999999997</v>
      </c>
      <c r="L117" s="999">
        <f t="shared" si="33"/>
        <v>0.72409999999999997</v>
      </c>
      <c r="M117" s="1000">
        <f t="shared" si="33"/>
        <v>0.72409999999999997</v>
      </c>
    </row>
    <row r="118" spans="1:13" ht="13.5" thickBot="1">
      <c r="A118" s="1002" t="s">
        <v>878</v>
      </c>
      <c r="B118" s="1003">
        <f>ROUND(0.7275-0.01*B113,4)</f>
        <v>0.70950000000000002</v>
      </c>
      <c r="C118" s="1003">
        <f>B118</f>
        <v>0.70950000000000002</v>
      </c>
      <c r="D118" s="1003">
        <f>ROUND(0.7043-0.012*B113,4)</f>
        <v>0.68269999999999997</v>
      </c>
      <c r="E118" s="1003">
        <f>D118</f>
        <v>0.68269999999999997</v>
      </c>
      <c r="F118" s="1003">
        <f>E118</f>
        <v>0.68269999999999997</v>
      </c>
      <c r="G118" s="1003">
        <f>ROUND(0.6299-0.0122*B113,4)</f>
        <v>0.6079</v>
      </c>
      <c r="H118" s="1003">
        <f>G118</f>
        <v>0.6079</v>
      </c>
      <c r="I118" s="1003">
        <f>ROUND(0.5667-0.0136*B113,4)</f>
        <v>0.54220000000000002</v>
      </c>
      <c r="J118" s="1003">
        <f t="shared" si="33"/>
        <v>0.54220000000000002</v>
      </c>
      <c r="K118" s="1003">
        <f t="shared" si="33"/>
        <v>0.54220000000000002</v>
      </c>
      <c r="L118" s="1003">
        <f t="shared" si="33"/>
        <v>0.54220000000000002</v>
      </c>
      <c r="M118" s="1004">
        <f t="shared" si="33"/>
        <v>0.54220000000000002</v>
      </c>
    </row>
  </sheetData>
  <sheetProtection algorithmName="SHA-512" hashValue="X72dlY88tXorJy++vP6t46o4C134+vjHiDFwrED60MYNA7BuyBGNSdfC3b6BOS6qndrHVUYYNu6vHq+hW7hd7g==" saltValue="LR/EeTlfrXpAQW4Q8w624w==" spinCount="100000"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xr:uid="{7AF2B91E-2CF6-486A-9957-C0C447951D32}">
      <formula1>七通一平</formula1>
    </dataValidation>
    <dataValidation type="list" allowBlank="1" showInputMessage="1" showErrorMessage="1" sqref="C69:C77 C80:C87 C47:C55 C58:C66" xr:uid="{82011728-4DF6-48CA-A0EF-9F49B707DF26}">
      <formula1>五等判定</formula1>
    </dataValidation>
    <dataValidation type="list" allowBlank="1" showInputMessage="1" showErrorMessage="1" sqref="E3" xr:uid="{0B22B1B5-C463-42AD-A352-BFEB56951CF7}">
      <formula1>二级分类</formula1>
    </dataValidation>
    <dataValidation type="list" allowBlank="1" showInputMessage="1" showErrorMessage="1" sqref="C8" xr:uid="{50F4B36C-1607-4EE3-91E8-C6982AE7BE40}">
      <formula1>商业街名称</formula1>
    </dataValidation>
    <dataValidation type="list" allowBlank="1" showInputMessage="1" showErrorMessage="1" sqref="F3" xr:uid="{C9D18AF7-E26E-4309-8B37-C6011AEAD55E}">
      <formula1>"宗地容积率,估价对象容积率,自定义容积率"</formula1>
    </dataValidation>
    <dataValidation type="list" allowBlank="1" showInputMessage="1" showErrorMessage="1" sqref="H19" xr:uid="{E81E9420-A85D-4BAB-A006-95F843BD7B9A}">
      <formula1>"地价指数,季度增幅（自定义）,按公示增长率计算"</formula1>
    </dataValidation>
    <dataValidation type="list" allowBlank="1" showInputMessage="1" showErrorMessage="1" sqref="F14" xr:uid="{E5AE053A-BCDB-4E6F-AC37-796F27A8B476}">
      <formula1>"500米范围内,500-1000米,1000米以外"</formula1>
    </dataValidation>
    <dataValidation type="list" allowBlank="1" showInputMessage="1" showErrorMessage="1" sqref="C14:E14" xr:uid="{703658D9-42AA-4B32-98B0-D0F522E41F6B}">
      <formula1>"有,无"</formula1>
    </dataValidation>
    <dataValidation type="list" allowBlank="1" showInputMessage="1" showErrorMessage="1" sqref="B21" xr:uid="{403934F4-C4AD-4A36-8CF8-44100C77025A}">
      <formula1>"容积率修正,楼层修正"</formula1>
    </dataValidation>
    <dataValidation type="list" allowBlank="1" showInputMessage="1" showErrorMessage="1" sqref="F17" xr:uid="{68F38ADA-EDE4-47F4-A0B6-454770014672}">
      <formula1>"与级别开发程度一致,与级别开发程度不一致"</formula1>
    </dataValidation>
    <dataValidation type="list" allowBlank="1" showInputMessage="1" showErrorMessage="1" sqref="E2" xr:uid="{7D40C083-A248-4B04-9230-4A2EEC4FCB7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2886</v>
      </c>
      <c r="B1" s="3211"/>
      <c r="C1" s="3211"/>
      <c r="D1" s="3211"/>
      <c r="E1" s="3211"/>
      <c r="F1" s="3211"/>
      <c r="G1" s="3212"/>
      <c r="H1" s="3212"/>
      <c r="I1" s="3212"/>
      <c r="J1" s="3212"/>
      <c r="K1" s="3212"/>
      <c r="L1" s="3212"/>
      <c r="M1" s="3212"/>
      <c r="N1" s="3212"/>
    </row>
    <row r="2" spans="1:14" ht="14.25">
      <c r="A2" s="3217" t="s">
        <v>2881</v>
      </c>
      <c r="B2" s="3222">
        <f ca="1">SUMIF(B7:B14,"&lt;&gt;#ref!",B7:B14)</f>
        <v>0</v>
      </c>
      <c r="C2" s="3217" t="s">
        <v>2882</v>
      </c>
      <c r="D2" s="3214"/>
      <c r="E2" s="3214"/>
      <c r="F2" s="3214"/>
      <c r="G2" s="3212"/>
      <c r="H2" s="3212"/>
      <c r="I2" s="3212"/>
      <c r="J2" s="3212"/>
      <c r="K2" s="3212"/>
      <c r="L2" s="3212"/>
      <c r="M2" s="3212"/>
      <c r="N2" s="3212"/>
    </row>
    <row r="3" spans="1:14" ht="14.2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4.2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2887</v>
      </c>
      <c r="B6" s="3217" t="s">
        <v>2884</v>
      </c>
      <c r="C6" s="2756"/>
      <c r="D6" s="3214"/>
      <c r="E6" s="3217" t="s">
        <v>2885</v>
      </c>
      <c r="F6" s="3217" t="s">
        <v>2888</v>
      </c>
      <c r="G6" s="3212"/>
      <c r="H6" s="3212"/>
      <c r="I6" s="3212"/>
      <c r="J6" s="3212"/>
      <c r="K6" s="3212"/>
      <c r="L6" s="3212"/>
      <c r="M6" s="3212"/>
      <c r="N6" s="3212"/>
    </row>
    <row r="7" spans="1:14" ht="14.2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54" t="s">
        <v>2417</v>
      </c>
      <c r="C8" s="1713">
        <f ca="1">ROUND(F8*F10*F9*(1-F11)/10000,0)</f>
        <v>0</v>
      </c>
      <c r="D8" s="1710" t="s">
        <v>2488</v>
      </c>
      <c r="E8" s="61" t="s">
        <v>615</v>
      </c>
      <c r="F8" s="757">
        <f ca="1">INDIRECT("'数据-取费表'!u"&amp;$G$1)</f>
        <v>0</v>
      </c>
      <c r="G8" s="1501"/>
      <c r="H8" s="2326" t="s">
        <v>1799</v>
      </c>
      <c r="I8" s="3754" t="s">
        <v>2417</v>
      </c>
      <c r="J8" s="755">
        <f ca="1">ROUND(M8*M10*M9*(1-M11)/10000,0)</f>
        <v>0</v>
      </c>
      <c r="K8" s="339" t="s">
        <v>2488</v>
      </c>
      <c r="L8" s="756" t="s">
        <v>1713</v>
      </c>
      <c r="M8" s="757">
        <f ca="1">INDIRECT("'数据-取费表'!z"&amp;$G$1)</f>
        <v>0</v>
      </c>
    </row>
    <row r="9" spans="1:25" ht="18" customHeight="1">
      <c r="A9" s="2322"/>
      <c r="B9" s="3755"/>
      <c r="C9" s="1714"/>
      <c r="D9" s="1711"/>
      <c r="E9" s="61" t="s">
        <v>616</v>
      </c>
      <c r="F9" s="757">
        <f ca="1">IF(INDIRECT("'数据-取费表'!ah"&amp;$G$1)="",INDIRECT("'数据-取费表'!k"&amp;$G$1),INDIRECT("'数据-取费表'!ah"&amp;$G$1))</f>
        <v>0</v>
      </c>
      <c r="G9" s="1501"/>
      <c r="H9" s="2311"/>
      <c r="I9" s="3755"/>
      <c r="J9" s="760"/>
      <c r="K9" s="761"/>
      <c r="L9" s="756" t="s">
        <v>1714</v>
      </c>
      <c r="M9" s="757">
        <f ca="1">F9</f>
        <v>0</v>
      </c>
    </row>
    <row r="10" spans="1:25" ht="18" customHeight="1">
      <c r="A10" s="2315"/>
      <c r="B10" s="3756"/>
      <c r="C10" s="1714"/>
      <c r="D10" s="1711"/>
      <c r="E10" s="61" t="s">
        <v>617</v>
      </c>
      <c r="F10" s="757">
        <f ca="1">INDIRECT("'数据-取费表'!ai"&amp;$G$1)</f>
        <v>0</v>
      </c>
      <c r="G10" s="1501"/>
      <c r="H10" s="2311"/>
      <c r="I10" s="3756"/>
      <c r="J10" s="760"/>
      <c r="K10" s="761"/>
      <c r="L10" s="756" t="s">
        <v>1715</v>
      </c>
      <c r="M10" s="757">
        <f ca="1">INDIRECT("'数据-取费表'!ai"&amp;$G$1)</f>
        <v>0</v>
      </c>
    </row>
    <row r="11" spans="1:25" ht="18" customHeight="1">
      <c r="A11" s="758"/>
      <c r="B11" s="3757"/>
      <c r="C11" s="1714"/>
      <c r="D11" s="1711"/>
      <c r="E11" s="61" t="s">
        <v>618</v>
      </c>
      <c r="F11" s="766">
        <f ca="1">INDIRECT("'数据-取费表'!w"&amp;$G$1)</f>
        <v>0</v>
      </c>
      <c r="G11" s="1501"/>
      <c r="H11" s="2327"/>
      <c r="I11" s="3756"/>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53"/>
      <c r="J36" s="1934"/>
      <c r="K36" s="1935"/>
      <c r="L36" s="1934"/>
      <c r="M36" s="1934"/>
    </row>
    <row r="37" spans="1:18" ht="18" customHeight="1">
      <c r="A37" s="786"/>
      <c r="B37" s="765"/>
      <c r="C37" s="69"/>
      <c r="D37" s="787"/>
      <c r="E37" s="756" t="s">
        <v>652</v>
      </c>
      <c r="F37" s="757">
        <f ca="1">INDIRECT("'数据-取费表'!r"&amp;$G$1)</f>
        <v>0</v>
      </c>
      <c r="G37" s="1917"/>
      <c r="H37" s="1920"/>
      <c r="I37" s="3753"/>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2911</v>
      </c>
      <c r="J54" s="2824">
        <f ca="1">IF(M48="住宅",MAX(J52,L49-'数据-取费表'!B20),MIN(J52,L49-'数据-取费表'!B20))</f>
        <v>-2</v>
      </c>
      <c r="K54" s="3758"/>
      <c r="L54" s="3759"/>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54" t="s">
        <v>2417</v>
      </c>
      <c r="C6" s="755">
        <f ca="1">ROUND(F6*F8*F7*(1-F9)/10000,0)</f>
        <v>0</v>
      </c>
      <c r="D6" s="2319" t="s">
        <v>2416</v>
      </c>
      <c r="E6" s="756" t="s">
        <v>1713</v>
      </c>
      <c r="F6" s="757">
        <f ca="1">INDIRECT("'数据-取费表'!u"&amp;$G$1)</f>
        <v>0</v>
      </c>
      <c r="G6" s="1917"/>
      <c r="H6" s="2326" t="s">
        <v>2422</v>
      </c>
      <c r="I6" s="3754" t="s">
        <v>2417</v>
      </c>
      <c r="J6" s="755">
        <f ca="1">ROUND(M6*M8*M7*(1-M9)/10000,0)</f>
        <v>0</v>
      </c>
      <c r="K6" s="339" t="s">
        <v>1712</v>
      </c>
      <c r="L6" s="756" t="s">
        <v>1713</v>
      </c>
      <c r="M6" s="757">
        <f ca="1">INDIRECT("'数据-取费表'!z"&amp;$G$1)</f>
        <v>0</v>
      </c>
    </row>
    <row r="7" spans="1:33" ht="18" customHeight="1">
      <c r="A7" s="2322"/>
      <c r="B7" s="3755"/>
      <c r="C7" s="760"/>
      <c r="D7" s="761"/>
      <c r="E7" s="756" t="s">
        <v>1714</v>
      </c>
      <c r="F7" s="757">
        <f ca="1">IF(INDIRECT("'数据-取费表'!ah"&amp;$G$1)="",INDIRECT("'数据-取费表'!k"&amp;$G$1),INDIRECT("'数据-取费表'!ah"&amp;$G$1))</f>
        <v>0</v>
      </c>
      <c r="G7" s="1917"/>
      <c r="H7" s="2311"/>
      <c r="I7" s="3755"/>
      <c r="J7" s="760"/>
      <c r="K7" s="761"/>
      <c r="L7" s="756" t="s">
        <v>1714</v>
      </c>
      <c r="M7" s="757">
        <f ca="1">F7</f>
        <v>0</v>
      </c>
    </row>
    <row r="8" spans="1:33" ht="18" customHeight="1">
      <c r="A8" s="2315"/>
      <c r="B8" s="3756"/>
      <c r="C8" s="760"/>
      <c r="D8" s="761"/>
      <c r="E8" s="756" t="s">
        <v>1715</v>
      </c>
      <c r="F8" s="757">
        <f ca="1">INDIRECT("'数据-取费表'!ai"&amp;$G$1)</f>
        <v>0</v>
      </c>
      <c r="G8" s="1917"/>
      <c r="H8" s="2311"/>
      <c r="I8" s="3756"/>
      <c r="J8" s="760"/>
      <c r="K8" s="761"/>
      <c r="L8" s="756" t="s">
        <v>1715</v>
      </c>
      <c r="M8" s="757">
        <f ca="1">INDIRECT("'数据-取费表'!ai"&amp;$G$1)</f>
        <v>0</v>
      </c>
    </row>
    <row r="9" spans="1:33" ht="18" customHeight="1">
      <c r="A9" s="758"/>
      <c r="B9" s="3757"/>
      <c r="C9" s="760"/>
      <c r="D9" s="761"/>
      <c r="E9" s="756" t="s">
        <v>1716</v>
      </c>
      <c r="F9" s="766">
        <f ca="1">INDIRECT("'数据-取费表'!w"&amp;$G$1)</f>
        <v>0</v>
      </c>
      <c r="G9" s="1917"/>
      <c r="H9" s="2327"/>
      <c r="I9" s="3756"/>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60" t="s">
        <v>2901</v>
      </c>
      <c r="L53" s="3761"/>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20.25"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75" thickBot="1">
      <c r="A68" s="758"/>
      <c r="B68" s="759"/>
      <c r="C68" s="760"/>
      <c r="D68" s="792" t="s">
        <v>1783</v>
      </c>
      <c r="E68" s="756" t="s">
        <v>1759</v>
      </c>
      <c r="F68" s="793">
        <f ca="1">F41</f>
        <v>0</v>
      </c>
      <c r="O68" s="2227" t="s">
        <v>2345</v>
      </c>
      <c r="P68" s="2225" t="s">
        <v>2375</v>
      </c>
      <c r="Q68" s="2231">
        <f ca="1">L51</f>
        <v>0</v>
      </c>
      <c r="R68" s="2232" t="s">
        <v>2378</v>
      </c>
    </row>
    <row r="69" spans="1:18" ht="20.25" thickBot="1">
      <c r="A69" s="762"/>
      <c r="B69" s="763"/>
      <c r="C69" s="764"/>
      <c r="D69" s="787"/>
      <c r="E69" s="756" t="s">
        <v>688</v>
      </c>
      <c r="F69" s="2197"/>
      <c r="O69" s="2227" t="s">
        <v>2346</v>
      </c>
      <c r="P69" s="2233" t="s">
        <v>2360</v>
      </c>
      <c r="Q69" s="2226">
        <f ca="1">ROUND(Q70-Q71*Q72,0)</f>
        <v>0</v>
      </c>
      <c r="R69" s="2229"/>
    </row>
    <row r="70" spans="1:18" ht="15.75"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5.75" thickBot="1">
      <c r="O71" s="2227" t="s">
        <v>2363</v>
      </c>
      <c r="P71" s="2233" t="s">
        <v>2364</v>
      </c>
      <c r="Q71" s="2226">
        <f ca="1">C13</f>
        <v>0</v>
      </c>
      <c r="R71" s="2225" t="s">
        <v>2342</v>
      </c>
    </row>
    <row r="72" spans="1:18" ht="15.75" thickBot="1">
      <c r="O72" s="2227" t="s">
        <v>2365</v>
      </c>
      <c r="P72" s="2233" t="s">
        <v>2366</v>
      </c>
      <c r="Q72" s="2228">
        <f ca="1">J36</f>
        <v>0</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82" customWidth="1"/>
    <col min="2" max="2" width="8.875" style="3282"/>
    <col min="3" max="5" width="12.875" style="3282" customWidth="1"/>
    <col min="6" max="6" width="4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5" style="3282" customWidth="1"/>
    <col min="258" max="258" width="8.875" style="3282"/>
    <col min="259" max="261" width="12.875" style="3282" customWidth="1"/>
    <col min="262" max="262" width="4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5" style="3282" customWidth="1"/>
    <col min="514" max="514" width="8.875" style="3282"/>
    <col min="515" max="517" width="12.875" style="3282" customWidth="1"/>
    <col min="518" max="518" width="4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5" style="3282" customWidth="1"/>
    <col min="770" max="770" width="8.875" style="3282"/>
    <col min="771" max="773" width="12.875" style="3282" customWidth="1"/>
    <col min="774" max="774" width="4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5" style="3282" customWidth="1"/>
    <col min="1026" max="1026" width="8.875" style="3282"/>
    <col min="1027" max="1029" width="12.875" style="3282" customWidth="1"/>
    <col min="1030" max="1030" width="4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5" style="3282" customWidth="1"/>
    <col min="1282" max="1282" width="8.875" style="3282"/>
    <col min="1283" max="1285" width="12.875" style="3282" customWidth="1"/>
    <col min="1286" max="1286" width="4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5" style="3282" customWidth="1"/>
    <col min="1538" max="1538" width="8.875" style="3282"/>
    <col min="1539" max="1541" width="12.875" style="3282" customWidth="1"/>
    <col min="1542" max="1542" width="4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5" style="3282" customWidth="1"/>
    <col min="1794" max="1794" width="8.875" style="3282"/>
    <col min="1795" max="1797" width="12.875" style="3282" customWidth="1"/>
    <col min="1798" max="1798" width="4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5" style="3282" customWidth="1"/>
    <col min="2050" max="2050" width="8.875" style="3282"/>
    <col min="2051" max="2053" width="12.875" style="3282" customWidth="1"/>
    <col min="2054" max="2054" width="4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5" style="3282" customWidth="1"/>
    <col min="2306" max="2306" width="8.875" style="3282"/>
    <col min="2307" max="2309" width="12.875" style="3282" customWidth="1"/>
    <col min="2310" max="2310" width="4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5" style="3282" customWidth="1"/>
    <col min="2562" max="2562" width="8.875" style="3282"/>
    <col min="2563" max="2565" width="12.875" style="3282" customWidth="1"/>
    <col min="2566" max="2566" width="4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5" style="3282" customWidth="1"/>
    <col min="2818" max="2818" width="8.875" style="3282"/>
    <col min="2819" max="2821" width="12.875" style="3282" customWidth="1"/>
    <col min="2822" max="2822" width="4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5" style="3282" customWidth="1"/>
    <col min="3074" max="3074" width="8.875" style="3282"/>
    <col min="3075" max="3077" width="12.875" style="3282" customWidth="1"/>
    <col min="3078" max="3078" width="4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5" style="3282" customWidth="1"/>
    <col min="3330" max="3330" width="8.875" style="3282"/>
    <col min="3331" max="3333" width="12.875" style="3282" customWidth="1"/>
    <col min="3334" max="3334" width="4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5" style="3282" customWidth="1"/>
    <col min="3586" max="3586" width="8.875" style="3282"/>
    <col min="3587" max="3589" width="12.875" style="3282" customWidth="1"/>
    <col min="3590" max="3590" width="4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5" style="3282" customWidth="1"/>
    <col min="3842" max="3842" width="8.875" style="3282"/>
    <col min="3843" max="3845" width="12.875" style="3282" customWidth="1"/>
    <col min="3846" max="3846" width="4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5" style="3282" customWidth="1"/>
    <col min="4098" max="4098" width="8.875" style="3282"/>
    <col min="4099" max="4101" width="12.875" style="3282" customWidth="1"/>
    <col min="4102" max="4102" width="4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5" style="3282" customWidth="1"/>
    <col min="4354" max="4354" width="8.875" style="3282"/>
    <col min="4355" max="4357" width="12.875" style="3282" customWidth="1"/>
    <col min="4358" max="4358" width="4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5" style="3282" customWidth="1"/>
    <col min="4610" max="4610" width="8.875" style="3282"/>
    <col min="4611" max="4613" width="12.875" style="3282" customWidth="1"/>
    <col min="4614" max="4614" width="4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5" style="3282" customWidth="1"/>
    <col min="4866" max="4866" width="8.875" style="3282"/>
    <col min="4867" max="4869" width="12.875" style="3282" customWidth="1"/>
    <col min="4870" max="4870" width="4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5" style="3282" customWidth="1"/>
    <col min="5122" max="5122" width="8.875" style="3282"/>
    <col min="5123" max="5125" width="12.875" style="3282" customWidth="1"/>
    <col min="5126" max="5126" width="4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5" style="3282" customWidth="1"/>
    <col min="5378" max="5378" width="8.875" style="3282"/>
    <col min="5379" max="5381" width="12.875" style="3282" customWidth="1"/>
    <col min="5382" max="5382" width="4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5" style="3282" customWidth="1"/>
    <col min="5634" max="5634" width="8.875" style="3282"/>
    <col min="5635" max="5637" width="12.875" style="3282" customWidth="1"/>
    <col min="5638" max="5638" width="4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5" style="3282" customWidth="1"/>
    <col min="5890" max="5890" width="8.875" style="3282"/>
    <col min="5891" max="5893" width="12.875" style="3282" customWidth="1"/>
    <col min="5894" max="5894" width="4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5" style="3282" customWidth="1"/>
    <col min="6146" max="6146" width="8.875" style="3282"/>
    <col min="6147" max="6149" width="12.875" style="3282" customWidth="1"/>
    <col min="6150" max="6150" width="4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5" style="3282" customWidth="1"/>
    <col min="6402" max="6402" width="8.875" style="3282"/>
    <col min="6403" max="6405" width="12.875" style="3282" customWidth="1"/>
    <col min="6406" max="6406" width="4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5" style="3282" customWidth="1"/>
    <col min="6658" max="6658" width="8.875" style="3282"/>
    <col min="6659" max="6661" width="12.875" style="3282" customWidth="1"/>
    <col min="6662" max="6662" width="4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5" style="3282" customWidth="1"/>
    <col min="6914" max="6914" width="8.875" style="3282"/>
    <col min="6915" max="6917" width="12.875" style="3282" customWidth="1"/>
    <col min="6918" max="6918" width="4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5" style="3282" customWidth="1"/>
    <col min="7170" max="7170" width="8.875" style="3282"/>
    <col min="7171" max="7173" width="12.875" style="3282" customWidth="1"/>
    <col min="7174" max="7174" width="4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5" style="3282" customWidth="1"/>
    <col min="7426" max="7426" width="8.875" style="3282"/>
    <col min="7427" max="7429" width="12.875" style="3282" customWidth="1"/>
    <col min="7430" max="7430" width="4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5" style="3282" customWidth="1"/>
    <col min="7682" max="7682" width="8.875" style="3282"/>
    <col min="7683" max="7685" width="12.875" style="3282" customWidth="1"/>
    <col min="7686" max="7686" width="4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5" style="3282" customWidth="1"/>
    <col min="7938" max="7938" width="8.875" style="3282"/>
    <col min="7939" max="7941" width="12.875" style="3282" customWidth="1"/>
    <col min="7942" max="7942" width="4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5" style="3282" customWidth="1"/>
    <col min="8194" max="8194" width="8.875" style="3282"/>
    <col min="8195" max="8197" width="12.875" style="3282" customWidth="1"/>
    <col min="8198" max="8198" width="4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5" style="3282" customWidth="1"/>
    <col min="8450" max="8450" width="8.875" style="3282"/>
    <col min="8451" max="8453" width="12.875" style="3282" customWidth="1"/>
    <col min="8454" max="8454" width="4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5" style="3282" customWidth="1"/>
    <col min="8706" max="8706" width="8.875" style="3282"/>
    <col min="8707" max="8709" width="12.875" style="3282" customWidth="1"/>
    <col min="8710" max="8710" width="4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5" style="3282" customWidth="1"/>
    <col min="8962" max="8962" width="8.875" style="3282"/>
    <col min="8963" max="8965" width="12.875" style="3282" customWidth="1"/>
    <col min="8966" max="8966" width="4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5" style="3282" customWidth="1"/>
    <col min="9218" max="9218" width="8.875" style="3282"/>
    <col min="9219" max="9221" width="12.875" style="3282" customWidth="1"/>
    <col min="9222" max="9222" width="4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5" style="3282" customWidth="1"/>
    <col min="9474" max="9474" width="8.875" style="3282"/>
    <col min="9475" max="9477" width="12.875" style="3282" customWidth="1"/>
    <col min="9478" max="9478" width="4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5" style="3282" customWidth="1"/>
    <col min="9730" max="9730" width="8.875" style="3282"/>
    <col min="9731" max="9733" width="12.875" style="3282" customWidth="1"/>
    <col min="9734" max="9734" width="4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5" style="3282" customWidth="1"/>
    <col min="9986" max="9986" width="8.875" style="3282"/>
    <col min="9987" max="9989" width="12.875" style="3282" customWidth="1"/>
    <col min="9990" max="9990" width="4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5" style="3282" customWidth="1"/>
    <col min="10242" max="10242" width="8.875" style="3282"/>
    <col min="10243" max="10245" width="12.875" style="3282" customWidth="1"/>
    <col min="10246" max="10246" width="4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5" style="3282" customWidth="1"/>
    <col min="10498" max="10498" width="8.875" style="3282"/>
    <col min="10499" max="10501" width="12.875" style="3282" customWidth="1"/>
    <col min="10502" max="10502" width="4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5" style="3282" customWidth="1"/>
    <col min="10754" max="10754" width="8.875" style="3282"/>
    <col min="10755" max="10757" width="12.875" style="3282" customWidth="1"/>
    <col min="10758" max="10758" width="4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5" style="3282" customWidth="1"/>
    <col min="11010" max="11010" width="8.875" style="3282"/>
    <col min="11011" max="11013" width="12.875" style="3282" customWidth="1"/>
    <col min="11014" max="11014" width="4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5" style="3282" customWidth="1"/>
    <col min="11266" max="11266" width="8.875" style="3282"/>
    <col min="11267" max="11269" width="12.875" style="3282" customWidth="1"/>
    <col min="11270" max="11270" width="4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5" style="3282" customWidth="1"/>
    <col min="11522" max="11522" width="8.875" style="3282"/>
    <col min="11523" max="11525" width="12.875" style="3282" customWidth="1"/>
    <col min="11526" max="11526" width="4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5" style="3282" customWidth="1"/>
    <col min="11778" max="11778" width="8.875" style="3282"/>
    <col min="11779" max="11781" width="12.875" style="3282" customWidth="1"/>
    <col min="11782" max="11782" width="4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5" style="3282" customWidth="1"/>
    <col min="12034" max="12034" width="8.875" style="3282"/>
    <col min="12035" max="12037" width="12.875" style="3282" customWidth="1"/>
    <col min="12038" max="12038" width="4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5" style="3282" customWidth="1"/>
    <col min="12290" max="12290" width="8.875" style="3282"/>
    <col min="12291" max="12293" width="12.875" style="3282" customWidth="1"/>
    <col min="12294" max="12294" width="4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5" style="3282" customWidth="1"/>
    <col min="12546" max="12546" width="8.875" style="3282"/>
    <col min="12547" max="12549" width="12.875" style="3282" customWidth="1"/>
    <col min="12550" max="12550" width="4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5" style="3282" customWidth="1"/>
    <col min="12802" max="12802" width="8.875" style="3282"/>
    <col min="12803" max="12805" width="12.875" style="3282" customWidth="1"/>
    <col min="12806" max="12806" width="4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5" style="3282" customWidth="1"/>
    <col min="13058" max="13058" width="8.875" style="3282"/>
    <col min="13059" max="13061" width="12.875" style="3282" customWidth="1"/>
    <col min="13062" max="13062" width="4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5" style="3282" customWidth="1"/>
    <col min="13314" max="13314" width="8.875" style="3282"/>
    <col min="13315" max="13317" width="12.875" style="3282" customWidth="1"/>
    <col min="13318" max="13318" width="4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5" style="3282" customWidth="1"/>
    <col min="13570" max="13570" width="8.875" style="3282"/>
    <col min="13571" max="13573" width="12.875" style="3282" customWidth="1"/>
    <col min="13574" max="13574" width="4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5" style="3282" customWidth="1"/>
    <col min="13826" max="13826" width="8.875" style="3282"/>
    <col min="13827" max="13829" width="12.875" style="3282" customWidth="1"/>
    <col min="13830" max="13830" width="4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5" style="3282" customWidth="1"/>
    <col min="14082" max="14082" width="8.875" style="3282"/>
    <col min="14083" max="14085" width="12.875" style="3282" customWidth="1"/>
    <col min="14086" max="14086" width="4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5" style="3282" customWidth="1"/>
    <col min="14338" max="14338" width="8.875" style="3282"/>
    <col min="14339" max="14341" width="12.875" style="3282" customWidth="1"/>
    <col min="14342" max="14342" width="4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5" style="3282" customWidth="1"/>
    <col min="14594" max="14594" width="8.875" style="3282"/>
    <col min="14595" max="14597" width="12.875" style="3282" customWidth="1"/>
    <col min="14598" max="14598" width="4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5" style="3282" customWidth="1"/>
    <col min="14850" max="14850" width="8.875" style="3282"/>
    <col min="14851" max="14853" width="12.875" style="3282" customWidth="1"/>
    <col min="14854" max="14854" width="4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5" style="3282" customWidth="1"/>
    <col min="15106" max="15106" width="8.875" style="3282"/>
    <col min="15107" max="15109" width="12.875" style="3282" customWidth="1"/>
    <col min="15110" max="15110" width="4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5" style="3282" customWidth="1"/>
    <col min="15362" max="15362" width="8.875" style="3282"/>
    <col min="15363" max="15365" width="12.875" style="3282" customWidth="1"/>
    <col min="15366" max="15366" width="4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5" style="3282" customWidth="1"/>
    <col min="15618" max="15618" width="8.875" style="3282"/>
    <col min="15619" max="15621" width="12.875" style="3282" customWidth="1"/>
    <col min="15622" max="15622" width="4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5" style="3282" customWidth="1"/>
    <col min="15874" max="15874" width="8.875" style="3282"/>
    <col min="15875" max="15877" width="12.875" style="3282" customWidth="1"/>
    <col min="15878" max="15878" width="4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5" style="3282" customWidth="1"/>
    <col min="16130" max="16130" width="8.875" style="3282"/>
    <col min="16131" max="16133" width="12.875" style="3282" customWidth="1"/>
    <col min="16134" max="16134" width="4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68" t="s">
        <v>3005</v>
      </c>
      <c r="K2" s="3769"/>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70" t="s">
        <v>3015</v>
      </c>
      <c r="K3" s="3771"/>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70" t="s">
        <v>3017</v>
      </c>
      <c r="K4" s="3771"/>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76" t="s">
        <v>3021</v>
      </c>
      <c r="B6" s="3777"/>
      <c r="C6" s="3778"/>
      <c r="D6" s="3308"/>
      <c r="E6" s="3309"/>
      <c r="F6" s="3310"/>
      <c r="G6" s="3311"/>
      <c r="H6" s="3286"/>
      <c r="I6" s="3287"/>
      <c r="J6" s="3762">
        <v>1</v>
      </c>
      <c r="K6" s="3763"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2"/>
      <c r="K7" s="3764"/>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79" t="s">
        <v>3035</v>
      </c>
      <c r="C8" s="3780"/>
      <c r="D8" s="3327" t="s">
        <v>3036</v>
      </c>
      <c r="E8" s="3328" t="s">
        <v>3037</v>
      </c>
      <c r="F8" s="3329" t="s">
        <v>3038</v>
      </c>
      <c r="G8" s="3330"/>
      <c r="H8" s="3286"/>
      <c r="I8" s="3287"/>
      <c r="J8" s="3762"/>
      <c r="K8" s="3764"/>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79" t="s">
        <v>3041</v>
      </c>
      <c r="C9" s="3780"/>
      <c r="D9" s="3327">
        <f>ROUND(D6*E9,0)</f>
        <v>0</v>
      </c>
      <c r="E9" s="3331"/>
      <c r="F9" s="3332" t="s">
        <v>3042</v>
      </c>
      <c r="G9" s="3311"/>
      <c r="H9" s="3286"/>
      <c r="I9" s="3287"/>
      <c r="J9" s="3762"/>
      <c r="K9" s="3764"/>
      <c r="L9" s="3321" t="s">
        <v>3043</v>
      </c>
      <c r="M9" s="3322"/>
      <c r="N9" s="3298"/>
      <c r="O9" s="3323"/>
      <c r="P9" s="3323"/>
      <c r="Q9" s="3324">
        <v>365</v>
      </c>
      <c r="R9" s="3325">
        <f t="shared" si="0"/>
        <v>0</v>
      </c>
      <c r="S9" s="3281"/>
      <c r="T9" s="3281"/>
      <c r="U9" s="3281"/>
      <c r="V9" s="3287"/>
    </row>
    <row r="10" spans="1:22" s="3291" customFormat="1" ht="13.15" customHeight="1">
      <c r="A10" s="3326">
        <v>2</v>
      </c>
      <c r="B10" s="3779" t="s">
        <v>3044</v>
      </c>
      <c r="C10" s="3780"/>
      <c r="D10" s="3327">
        <f>ROUND(D6*E10,0)</f>
        <v>0</v>
      </c>
      <c r="E10" s="3331"/>
      <c r="F10" s="3332" t="s">
        <v>3045</v>
      </c>
      <c r="G10" s="3311"/>
      <c r="H10" s="3286"/>
      <c r="I10" s="3287"/>
      <c r="J10" s="3762"/>
      <c r="K10" s="3764"/>
      <c r="L10" s="3321" t="s">
        <v>3046</v>
      </c>
      <c r="M10" s="3322"/>
      <c r="N10" s="3298"/>
      <c r="O10" s="3323"/>
      <c r="P10" s="3323"/>
      <c r="Q10" s="3324">
        <v>365</v>
      </c>
      <c r="R10" s="3325">
        <f t="shared" si="0"/>
        <v>0</v>
      </c>
      <c r="S10" s="3281"/>
      <c r="T10" s="3281"/>
      <c r="U10" s="3281"/>
      <c r="V10" s="3287"/>
    </row>
    <row r="11" spans="1:22" s="3291" customFormat="1" ht="13.15" customHeight="1">
      <c r="A11" s="3326">
        <v>3</v>
      </c>
      <c r="B11" s="3779" t="s">
        <v>3047</v>
      </c>
      <c r="C11" s="3780"/>
      <c r="D11" s="3327">
        <f>D12+D14+D15+D16</f>
        <v>0</v>
      </c>
      <c r="E11" s="3333" t="e">
        <f>D11/D6</f>
        <v>#DIV/0!</v>
      </c>
      <c r="F11" s="3329"/>
      <c r="G11" s="3330"/>
      <c r="H11" s="3286"/>
      <c r="I11" s="3287"/>
      <c r="J11" s="3762"/>
      <c r="K11" s="3764"/>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72" t="s">
        <v>3050</v>
      </c>
      <c r="C12" s="3773"/>
      <c r="D12" s="3335">
        <f>ROUND(D13*1.2%*(1-30%),0)</f>
        <v>0</v>
      </c>
      <c r="E12" s="3336">
        <v>1.2E-2</v>
      </c>
      <c r="F12" s="3329" t="s">
        <v>3051</v>
      </c>
      <c r="G12" s="3330"/>
      <c r="H12" s="3286"/>
      <c r="I12" s="3287"/>
      <c r="J12" s="3762"/>
      <c r="K12" s="3764"/>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2"/>
      <c r="K13" s="3764"/>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72" t="s">
        <v>3056</v>
      </c>
      <c r="C14" s="3773"/>
      <c r="D14" s="3335">
        <f>ROUND(E14*B5/10000,0)</f>
        <v>0</v>
      </c>
      <c r="E14" s="3324"/>
      <c r="F14" s="3329" t="s">
        <v>3057</v>
      </c>
      <c r="G14" s="3330"/>
      <c r="H14" s="3286"/>
      <c r="I14" s="3287"/>
      <c r="J14" s="3762"/>
      <c r="K14" s="3765"/>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72" t="s">
        <v>3060</v>
      </c>
      <c r="C15" s="3773"/>
      <c r="D15" s="3335">
        <f>ROUND(D6*E15,0)</f>
        <v>0</v>
      </c>
      <c r="E15" s="3336">
        <v>5.5E-2</v>
      </c>
      <c r="F15" s="3329" t="s">
        <v>3061</v>
      </c>
      <c r="G15" s="3311"/>
      <c r="H15" s="3286"/>
      <c r="I15" s="3287"/>
      <c r="J15" s="3762">
        <v>2</v>
      </c>
      <c r="K15" s="3763"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72" t="s">
        <v>3069</v>
      </c>
      <c r="C16" s="3773"/>
      <c r="D16" s="3346">
        <f>D6*E16</f>
        <v>0</v>
      </c>
      <c r="E16" s="3347"/>
      <c r="F16" s="3332" t="s">
        <v>3070</v>
      </c>
      <c r="G16" s="3311"/>
      <c r="H16" s="3286"/>
      <c r="I16" s="3287"/>
      <c r="J16" s="3762"/>
      <c r="K16" s="3764"/>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4" t="s">
        <v>3072</v>
      </c>
      <c r="C17" s="3775"/>
      <c r="D17" s="3349">
        <f>ROUND(D6*E17,0)</f>
        <v>0</v>
      </c>
      <c r="E17" s="3350"/>
      <c r="F17" s="3351" t="s">
        <v>3073</v>
      </c>
      <c r="G17" s="3311"/>
      <c r="H17" s="3286"/>
      <c r="I17" s="3287"/>
      <c r="J17" s="3762"/>
      <c r="K17" s="3764"/>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2"/>
      <c r="K18" s="3764"/>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2"/>
      <c r="K19" s="3765"/>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2">
        <v>3</v>
      </c>
      <c r="K20" s="3763"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2"/>
      <c r="K21" s="3764"/>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2"/>
      <c r="K22" s="3764"/>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2"/>
      <c r="K23" s="3764"/>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2"/>
      <c r="K24" s="3765"/>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66">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67"/>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68" t="s">
        <v>3005</v>
      </c>
      <c r="K32" s="3769"/>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70" t="s">
        <v>3015</v>
      </c>
      <c r="K33" s="3771"/>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70" t="s">
        <v>3017</v>
      </c>
      <c r="K34" s="3771"/>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2">
        <v>1</v>
      </c>
      <c r="K36" s="3763"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2"/>
      <c r="K37" s="3764"/>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2"/>
      <c r="K38" s="3764"/>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2"/>
      <c r="K39" s="3764"/>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2"/>
      <c r="K40" s="3765"/>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66">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67"/>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1" t="s">
        <v>2425</v>
      </c>
      <c r="B1" s="3782"/>
      <c r="C1" s="3783"/>
      <c r="D1" s="3784">
        <f>SUM(I10,I15,I20,I21,I23)</f>
        <v>0</v>
      </c>
      <c r="E1" s="3784"/>
      <c r="F1" s="3784"/>
      <c r="G1" s="3784"/>
      <c r="H1" s="3784"/>
      <c r="I1" s="3785"/>
    </row>
    <row r="2" spans="1:9">
      <c r="A2" s="3786" t="s">
        <v>2426</v>
      </c>
      <c r="B2" s="3787" t="s">
        <v>2427</v>
      </c>
      <c r="C2" s="3787"/>
      <c r="D2" s="2329" t="s">
        <v>2428</v>
      </c>
      <c r="E2" s="2329" t="s">
        <v>2429</v>
      </c>
      <c r="F2" s="2329" t="s">
        <v>2430</v>
      </c>
      <c r="G2" s="2329" t="s">
        <v>2431</v>
      </c>
      <c r="H2" s="2329" t="s">
        <v>2432</v>
      </c>
      <c r="I2" s="2330" t="s">
        <v>2433</v>
      </c>
    </row>
    <row r="3" spans="1:9">
      <c r="A3" s="3786"/>
      <c r="B3" s="3787" t="s">
        <v>2434</v>
      </c>
      <c r="C3" s="3787"/>
      <c r="D3" s="2331"/>
      <c r="E3" s="2329"/>
      <c r="F3" s="2332"/>
      <c r="G3" s="2332"/>
      <c r="H3" s="2333"/>
      <c r="I3" s="2334">
        <f>ROUND(D3*E3*F3*G3*H3/10000,0)</f>
        <v>0</v>
      </c>
    </row>
    <row r="4" spans="1:9">
      <c r="A4" s="3786"/>
      <c r="B4" s="3787" t="s">
        <v>2435</v>
      </c>
      <c r="C4" s="3787"/>
      <c r="D4" s="2331"/>
      <c r="E4" s="2329"/>
      <c r="F4" s="2332"/>
      <c r="G4" s="2332"/>
      <c r="H4" s="2333"/>
      <c r="I4" s="2334">
        <f t="shared" ref="I4:I9" si="0">ROUND(D4*E4*F4*G4*H4/10000,0)</f>
        <v>0</v>
      </c>
    </row>
    <row r="5" spans="1:9">
      <c r="A5" s="3786"/>
      <c r="B5" s="3787" t="s">
        <v>2436</v>
      </c>
      <c r="C5" s="3787"/>
      <c r="D5" s="2331"/>
      <c r="E5" s="2329"/>
      <c r="F5" s="2332"/>
      <c r="G5" s="2332"/>
      <c r="H5" s="2333"/>
      <c r="I5" s="2334">
        <f t="shared" si="0"/>
        <v>0</v>
      </c>
    </row>
    <row r="6" spans="1:9">
      <c r="A6" s="3786"/>
      <c r="B6" s="3787" t="s">
        <v>2437</v>
      </c>
      <c r="C6" s="3787"/>
      <c r="D6" s="2331"/>
      <c r="E6" s="2329"/>
      <c r="F6" s="2332"/>
      <c r="G6" s="2332"/>
      <c r="H6" s="2333"/>
      <c r="I6" s="2334">
        <f t="shared" si="0"/>
        <v>0</v>
      </c>
    </row>
    <row r="7" spans="1:9">
      <c r="A7" s="3786"/>
      <c r="B7" s="3787" t="s">
        <v>2438</v>
      </c>
      <c r="C7" s="3787"/>
      <c r="D7" s="2331"/>
      <c r="E7" s="2329"/>
      <c r="F7" s="2332"/>
      <c r="G7" s="2332"/>
      <c r="H7" s="2333"/>
      <c r="I7" s="2334">
        <f t="shared" si="0"/>
        <v>0</v>
      </c>
    </row>
    <row r="8" spans="1:9">
      <c r="A8" s="3786"/>
      <c r="B8" s="3787" t="s">
        <v>2439</v>
      </c>
      <c r="C8" s="3787"/>
      <c r="D8" s="2331"/>
      <c r="E8" s="2329"/>
      <c r="F8" s="2332"/>
      <c r="G8" s="2332"/>
      <c r="H8" s="2333"/>
      <c r="I8" s="2334">
        <f t="shared" si="0"/>
        <v>0</v>
      </c>
    </row>
    <row r="9" spans="1:9">
      <c r="A9" s="3786"/>
      <c r="B9" s="3787" t="s">
        <v>2440</v>
      </c>
      <c r="C9" s="3787"/>
      <c r="D9" s="2331"/>
      <c r="E9" s="2329"/>
      <c r="F9" s="2332"/>
      <c r="G9" s="2332"/>
      <c r="H9" s="2333"/>
      <c r="I9" s="2334">
        <f t="shared" si="0"/>
        <v>0</v>
      </c>
    </row>
    <row r="10" spans="1:9">
      <c r="A10" s="3786"/>
      <c r="B10" s="3788" t="s">
        <v>2441</v>
      </c>
      <c r="C10" s="3788"/>
      <c r="D10" s="2335">
        <v>527</v>
      </c>
      <c r="E10" s="2335" t="e">
        <f>ROUND(D1*10000/D10/H9,0)</f>
        <v>#DIV/0!</v>
      </c>
      <c r="F10" s="2336"/>
      <c r="G10" s="2336"/>
      <c r="H10" s="2337"/>
      <c r="I10" s="2338">
        <f>SUM(I3:I9)</f>
        <v>0</v>
      </c>
    </row>
    <row r="11" spans="1:9" ht="14.25">
      <c r="A11" s="3786" t="s">
        <v>2442</v>
      </c>
      <c r="B11" s="3787" t="s">
        <v>2443</v>
      </c>
      <c r="C11" s="3787"/>
      <c r="D11" s="2331" t="s">
        <v>2444</v>
      </c>
      <c r="E11" s="2331" t="s">
        <v>2445</v>
      </c>
      <c r="F11" s="2332" t="s">
        <v>2446</v>
      </c>
      <c r="G11" s="2332" t="s">
        <v>2447</v>
      </c>
      <c r="H11" s="2339" t="s">
        <v>2448</v>
      </c>
      <c r="I11" s="2330" t="s">
        <v>2449</v>
      </c>
    </row>
    <row r="12" spans="1:9">
      <c r="A12" s="3786"/>
      <c r="B12" s="3787" t="s">
        <v>2450</v>
      </c>
      <c r="C12" s="3787"/>
      <c r="D12" s="2331"/>
      <c r="E12" s="2331"/>
      <c r="F12" s="2332"/>
      <c r="G12" s="2333"/>
      <c r="H12" s="2340"/>
      <c r="I12" s="2330">
        <f>ROUND(D12*E12*F12*G12/10000,0)</f>
        <v>0</v>
      </c>
    </row>
    <row r="13" spans="1:9">
      <c r="A13" s="3786"/>
      <c r="B13" s="3787" t="s">
        <v>2451</v>
      </c>
      <c r="C13" s="3787"/>
      <c r="D13" s="2331"/>
      <c r="E13" s="2331"/>
      <c r="F13" s="2332"/>
      <c r="G13" s="2333"/>
      <c r="H13" s="2340"/>
      <c r="I13" s="2330">
        <f>ROUND(D13*E13*F13*G13/10000,0)</f>
        <v>0</v>
      </c>
    </row>
    <row r="14" spans="1:9">
      <c r="A14" s="3786"/>
      <c r="B14" s="3787" t="s">
        <v>2452</v>
      </c>
      <c r="C14" s="3787"/>
      <c r="D14" s="2331"/>
      <c r="E14" s="2331"/>
      <c r="F14" s="2332"/>
      <c r="G14" s="2333"/>
      <c r="H14" s="2340"/>
      <c r="I14" s="2330">
        <f>ROUND(D14*E14*F14*G14/10000,0)</f>
        <v>0</v>
      </c>
    </row>
    <row r="15" spans="1:9">
      <c r="A15" s="3786"/>
      <c r="B15" s="3788" t="s">
        <v>2441</v>
      </c>
      <c r="C15" s="3788"/>
      <c r="D15" s="2335"/>
      <c r="E15" s="2335">
        <f>SUM(E12:E14)</f>
        <v>0</v>
      </c>
      <c r="F15" s="2336"/>
      <c r="G15" s="2333"/>
      <c r="H15" s="2340"/>
      <c r="I15" s="2341">
        <f>SUM(I12:I14)</f>
        <v>0</v>
      </c>
    </row>
    <row r="16" spans="1:9" ht="24">
      <c r="A16" s="3786" t="s">
        <v>2453</v>
      </c>
      <c r="B16" s="3787" t="s">
        <v>2454</v>
      </c>
      <c r="C16" s="3787"/>
      <c r="D16" s="2331" t="s">
        <v>2455</v>
      </c>
      <c r="E16" s="2342" t="s">
        <v>2456</v>
      </c>
      <c r="F16" s="2332" t="s">
        <v>2457</v>
      </c>
      <c r="G16" s="2333" t="s">
        <v>2447</v>
      </c>
      <c r="H16" s="2339" t="s">
        <v>2448</v>
      </c>
      <c r="I16" s="2330" t="s">
        <v>2449</v>
      </c>
    </row>
    <row r="17" spans="1:9" ht="14.25">
      <c r="A17" s="3786"/>
      <c r="B17" s="3787" t="s">
        <v>2458</v>
      </c>
      <c r="C17" s="3787"/>
      <c r="D17" s="2331"/>
      <c r="E17" s="2331"/>
      <c r="F17" s="2332"/>
      <c r="G17" s="2333"/>
      <c r="H17" s="2343"/>
      <c r="I17" s="2344">
        <f>ROUND(D17*E17*F17*G17/10000,0)</f>
        <v>0</v>
      </c>
    </row>
    <row r="18" spans="1:9" ht="14.25">
      <c r="A18" s="3786"/>
      <c r="B18" s="3787" t="s">
        <v>2459</v>
      </c>
      <c r="C18" s="3787"/>
      <c r="D18" s="2331"/>
      <c r="E18" s="2331"/>
      <c r="F18" s="2332"/>
      <c r="G18" s="2333"/>
      <c r="H18" s="2343"/>
      <c r="I18" s="2344">
        <f>ROUND(D18*E18*F18*G18/10000,0)</f>
        <v>0</v>
      </c>
    </row>
    <row r="19" spans="1:9" ht="14.25">
      <c r="A19" s="3786"/>
      <c r="B19" s="3787" t="s">
        <v>2460</v>
      </c>
      <c r="C19" s="3787"/>
      <c r="D19" s="2331"/>
      <c r="E19" s="2331"/>
      <c r="F19" s="2332"/>
      <c r="G19" s="2333"/>
      <c r="H19" s="2343"/>
      <c r="I19" s="2344">
        <f>ROUND(D19*E19*F19*G19/10000,0)</f>
        <v>0</v>
      </c>
    </row>
    <row r="20" spans="1:9">
      <c r="A20" s="3786"/>
      <c r="B20" s="3788" t="s">
        <v>2441</v>
      </c>
      <c r="C20" s="3788"/>
      <c r="D20" s="2335">
        <f>SUM(D17:D19)</f>
        <v>0</v>
      </c>
      <c r="E20" s="2335"/>
      <c r="F20" s="2336"/>
      <c r="G20" s="2333"/>
      <c r="H20" s="2340"/>
      <c r="I20" s="2341">
        <f>SUM(I17:I19)</f>
        <v>0</v>
      </c>
    </row>
    <row r="21" spans="1:9">
      <c r="A21" s="3786" t="s">
        <v>2461</v>
      </c>
      <c r="B21" s="3790"/>
      <c r="C21" s="3790"/>
      <c r="D21" s="3790"/>
      <c r="E21" s="3790"/>
      <c r="F21" s="3790"/>
      <c r="G21" s="3790"/>
      <c r="H21" s="2345">
        <v>0.1</v>
      </c>
      <c r="I21" s="2338">
        <f>ROUND(I10*H21,0)</f>
        <v>0</v>
      </c>
    </row>
    <row r="22" spans="1:9" ht="14.25">
      <c r="A22" s="3791" t="s">
        <v>2462</v>
      </c>
      <c r="B22" s="3792"/>
      <c r="C22" s="3793"/>
      <c r="D22" s="2346" t="s">
        <v>2463</v>
      </c>
      <c r="E22" s="2346" t="s">
        <v>2464</v>
      </c>
      <c r="F22" s="2347" t="s">
        <v>2465</v>
      </c>
      <c r="G22" s="2347" t="s">
        <v>2466</v>
      </c>
      <c r="H22" s="2339" t="s">
        <v>2467</v>
      </c>
      <c r="I22" s="2330" t="s">
        <v>2468</v>
      </c>
    </row>
    <row r="23" spans="1:9" ht="14.25" thickBot="1">
      <c r="A23" s="3794"/>
      <c r="B23" s="3795"/>
      <c r="C23" s="3796"/>
      <c r="D23" s="2348"/>
      <c r="E23" s="2348"/>
      <c r="F23" s="2348"/>
      <c r="G23" s="2349"/>
      <c r="H23" s="2350"/>
      <c r="I23" s="2351">
        <f>ROUND(E23*D23*F23*(1-G23)/10000,0)</f>
        <v>0</v>
      </c>
    </row>
    <row r="26" spans="1:9">
      <c r="A26" s="2352" t="s">
        <v>2469</v>
      </c>
      <c r="B26" s="2352"/>
      <c r="C26" s="2352"/>
      <c r="D26" s="2352"/>
      <c r="E26" s="3797">
        <f>C27-C30-C31-C32</f>
        <v>0</v>
      </c>
      <c r="F26" s="3797"/>
      <c r="G26" s="3797"/>
      <c r="H26" s="2722" t="s">
        <v>2792</v>
      </c>
    </row>
    <row r="27" spans="1:9">
      <c r="A27" s="2353">
        <v>1</v>
      </c>
      <c r="B27" s="2354" t="s">
        <v>2470</v>
      </c>
      <c r="C27" s="2354"/>
      <c r="D27" s="2354"/>
      <c r="E27" s="3798"/>
      <c r="F27" s="3798"/>
      <c r="G27" s="3798"/>
    </row>
    <row r="28" spans="1:9">
      <c r="A28" s="2355" t="s">
        <v>2471</v>
      </c>
      <c r="B28" s="2354" t="s">
        <v>2472</v>
      </c>
      <c r="C28" s="2354"/>
      <c r="D28" s="2354"/>
      <c r="E28" s="3798"/>
      <c r="F28" s="3798"/>
      <c r="G28" s="3798"/>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9"/>
      <c r="F32" s="3789"/>
      <c r="G32" s="3789"/>
    </row>
    <row r="33" spans="1:7" hidden="1">
      <c r="A33" s="3799" t="s">
        <v>2480</v>
      </c>
      <c r="B33" s="3800"/>
      <c r="C33" s="3800"/>
      <c r="D33" s="3801"/>
      <c r="E33" s="3797"/>
      <c r="F33" s="3797"/>
      <c r="G33" s="3797"/>
    </row>
    <row r="34" spans="1:7" hidden="1">
      <c r="A34" s="2357">
        <v>1</v>
      </c>
      <c r="B34" s="2354" t="s">
        <v>2481</v>
      </c>
      <c r="C34" s="2354"/>
      <c r="D34" s="2354"/>
      <c r="E34" s="3798"/>
      <c r="F34" s="3798"/>
      <c r="G34" s="3798"/>
    </row>
    <row r="35" spans="1:7" hidden="1">
      <c r="A35" s="2357">
        <v>2</v>
      </c>
      <c r="B35" s="2354" t="s">
        <v>2482</v>
      </c>
      <c r="C35" s="2354"/>
      <c r="D35" s="2354"/>
      <c r="E35" s="3798"/>
      <c r="F35" s="3798"/>
      <c r="G35" s="3798"/>
    </row>
    <row r="36" spans="1:7" hidden="1">
      <c r="A36" s="2357">
        <v>3</v>
      </c>
      <c r="B36" s="2354" t="s">
        <v>2483</v>
      </c>
      <c r="C36" s="2354"/>
      <c r="D36" s="2354"/>
      <c r="E36" s="3798"/>
      <c r="F36" s="3798"/>
      <c r="G36" s="3798"/>
    </row>
    <row r="37" spans="1:7" hidden="1">
      <c r="A37" s="2357">
        <v>4</v>
      </c>
      <c r="B37" s="2354" t="s">
        <v>2484</v>
      </c>
      <c r="C37" s="2354"/>
      <c r="D37" s="2354"/>
      <c r="E37" s="3798"/>
      <c r="F37" s="3798"/>
      <c r="G37" s="3798"/>
    </row>
    <row r="38" spans="1:7" hidden="1">
      <c r="A38" s="3799" t="s">
        <v>2485</v>
      </c>
      <c r="B38" s="3800"/>
      <c r="C38" s="3800"/>
      <c r="D38" s="3801"/>
      <c r="E38" s="3797"/>
      <c r="F38" s="3797"/>
      <c r="G38" s="37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3387</v>
      </c>
      <c r="D12" s="3236">
        <f>'数据-汇总表'!E5</f>
        <v>211713.77</v>
      </c>
      <c r="E12" s="3236">
        <f>'数据-取费表'!B27</f>
        <v>160</v>
      </c>
      <c r="F12" s="728"/>
      <c r="G12" s="731"/>
    </row>
    <row r="13" spans="1:25" s="2035" customFormat="1" ht="13.5" customHeight="1">
      <c r="A13" s="2300" t="s">
        <v>2402</v>
      </c>
      <c r="B13" s="729" t="s">
        <v>590</v>
      </c>
      <c r="C13" s="730">
        <f>ROUND(D13*E13/10000,0)</f>
        <v>117</v>
      </c>
      <c r="D13" s="3236">
        <f>'数据-汇总表'!E6</f>
        <v>5827.2300000000105</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48">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0.93200000000000005</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672" t="s">
        <v>500</v>
      </c>
      <c r="D4" s="3673"/>
      <c r="E4" s="3706" t="s">
        <v>501</v>
      </c>
      <c r="F4" s="3707"/>
      <c r="G4" s="3672" t="s">
        <v>502</v>
      </c>
      <c r="H4" s="3673"/>
      <c r="I4" s="3672" t="s">
        <v>503</v>
      </c>
      <c r="J4" s="3673"/>
      <c r="K4" s="824"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69" t="s">
        <v>502</v>
      </c>
      <c r="AC4" s="3669" t="s">
        <v>503</v>
      </c>
    </row>
    <row r="5" spans="1:29" ht="15">
      <c r="A5" s="491"/>
      <c r="B5" s="492"/>
      <c r="C5" s="3688" t="s">
        <v>2867</v>
      </c>
      <c r="D5" s="3689"/>
      <c r="E5" s="3708" t="s">
        <v>2868</v>
      </c>
      <c r="F5" s="3709"/>
      <c r="G5" s="3688" t="s">
        <v>2869</v>
      </c>
      <c r="H5" s="3689"/>
      <c r="I5" s="3688" t="s">
        <v>2870</v>
      </c>
      <c r="J5" s="3689"/>
      <c r="K5" s="825"/>
      <c r="L5" s="1986"/>
      <c r="M5" s="1987"/>
      <c r="N5" s="1987"/>
      <c r="O5" s="1987"/>
      <c r="P5" s="3676"/>
      <c r="Q5" s="3677"/>
      <c r="R5" s="3682"/>
      <c r="S5" s="3683"/>
      <c r="T5" s="3682"/>
      <c r="U5" s="3683"/>
      <c r="V5" s="3667"/>
      <c r="W5" s="3667"/>
      <c r="X5" s="1476"/>
      <c r="Y5" s="3682"/>
      <c r="Z5" s="3683"/>
      <c r="AA5" s="3670"/>
      <c r="AB5" s="3670"/>
      <c r="AC5" s="3670"/>
    </row>
    <row r="6" spans="1:29" ht="15.75" thickBot="1">
      <c r="A6" s="493"/>
      <c r="B6" s="494"/>
      <c r="C6" s="3686" t="s">
        <v>2871</v>
      </c>
      <c r="D6" s="3687"/>
      <c r="E6" s="3704" t="s">
        <v>2871</v>
      </c>
      <c r="F6" s="3705"/>
      <c r="G6" s="3686" t="s">
        <v>2871</v>
      </c>
      <c r="H6" s="3687"/>
      <c r="I6" s="3686" t="s">
        <v>2871</v>
      </c>
      <c r="J6" s="3687"/>
      <c r="K6" s="825" t="s">
        <v>506</v>
      </c>
      <c r="L6" s="1986"/>
      <c r="M6" s="1987"/>
      <c r="N6" s="1987"/>
      <c r="O6" s="1987"/>
      <c r="P6" s="3678"/>
      <c r="Q6" s="3679"/>
      <c r="R6" s="3682"/>
      <c r="S6" s="3683"/>
      <c r="T6" s="3684"/>
      <c r="U6" s="3685"/>
      <c r="V6" s="3667"/>
      <c r="W6" s="3667"/>
      <c r="X6" s="1476"/>
      <c r="Y6" s="3684"/>
      <c r="Z6" s="3685"/>
      <c r="AA6" s="3671"/>
      <c r="AB6" s="3671"/>
      <c r="AC6" s="3671"/>
    </row>
    <row r="7" spans="1:29" s="1185" customFormat="1" ht="15.7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97" t="s">
        <v>508</v>
      </c>
      <c r="Q7" s="3699"/>
      <c r="R7" s="1477" t="s">
        <v>13</v>
      </c>
      <c r="S7" s="1478">
        <f t="shared" ref="S7:S15" si="0">F7</f>
        <v>0</v>
      </c>
      <c r="T7" s="1477" t="s">
        <v>13</v>
      </c>
      <c r="U7" s="1478">
        <f t="shared" ref="U7:U15" si="1">H7</f>
        <v>0</v>
      </c>
      <c r="V7" s="1477" t="s">
        <v>13</v>
      </c>
      <c r="W7" s="1478">
        <f t="shared" ref="W7:W15"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97" t="s">
        <v>511</v>
      </c>
      <c r="Q8" s="3698"/>
      <c r="R8" s="1477" t="s">
        <v>13</v>
      </c>
      <c r="S8" s="1478">
        <f t="shared" si="0"/>
        <v>0</v>
      </c>
      <c r="T8" s="1477" t="s">
        <v>13</v>
      </c>
      <c r="U8" s="1478">
        <f t="shared" si="1"/>
        <v>0</v>
      </c>
      <c r="V8" s="1477" t="s">
        <v>13</v>
      </c>
      <c r="W8" s="1478">
        <f t="shared" si="2"/>
        <v>0</v>
      </c>
      <c r="X8" s="1479"/>
      <c r="Y8" s="3697" t="s">
        <v>511</v>
      </c>
      <c r="Z8" s="3698"/>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66"/>
      <c r="Q11" s="1116" t="str">
        <f t="shared" si="6"/>
        <v>容积率</v>
      </c>
      <c r="R11" s="1477" t="s">
        <v>11</v>
      </c>
      <c r="S11" s="1478" t="e">
        <f t="shared" si="0"/>
        <v>#N/A</v>
      </c>
      <c r="T11" s="1477" t="s">
        <v>11</v>
      </c>
      <c r="U11" s="1478" t="e">
        <f t="shared" si="1"/>
        <v>#N/A</v>
      </c>
      <c r="V11" s="1477" t="s">
        <v>11</v>
      </c>
      <c r="W11" s="1478" t="e">
        <f t="shared" si="2"/>
        <v>#N/A</v>
      </c>
      <c r="X11" s="1479"/>
      <c r="Y11" s="360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66"/>
      <c r="Q12" s="1116">
        <f t="shared" si="6"/>
        <v>111</v>
      </c>
      <c r="R12" s="1477" t="s">
        <v>11</v>
      </c>
      <c r="S12" s="1478">
        <f t="shared" si="0"/>
        <v>100</v>
      </c>
      <c r="T12" s="1477" t="s">
        <v>11</v>
      </c>
      <c r="U12" s="1478">
        <f t="shared" si="1"/>
        <v>100</v>
      </c>
      <c r="V12" s="1477" t="s">
        <v>11</v>
      </c>
      <c r="W12" s="1478">
        <f t="shared" si="2"/>
        <v>100</v>
      </c>
      <c r="X12" s="1479"/>
      <c r="Y12" s="3608"/>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66"/>
      <c r="Q13" s="1116">
        <f t="shared" si="6"/>
        <v>111</v>
      </c>
      <c r="R13" s="1477" t="s">
        <v>11</v>
      </c>
      <c r="S13" s="1478">
        <f t="shared" si="0"/>
        <v>100</v>
      </c>
      <c r="T13" s="1477" t="s">
        <v>11</v>
      </c>
      <c r="U13" s="1478">
        <f t="shared" si="1"/>
        <v>100</v>
      </c>
      <c r="V13" s="1477" t="s">
        <v>11</v>
      </c>
      <c r="W13" s="1478">
        <f t="shared" si="2"/>
        <v>100</v>
      </c>
      <c r="X13" s="1479"/>
      <c r="Y13" s="3608"/>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66"/>
      <c r="Q14" s="1116">
        <f t="shared" si="6"/>
        <v>111</v>
      </c>
      <c r="R14" s="1477" t="s">
        <v>11</v>
      </c>
      <c r="S14" s="1478">
        <f t="shared" si="0"/>
        <v>100</v>
      </c>
      <c r="T14" s="1477" t="s">
        <v>11</v>
      </c>
      <c r="U14" s="1478">
        <f t="shared" si="1"/>
        <v>100</v>
      </c>
      <c r="V14" s="1477" t="s">
        <v>11</v>
      </c>
      <c r="W14" s="1478">
        <f t="shared" si="2"/>
        <v>100</v>
      </c>
      <c r="X14" s="1479"/>
      <c r="Y14" s="3608"/>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00" t="s">
        <v>518</v>
      </c>
      <c r="Q15" s="1481" t="str">
        <f t="shared" si="6"/>
        <v>居住社区成熟度</v>
      </c>
      <c r="R15" s="1482" t="s">
        <v>11</v>
      </c>
      <c r="S15" s="1483">
        <f t="shared" si="0"/>
        <v>100</v>
      </c>
      <c r="T15" s="1482" t="s">
        <v>11</v>
      </c>
      <c r="U15" s="1483">
        <f t="shared" si="1"/>
        <v>100</v>
      </c>
      <c r="V15" s="1482" t="s">
        <v>11</v>
      </c>
      <c r="W15" s="1483">
        <f t="shared" si="2"/>
        <v>100</v>
      </c>
      <c r="X15" s="1476"/>
      <c r="Y15" s="3700"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01"/>
      <c r="Q16" s="1481"/>
      <c r="R16" s="1482"/>
      <c r="S16" s="1483"/>
      <c r="T16" s="1482"/>
      <c r="U16" s="1483"/>
      <c r="V16" s="1482"/>
      <c r="W16" s="1483"/>
      <c r="X16" s="1476"/>
      <c r="Y16" s="3701"/>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01"/>
      <c r="Q17" s="1481" t="str">
        <f>B17</f>
        <v>交通便捷度</v>
      </c>
      <c r="R17" s="1482" t="s">
        <v>11</v>
      </c>
      <c r="S17" s="1483">
        <f>F17</f>
        <v>100</v>
      </c>
      <c r="T17" s="1482" t="s">
        <v>11</v>
      </c>
      <c r="U17" s="1483">
        <f>H17</f>
        <v>100</v>
      </c>
      <c r="V17" s="1482" t="s">
        <v>11</v>
      </c>
      <c r="W17" s="1483">
        <f>J17</f>
        <v>100</v>
      </c>
      <c r="X17" s="1476"/>
      <c r="Y17" s="3701"/>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01"/>
      <c r="Q19" s="1481" t="str">
        <f>B19</f>
        <v>公共配套设施</v>
      </c>
      <c r="R19" s="1482" t="s">
        <v>11</v>
      </c>
      <c r="S19" s="1483">
        <f>F19</f>
        <v>100</v>
      </c>
      <c r="T19" s="1482" t="s">
        <v>11</v>
      </c>
      <c r="U19" s="1483">
        <f>H19</f>
        <v>100</v>
      </c>
      <c r="V19" s="1482" t="s">
        <v>11</v>
      </c>
      <c r="W19" s="1483">
        <f>J19</f>
        <v>100</v>
      </c>
      <c r="X19" s="1476"/>
      <c r="Y19" s="3701"/>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01"/>
      <c r="Q21" s="2397" t="str">
        <f>B21</f>
        <v>基础设施水平</v>
      </c>
      <c r="R21" s="1482" t="s">
        <v>11</v>
      </c>
      <c r="S21" s="1483">
        <f>F21</f>
        <v>100</v>
      </c>
      <c r="T21" s="1482" t="s">
        <v>11</v>
      </c>
      <c r="U21" s="1483">
        <f>H21</f>
        <v>100</v>
      </c>
      <c r="V21" s="1482" t="s">
        <v>11</v>
      </c>
      <c r="W21" s="1483">
        <f>J21</f>
        <v>100</v>
      </c>
      <c r="X21" s="2399"/>
      <c r="Y21" s="3701"/>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01"/>
      <c r="Q22" s="2397"/>
      <c r="R22" s="1482"/>
      <c r="S22" s="1483"/>
      <c r="T22" s="1482"/>
      <c r="U22" s="1483"/>
      <c r="V22" s="1482"/>
      <c r="W22" s="1483"/>
      <c r="X22" s="2399"/>
      <c r="Y22" s="3701"/>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01"/>
      <c r="Q23" s="1481" t="str">
        <f>B23</f>
        <v>自然及人文环境</v>
      </c>
      <c r="R23" s="1482" t="s">
        <v>11</v>
      </c>
      <c r="S23" s="1483">
        <f>F23</f>
        <v>100</v>
      </c>
      <c r="T23" s="1482" t="s">
        <v>11</v>
      </c>
      <c r="U23" s="1483">
        <f>H23</f>
        <v>100</v>
      </c>
      <c r="V23" s="1482" t="s">
        <v>11</v>
      </c>
      <c r="W23" s="1483">
        <f>J23</f>
        <v>100</v>
      </c>
      <c r="X23" s="1476"/>
      <c r="Y23" s="3701"/>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01"/>
      <c r="Q25" s="1481" t="str">
        <f t="shared" ref="Q25:Q46" si="11">B25</f>
        <v>楼层-1</v>
      </c>
      <c r="R25" s="1482" t="s">
        <v>11</v>
      </c>
      <c r="S25" s="1483">
        <f>F25</f>
        <v>100</v>
      </c>
      <c r="T25" s="1482" t="s">
        <v>11</v>
      </c>
      <c r="U25" s="1483">
        <f>H25</f>
        <v>100</v>
      </c>
      <c r="V25" s="1482" t="s">
        <v>11</v>
      </c>
      <c r="W25" s="1483">
        <f>J25</f>
        <v>100</v>
      </c>
      <c r="X25" s="1476"/>
      <c r="Y25" s="3701"/>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01"/>
      <c r="Q26" s="1481" t="str">
        <f t="shared" si="11"/>
        <v>朝向</v>
      </c>
      <c r="R26" s="1482" t="s">
        <v>11</v>
      </c>
      <c r="S26" s="1483">
        <f>F26</f>
        <v>100</v>
      </c>
      <c r="T26" s="1482" t="s">
        <v>11</v>
      </c>
      <c r="U26" s="1483">
        <f>H26</f>
        <v>100</v>
      </c>
      <c r="V26" s="1482" t="s">
        <v>11</v>
      </c>
      <c r="W26" s="1483">
        <f>J26</f>
        <v>100</v>
      </c>
      <c r="X26" s="1476"/>
      <c r="Y26" s="3701"/>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01"/>
      <c r="Q27" s="1116" t="str">
        <f t="shared" si="11"/>
        <v>道路级别</v>
      </c>
      <c r="R27" s="1477" t="s">
        <v>11</v>
      </c>
      <c r="S27" s="1478">
        <f>F27</f>
        <v>100</v>
      </c>
      <c r="T27" s="1477" t="s">
        <v>11</v>
      </c>
      <c r="U27" s="1478">
        <f>H27</f>
        <v>100</v>
      </c>
      <c r="V27" s="1477" t="s">
        <v>11</v>
      </c>
      <c r="W27" s="1478">
        <f>J27</f>
        <v>100</v>
      </c>
      <c r="X27" s="1479"/>
      <c r="Y27" s="3701"/>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01"/>
      <c r="Q28" s="1481">
        <f t="shared" si="11"/>
        <v>111</v>
      </c>
      <c r="R28" s="1482" t="s">
        <v>11</v>
      </c>
      <c r="S28" s="1483">
        <f t="shared" ref="S28:S46" si="12">F28</f>
        <v>100</v>
      </c>
      <c r="T28" s="1482" t="s">
        <v>11</v>
      </c>
      <c r="U28" s="1483">
        <f t="shared" ref="U28:U46" si="13">H28</f>
        <v>100</v>
      </c>
      <c r="V28" s="1482" t="s">
        <v>11</v>
      </c>
      <c r="W28" s="1483">
        <f t="shared" ref="W28:W46" si="14">J28</f>
        <v>100</v>
      </c>
      <c r="X28" s="1476"/>
      <c r="Y28" s="3701"/>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01"/>
      <c r="Q29" s="1481">
        <f t="shared" si="11"/>
        <v>111</v>
      </c>
      <c r="R29" s="1482" t="s">
        <v>11</v>
      </c>
      <c r="S29" s="1483">
        <f t="shared" si="12"/>
        <v>100</v>
      </c>
      <c r="T29" s="1482" t="s">
        <v>11</v>
      </c>
      <c r="U29" s="1483">
        <f t="shared" si="13"/>
        <v>100</v>
      </c>
      <c r="V29" s="1482" t="s">
        <v>11</v>
      </c>
      <c r="W29" s="1483">
        <f t="shared" si="14"/>
        <v>100</v>
      </c>
      <c r="X29" s="1476"/>
      <c r="Y29" s="3701"/>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01"/>
      <c r="Q30" s="1481">
        <f t="shared" si="11"/>
        <v>111</v>
      </c>
      <c r="R30" s="1482" t="s">
        <v>11</v>
      </c>
      <c r="S30" s="1483">
        <f t="shared" si="12"/>
        <v>100</v>
      </c>
      <c r="T30" s="1482" t="s">
        <v>11</v>
      </c>
      <c r="U30" s="1483">
        <f t="shared" si="13"/>
        <v>100</v>
      </c>
      <c r="V30" s="1482" t="s">
        <v>11</v>
      </c>
      <c r="W30" s="1483">
        <f t="shared" si="14"/>
        <v>100</v>
      </c>
      <c r="X30" s="1476"/>
      <c r="Y30" s="3701"/>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01"/>
      <c r="Q31" s="1481">
        <f t="shared" si="11"/>
        <v>111</v>
      </c>
      <c r="R31" s="1482" t="s">
        <v>11</v>
      </c>
      <c r="S31" s="1483">
        <f t="shared" si="12"/>
        <v>100</v>
      </c>
      <c r="T31" s="1482" t="s">
        <v>11</v>
      </c>
      <c r="U31" s="1483">
        <f t="shared" si="13"/>
        <v>100</v>
      </c>
      <c r="V31" s="1482" t="s">
        <v>11</v>
      </c>
      <c r="W31" s="1483">
        <f t="shared" si="14"/>
        <v>100</v>
      </c>
      <c r="X31" s="1476"/>
      <c r="Y31" s="3701"/>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02" t="s">
        <v>528</v>
      </c>
      <c r="Q32" s="1481" t="str">
        <f t="shared" si="11"/>
        <v>建筑类型</v>
      </c>
      <c r="R32" s="1482" t="s">
        <v>11</v>
      </c>
      <c r="S32" s="1483">
        <f t="shared" si="12"/>
        <v>100</v>
      </c>
      <c r="T32" s="1482" t="s">
        <v>11</v>
      </c>
      <c r="U32" s="1483">
        <f t="shared" si="13"/>
        <v>100</v>
      </c>
      <c r="V32" s="1482" t="s">
        <v>11</v>
      </c>
      <c r="W32" s="1483">
        <f t="shared" si="14"/>
        <v>100</v>
      </c>
      <c r="X32" s="1476"/>
      <c r="Y32" s="3703"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03"/>
      <c r="Q33" s="1510" t="str">
        <f t="shared" si="11"/>
        <v>项目建筑规模</v>
      </c>
      <c r="R33" s="1486" t="s">
        <v>11</v>
      </c>
      <c r="S33" s="1487" t="e">
        <f t="shared" si="12"/>
        <v>#N/A</v>
      </c>
      <c r="T33" s="1486" t="s">
        <v>11</v>
      </c>
      <c r="U33" s="1487" t="e">
        <f t="shared" si="13"/>
        <v>#N/A</v>
      </c>
      <c r="V33" s="1486" t="s">
        <v>11</v>
      </c>
      <c r="W33" s="1487" t="e">
        <f t="shared" si="14"/>
        <v>#N/A</v>
      </c>
      <c r="X33" s="1488"/>
      <c r="Y33" s="3703"/>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03"/>
      <c r="Q34" s="1481" t="str">
        <f t="shared" si="11"/>
        <v>建筑结构</v>
      </c>
      <c r="R34" s="1482" t="s">
        <v>11</v>
      </c>
      <c r="S34" s="1483">
        <f t="shared" si="12"/>
        <v>100</v>
      </c>
      <c r="T34" s="1482" t="s">
        <v>11</v>
      </c>
      <c r="U34" s="1483">
        <f t="shared" si="13"/>
        <v>100</v>
      </c>
      <c r="V34" s="1482" t="s">
        <v>11</v>
      </c>
      <c r="W34" s="1483">
        <f t="shared" si="14"/>
        <v>100</v>
      </c>
      <c r="X34" s="1476"/>
      <c r="Y34" s="3703"/>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03"/>
      <c r="Q35" s="1481" t="str">
        <f t="shared" si="11"/>
        <v>建筑品质</v>
      </c>
      <c r="R35" s="1482" t="s">
        <v>11</v>
      </c>
      <c r="S35" s="1483">
        <f t="shared" si="12"/>
        <v>100</v>
      </c>
      <c r="T35" s="1482" t="s">
        <v>11</v>
      </c>
      <c r="U35" s="1483">
        <f t="shared" si="13"/>
        <v>100</v>
      </c>
      <c r="V35" s="1482" t="s">
        <v>11</v>
      </c>
      <c r="W35" s="1483">
        <f t="shared" si="14"/>
        <v>100</v>
      </c>
      <c r="X35" s="1476"/>
      <c r="Y35" s="3703"/>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03"/>
      <c r="Q36" s="1481" t="str">
        <f t="shared" si="11"/>
        <v>公共部分装修</v>
      </c>
      <c r="R36" s="1482" t="s">
        <v>11</v>
      </c>
      <c r="S36" s="1483">
        <f t="shared" si="12"/>
        <v>100</v>
      </c>
      <c r="T36" s="1482" t="s">
        <v>11</v>
      </c>
      <c r="U36" s="1483">
        <f t="shared" si="13"/>
        <v>100</v>
      </c>
      <c r="V36" s="1482" t="s">
        <v>11</v>
      </c>
      <c r="W36" s="1483">
        <f t="shared" si="14"/>
        <v>100</v>
      </c>
      <c r="X36" s="1476"/>
      <c r="Y36" s="3703"/>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03"/>
      <c r="Q37" s="1116" t="str">
        <f t="shared" si="11"/>
        <v>成新度</v>
      </c>
      <c r="R37" s="1477" t="s">
        <v>11</v>
      </c>
      <c r="S37" s="1478" t="e">
        <f t="shared" si="12"/>
        <v>#N/A</v>
      </c>
      <c r="T37" s="1477" t="s">
        <v>11</v>
      </c>
      <c r="U37" s="1478" t="e">
        <f t="shared" si="13"/>
        <v>#N/A</v>
      </c>
      <c r="V37" s="1477" t="s">
        <v>11</v>
      </c>
      <c r="W37" s="1478" t="e">
        <f t="shared" si="14"/>
        <v>#N/A</v>
      </c>
      <c r="X37" s="1479"/>
      <c r="Y37" s="3703"/>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03" t="s">
        <v>528</v>
      </c>
      <c r="Q38" s="1481" t="str">
        <f t="shared" si="11"/>
        <v>物业管理</v>
      </c>
      <c r="R38" s="1482" t="s">
        <v>11</v>
      </c>
      <c r="S38" s="1483">
        <f t="shared" si="12"/>
        <v>100</v>
      </c>
      <c r="T38" s="1482" t="s">
        <v>11</v>
      </c>
      <c r="U38" s="1483">
        <f t="shared" si="13"/>
        <v>100</v>
      </c>
      <c r="V38" s="1482" t="s">
        <v>11</v>
      </c>
      <c r="W38" s="1483">
        <f t="shared" si="14"/>
        <v>100</v>
      </c>
      <c r="X38" s="1476"/>
      <c r="Y38" s="3703"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03"/>
      <c r="Q39" s="1481" t="str">
        <f t="shared" si="11"/>
        <v>市政基础设施</v>
      </c>
      <c r="R39" s="1482" t="s">
        <v>11</v>
      </c>
      <c r="S39" s="1483">
        <f t="shared" si="12"/>
        <v>100</v>
      </c>
      <c r="T39" s="1482" t="s">
        <v>11</v>
      </c>
      <c r="U39" s="1483">
        <f t="shared" si="13"/>
        <v>100</v>
      </c>
      <c r="V39" s="1482" t="s">
        <v>11</v>
      </c>
      <c r="W39" s="1483">
        <f t="shared" si="14"/>
        <v>100</v>
      </c>
      <c r="X39" s="1476"/>
      <c r="Y39" s="3703"/>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03"/>
      <c r="Q40" s="1481" t="str">
        <f t="shared" si="11"/>
        <v>房型</v>
      </c>
      <c r="R40" s="1482" t="s">
        <v>11</v>
      </c>
      <c r="S40" s="1483">
        <f t="shared" si="12"/>
        <v>100</v>
      </c>
      <c r="T40" s="1482" t="s">
        <v>11</v>
      </c>
      <c r="U40" s="1483">
        <f t="shared" si="13"/>
        <v>100</v>
      </c>
      <c r="V40" s="1482" t="s">
        <v>11</v>
      </c>
      <c r="W40" s="1483">
        <f t="shared" si="14"/>
        <v>100</v>
      </c>
      <c r="X40" s="1476"/>
      <c r="Y40" s="3703"/>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03"/>
      <c r="Q41" s="1510" t="str">
        <f t="shared" si="11"/>
        <v>单套/主力户型建筑面积</v>
      </c>
      <c r="R41" s="1486" t="s">
        <v>11</v>
      </c>
      <c r="S41" s="1487">
        <f t="shared" si="12"/>
        <v>100</v>
      </c>
      <c r="T41" s="1486" t="s">
        <v>11</v>
      </c>
      <c r="U41" s="1487">
        <f t="shared" si="13"/>
        <v>100</v>
      </c>
      <c r="V41" s="1486" t="s">
        <v>11</v>
      </c>
      <c r="W41" s="1487">
        <f t="shared" si="14"/>
        <v>100</v>
      </c>
      <c r="X41" s="1488"/>
      <c r="Y41" s="3703"/>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03"/>
      <c r="Q42" s="1481" t="str">
        <f t="shared" si="11"/>
        <v>内部装修</v>
      </c>
      <c r="R42" s="1482" t="s">
        <v>11</v>
      </c>
      <c r="S42" s="1483">
        <f t="shared" si="12"/>
        <v>100</v>
      </c>
      <c r="T42" s="1482" t="s">
        <v>11</v>
      </c>
      <c r="U42" s="1483">
        <f t="shared" si="13"/>
        <v>100</v>
      </c>
      <c r="V42" s="1482" t="s">
        <v>11</v>
      </c>
      <c r="W42" s="1483">
        <f t="shared" si="14"/>
        <v>100</v>
      </c>
      <c r="X42" s="1476"/>
      <c r="Y42" s="3703"/>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03"/>
      <c r="Q43" s="1481" t="str">
        <f t="shared" si="11"/>
        <v>内部装修维护情况</v>
      </c>
      <c r="R43" s="1482" t="s">
        <v>11</v>
      </c>
      <c r="S43" s="1483">
        <f t="shared" si="12"/>
        <v>100</v>
      </c>
      <c r="T43" s="1482" t="s">
        <v>11</v>
      </c>
      <c r="U43" s="1483">
        <f t="shared" si="13"/>
        <v>100</v>
      </c>
      <c r="V43" s="1482" t="s">
        <v>11</v>
      </c>
      <c r="W43" s="1483">
        <f t="shared" si="14"/>
        <v>100</v>
      </c>
      <c r="X43" s="1476"/>
      <c r="Y43" s="3703"/>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03"/>
      <c r="Q44" s="1116">
        <f t="shared" si="11"/>
        <v>111</v>
      </c>
      <c r="R44" s="1477" t="s">
        <v>11</v>
      </c>
      <c r="S44" s="1478">
        <f t="shared" si="12"/>
        <v>100</v>
      </c>
      <c r="T44" s="1477" t="s">
        <v>11</v>
      </c>
      <c r="U44" s="1478">
        <f t="shared" si="13"/>
        <v>100</v>
      </c>
      <c r="V44" s="1477" t="s">
        <v>11</v>
      </c>
      <c r="W44" s="1478">
        <f t="shared" si="14"/>
        <v>100</v>
      </c>
      <c r="X44" s="1479"/>
      <c r="Y44" s="3703"/>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03"/>
      <c r="Q45" s="1481">
        <f t="shared" si="11"/>
        <v>111</v>
      </c>
      <c r="R45" s="1482" t="s">
        <v>11</v>
      </c>
      <c r="S45" s="1483">
        <f t="shared" si="12"/>
        <v>100</v>
      </c>
      <c r="T45" s="1482" t="s">
        <v>11</v>
      </c>
      <c r="U45" s="1483">
        <f t="shared" si="13"/>
        <v>100</v>
      </c>
      <c r="V45" s="1482" t="s">
        <v>11</v>
      </c>
      <c r="W45" s="1483">
        <f t="shared" si="14"/>
        <v>100</v>
      </c>
      <c r="X45" s="1476"/>
      <c r="Y45" s="3703"/>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04"/>
      <c r="Q46" s="1481">
        <f t="shared" si="11"/>
        <v>111</v>
      </c>
      <c r="R46" s="1482" t="s">
        <v>10</v>
      </c>
      <c r="S46" s="1483">
        <f t="shared" si="12"/>
        <v>100</v>
      </c>
      <c r="T46" s="1482" t="s">
        <v>10</v>
      </c>
      <c r="U46" s="1483">
        <f t="shared" si="13"/>
        <v>100</v>
      </c>
      <c r="V46" s="1482" t="s">
        <v>10</v>
      </c>
      <c r="W46" s="1483">
        <f t="shared" si="14"/>
        <v>100</v>
      </c>
      <c r="X46" s="1476"/>
      <c r="Y46" s="3804"/>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666" t="str">
        <f>A47</f>
        <v>成交单价（元/平方米）</v>
      </c>
      <c r="Q47" s="3666"/>
      <c r="R47" s="3803">
        <f>E47</f>
        <v>0</v>
      </c>
      <c r="S47" s="3803"/>
      <c r="T47" s="3803">
        <f>G47</f>
        <v>0</v>
      </c>
      <c r="U47" s="3803"/>
      <c r="V47" s="3803">
        <f>I47</f>
        <v>0</v>
      </c>
      <c r="W47" s="3803"/>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66" t="str">
        <f>A48</f>
        <v>比较价格（元/平方米）</v>
      </c>
      <c r="Q48" s="366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2"/>
      <c r="L49" s="1997"/>
      <c r="M49" s="1998"/>
      <c r="N49" s="1998"/>
      <c r="O49" s="1998"/>
      <c r="P49" s="3663" t="str">
        <f>A49</f>
        <v>估价对象XX用房的比较价格（楼面单价，元/平方米）</v>
      </c>
      <c r="Q49" s="3664"/>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126069.5平方米。根据《建设工程规划许可证》[]、《出让合同》[]，估价对象规划建筑面积为217541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根据《国有土地使用证》[]，估价对象（分摊）出让国有建设用地使用权面积为126069.5平方米。根据《建设工程规划许可证》[]、《出让合同》[]，估价对象规划建筑面积为217541平方米。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672" t="s">
        <v>500</v>
      </c>
      <c r="D4" s="3673"/>
      <c r="E4" s="3706" t="s">
        <v>501</v>
      </c>
      <c r="F4" s="3707"/>
      <c r="G4" s="3672" t="s">
        <v>502</v>
      </c>
      <c r="H4" s="3673"/>
      <c r="I4" s="3672" t="s">
        <v>503</v>
      </c>
      <c r="J4" s="3673"/>
      <c r="K4" s="490"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67" t="s">
        <v>502</v>
      </c>
      <c r="AC4" s="3669" t="s">
        <v>503</v>
      </c>
    </row>
    <row r="5" spans="1:29" ht="15">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67"/>
      <c r="AC5" s="3670"/>
    </row>
    <row r="6" spans="1:29" ht="15.7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67"/>
      <c r="AC6" s="3671"/>
    </row>
    <row r="7" spans="1:29" s="1185" customFormat="1" ht="15.7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97"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00" t="s">
        <v>518</v>
      </c>
      <c r="Q15" s="1481" t="str">
        <f t="shared" si="6"/>
        <v>商业繁华度</v>
      </c>
      <c r="R15" s="1482" t="s">
        <v>8</v>
      </c>
      <c r="S15" s="1483">
        <f t="shared" si="0"/>
        <v>100</v>
      </c>
      <c r="T15" s="1482" t="s">
        <v>8</v>
      </c>
      <c r="U15" s="1483">
        <f t="shared" si="1"/>
        <v>100</v>
      </c>
      <c r="V15" s="1482" t="s">
        <v>8</v>
      </c>
      <c r="W15" s="1483">
        <f t="shared" si="2"/>
        <v>100</v>
      </c>
      <c r="X15" s="1476"/>
      <c r="Y15" s="3700"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01"/>
      <c r="Q16" s="1481"/>
      <c r="R16" s="1482"/>
      <c r="S16" s="1483"/>
      <c r="T16" s="1482"/>
      <c r="U16" s="1483"/>
      <c r="V16" s="1482"/>
      <c r="W16" s="1483"/>
      <c r="X16" s="1476"/>
      <c r="Y16" s="3701"/>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01"/>
      <c r="Q22" s="2397"/>
      <c r="R22" s="1482"/>
      <c r="S22" s="1483"/>
      <c r="T22" s="1482"/>
      <c r="U22" s="1483"/>
      <c r="V22" s="1482"/>
      <c r="W22" s="1483"/>
      <c r="X22" s="2399"/>
      <c r="Y22" s="3701"/>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01"/>
      <c r="Q23" s="1481" t="str">
        <f>B23</f>
        <v>自然及人文环境</v>
      </c>
      <c r="R23" s="1482" t="s">
        <v>8</v>
      </c>
      <c r="S23" s="1483">
        <f>F23</f>
        <v>100</v>
      </c>
      <c r="T23" s="1482" t="s">
        <v>8</v>
      </c>
      <c r="U23" s="1483">
        <f>H23</f>
        <v>100</v>
      </c>
      <c r="V23" s="1482" t="s">
        <v>8</v>
      </c>
      <c r="W23" s="1483">
        <f>J23</f>
        <v>100</v>
      </c>
      <c r="X23" s="1476"/>
      <c r="Y23" s="3701"/>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01"/>
      <c r="Q25" s="1481" t="str">
        <f t="shared" ref="Q25:Q46" si="11">B25</f>
        <v>临街状况</v>
      </c>
      <c r="R25" s="1482" t="s">
        <v>8</v>
      </c>
      <c r="S25" s="1483">
        <f>F25</f>
        <v>100</v>
      </c>
      <c r="T25" s="1482" t="s">
        <v>8</v>
      </c>
      <c r="U25" s="1483">
        <f>H25</f>
        <v>100</v>
      </c>
      <c r="V25" s="1482" t="s">
        <v>8</v>
      </c>
      <c r="W25" s="1483">
        <f>J25</f>
        <v>100</v>
      </c>
      <c r="X25" s="1476"/>
      <c r="Y25" s="3701"/>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01"/>
      <c r="Q26" s="1481" t="str">
        <f t="shared" si="11"/>
        <v>平面位置/可视性</v>
      </c>
      <c r="R26" s="1482" t="s">
        <v>8</v>
      </c>
      <c r="S26" s="1483">
        <f>F26</f>
        <v>100</v>
      </c>
      <c r="T26" s="1482" t="s">
        <v>8</v>
      </c>
      <c r="U26" s="1483">
        <f>H26</f>
        <v>100</v>
      </c>
      <c r="V26" s="1482" t="s">
        <v>8</v>
      </c>
      <c r="W26" s="1483">
        <f>J26</f>
        <v>100</v>
      </c>
      <c r="X26" s="1476"/>
      <c r="Y26" s="3701"/>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01"/>
      <c r="Q27" s="1116" t="str">
        <f t="shared" si="11"/>
        <v>人流量</v>
      </c>
      <c r="R27" s="1477" t="s">
        <v>8</v>
      </c>
      <c r="S27" s="1478">
        <f>F27</f>
        <v>100</v>
      </c>
      <c r="T27" s="1477" t="s">
        <v>8</v>
      </c>
      <c r="U27" s="1478">
        <f>H27</f>
        <v>100</v>
      </c>
      <c r="V27" s="1477" t="s">
        <v>8</v>
      </c>
      <c r="W27" s="1478">
        <f>J27</f>
        <v>100</v>
      </c>
      <c r="X27" s="1479"/>
      <c r="Y27" s="3701"/>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01"/>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01"/>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01"/>
      <c r="Q29" s="1481">
        <f t="shared" si="11"/>
        <v>111</v>
      </c>
      <c r="R29" s="1482" t="s">
        <v>8</v>
      </c>
      <c r="S29" s="1483">
        <f t="shared" si="12"/>
        <v>100</v>
      </c>
      <c r="T29" s="1482" t="s">
        <v>8</v>
      </c>
      <c r="U29" s="1483">
        <f t="shared" si="13"/>
        <v>100</v>
      </c>
      <c r="V29" s="1482" t="s">
        <v>8</v>
      </c>
      <c r="W29" s="1483">
        <f t="shared" si="14"/>
        <v>100</v>
      </c>
      <c r="X29" s="1476"/>
      <c r="Y29" s="3701"/>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01"/>
      <c r="Q30" s="1481">
        <f t="shared" si="11"/>
        <v>111</v>
      </c>
      <c r="R30" s="1482" t="s">
        <v>8</v>
      </c>
      <c r="S30" s="1483">
        <f t="shared" si="12"/>
        <v>100</v>
      </c>
      <c r="T30" s="1482" t="s">
        <v>8</v>
      </c>
      <c r="U30" s="1483">
        <f t="shared" si="13"/>
        <v>100</v>
      </c>
      <c r="V30" s="1482" t="s">
        <v>8</v>
      </c>
      <c r="W30" s="1483">
        <f t="shared" si="14"/>
        <v>100</v>
      </c>
      <c r="X30" s="1476"/>
      <c r="Y30" s="3701"/>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01"/>
      <c r="Q31" s="1481">
        <f t="shared" si="11"/>
        <v>111</v>
      </c>
      <c r="R31" s="1482" t="s">
        <v>8</v>
      </c>
      <c r="S31" s="1483">
        <f t="shared" si="12"/>
        <v>100</v>
      </c>
      <c r="T31" s="1482" t="s">
        <v>8</v>
      </c>
      <c r="U31" s="1483">
        <f t="shared" si="13"/>
        <v>100</v>
      </c>
      <c r="V31" s="1482" t="s">
        <v>8</v>
      </c>
      <c r="W31" s="1483">
        <f t="shared" si="14"/>
        <v>100</v>
      </c>
      <c r="X31" s="1476"/>
      <c r="Y31" s="3701"/>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02" t="s">
        <v>528</v>
      </c>
      <c r="Q32" s="1481" t="str">
        <f t="shared" si="11"/>
        <v>商业类型</v>
      </c>
      <c r="R32" s="1482" t="s">
        <v>8</v>
      </c>
      <c r="S32" s="1483">
        <f t="shared" si="12"/>
        <v>100</v>
      </c>
      <c r="T32" s="1482" t="s">
        <v>8</v>
      </c>
      <c r="U32" s="1483">
        <f t="shared" si="13"/>
        <v>100</v>
      </c>
      <c r="V32" s="1482" t="s">
        <v>8</v>
      </c>
      <c r="W32" s="1483">
        <f t="shared" si="14"/>
        <v>100</v>
      </c>
      <c r="X32" s="1476"/>
      <c r="Y32" s="3703"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03"/>
      <c r="Q33" s="1510" t="str">
        <f t="shared" si="11"/>
        <v>项目建筑规模</v>
      </c>
      <c r="R33" s="1486" t="s">
        <v>8</v>
      </c>
      <c r="S33" s="1487" t="e">
        <f t="shared" si="12"/>
        <v>#N/A</v>
      </c>
      <c r="T33" s="1486" t="s">
        <v>8</v>
      </c>
      <c r="U33" s="1487" t="e">
        <f t="shared" si="13"/>
        <v>#N/A</v>
      </c>
      <c r="V33" s="1486" t="s">
        <v>8</v>
      </c>
      <c r="W33" s="1487" t="e">
        <f t="shared" si="14"/>
        <v>#N/A</v>
      </c>
      <c r="X33" s="1488"/>
      <c r="Y33" s="3703"/>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03"/>
      <c r="Q34" s="1481" t="str">
        <f t="shared" si="11"/>
        <v>建筑结构</v>
      </c>
      <c r="R34" s="1482" t="s">
        <v>8</v>
      </c>
      <c r="S34" s="1483">
        <f t="shared" si="12"/>
        <v>100</v>
      </c>
      <c r="T34" s="1482" t="s">
        <v>8</v>
      </c>
      <c r="U34" s="1483">
        <f t="shared" si="13"/>
        <v>100</v>
      </c>
      <c r="V34" s="1482" t="s">
        <v>8</v>
      </c>
      <c r="W34" s="1483">
        <f t="shared" si="14"/>
        <v>100</v>
      </c>
      <c r="X34" s="1476"/>
      <c r="Y34" s="3703"/>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03"/>
      <c r="Q35" s="1481" t="str">
        <f t="shared" si="11"/>
        <v>公共部分装修</v>
      </c>
      <c r="R35" s="1482" t="s">
        <v>8</v>
      </c>
      <c r="S35" s="1483">
        <f t="shared" si="12"/>
        <v>100</v>
      </c>
      <c r="T35" s="1482" t="s">
        <v>8</v>
      </c>
      <c r="U35" s="1483">
        <f t="shared" si="13"/>
        <v>100</v>
      </c>
      <c r="V35" s="1482" t="s">
        <v>8</v>
      </c>
      <c r="W35" s="1483">
        <f t="shared" si="14"/>
        <v>100</v>
      </c>
      <c r="X35" s="1476"/>
      <c r="Y35" s="3703"/>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03"/>
      <c r="Q36" s="1481" t="str">
        <f t="shared" si="11"/>
        <v>成新度</v>
      </c>
      <c r="R36" s="1482" t="s">
        <v>8</v>
      </c>
      <c r="S36" s="1483" t="e">
        <f t="shared" si="12"/>
        <v>#N/A</v>
      </c>
      <c r="T36" s="1482" t="s">
        <v>8</v>
      </c>
      <c r="U36" s="1483" t="e">
        <f t="shared" si="13"/>
        <v>#N/A</v>
      </c>
      <c r="V36" s="1482" t="s">
        <v>8</v>
      </c>
      <c r="W36" s="1483" t="e">
        <f t="shared" si="14"/>
        <v>#N/A</v>
      </c>
      <c r="X36" s="1476"/>
      <c r="Y36" s="3703"/>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03"/>
      <c r="Q37" s="1116" t="str">
        <f t="shared" si="11"/>
        <v>市政基础设施</v>
      </c>
      <c r="R37" s="1477" t="s">
        <v>8</v>
      </c>
      <c r="S37" s="1478">
        <f t="shared" si="12"/>
        <v>100</v>
      </c>
      <c r="T37" s="1477" t="s">
        <v>8</v>
      </c>
      <c r="U37" s="1478">
        <f t="shared" si="13"/>
        <v>100</v>
      </c>
      <c r="V37" s="1477" t="s">
        <v>8</v>
      </c>
      <c r="W37" s="1478">
        <f t="shared" si="14"/>
        <v>100</v>
      </c>
      <c r="X37" s="1479"/>
      <c r="Y37" s="3703"/>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03" t="s">
        <v>744</v>
      </c>
      <c r="Q38" s="1481" t="str">
        <f t="shared" si="11"/>
        <v>业态</v>
      </c>
      <c r="R38" s="1482" t="s">
        <v>8</v>
      </c>
      <c r="S38" s="1483">
        <f t="shared" si="12"/>
        <v>100</v>
      </c>
      <c r="T38" s="1482" t="s">
        <v>8</v>
      </c>
      <c r="U38" s="1483">
        <f t="shared" si="13"/>
        <v>100</v>
      </c>
      <c r="V38" s="1482" t="s">
        <v>8</v>
      </c>
      <c r="W38" s="1483">
        <f t="shared" si="14"/>
        <v>100</v>
      </c>
      <c r="X38" s="1476"/>
      <c r="Y38" s="3703"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3"/>
      <c r="Q39" s="1481" t="str">
        <f t="shared" si="11"/>
        <v>层高</v>
      </c>
      <c r="R39" s="1482" t="s">
        <v>8</v>
      </c>
      <c r="S39" s="1483">
        <f t="shared" si="12"/>
        <v>100</v>
      </c>
      <c r="T39" s="1482" t="s">
        <v>8</v>
      </c>
      <c r="U39" s="1483">
        <f t="shared" si="13"/>
        <v>100</v>
      </c>
      <c r="V39" s="1482" t="s">
        <v>8</v>
      </c>
      <c r="W39" s="1483">
        <f t="shared" si="14"/>
        <v>100</v>
      </c>
      <c r="X39" s="1476"/>
      <c r="Y39" s="3703"/>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03"/>
      <c r="Q40" s="1481" t="str">
        <f t="shared" si="11"/>
        <v>单套建筑面积</v>
      </c>
      <c r="R40" s="1482" t="s">
        <v>8</v>
      </c>
      <c r="S40" s="1483">
        <f t="shared" si="12"/>
        <v>100</v>
      </c>
      <c r="T40" s="1482" t="s">
        <v>8</v>
      </c>
      <c r="U40" s="1483">
        <f t="shared" si="13"/>
        <v>100</v>
      </c>
      <c r="V40" s="1482" t="s">
        <v>8</v>
      </c>
      <c r="W40" s="1483">
        <f t="shared" si="14"/>
        <v>100</v>
      </c>
      <c r="X40" s="1476"/>
      <c r="Y40" s="3703"/>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03"/>
      <c r="Q41" s="1510" t="str">
        <f t="shared" si="11"/>
        <v>进深比</v>
      </c>
      <c r="R41" s="1486" t="s">
        <v>8</v>
      </c>
      <c r="S41" s="1487">
        <f t="shared" si="12"/>
        <v>100</v>
      </c>
      <c r="T41" s="1486" t="s">
        <v>8</v>
      </c>
      <c r="U41" s="1487">
        <f t="shared" si="13"/>
        <v>100</v>
      </c>
      <c r="V41" s="1486" t="s">
        <v>8</v>
      </c>
      <c r="W41" s="1487">
        <f t="shared" si="14"/>
        <v>100</v>
      </c>
      <c r="X41" s="1488"/>
      <c r="Y41" s="3703"/>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03"/>
      <c r="Q42" s="1481" t="str">
        <f t="shared" si="11"/>
        <v>内部装修</v>
      </c>
      <c r="R42" s="1482" t="s">
        <v>8</v>
      </c>
      <c r="S42" s="1483">
        <f t="shared" si="12"/>
        <v>100</v>
      </c>
      <c r="T42" s="1482" t="s">
        <v>8</v>
      </c>
      <c r="U42" s="1483">
        <f t="shared" si="13"/>
        <v>100</v>
      </c>
      <c r="V42" s="1482" t="s">
        <v>8</v>
      </c>
      <c r="W42" s="1483">
        <f t="shared" si="14"/>
        <v>100</v>
      </c>
      <c r="X42" s="1476"/>
      <c r="Y42" s="3703"/>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03"/>
      <c r="Q43" s="1481" t="str">
        <f t="shared" si="11"/>
        <v>内部装修维护情况</v>
      </c>
      <c r="R43" s="1482" t="s">
        <v>8</v>
      </c>
      <c r="S43" s="1483">
        <f t="shared" si="12"/>
        <v>100</v>
      </c>
      <c r="T43" s="1482" t="s">
        <v>8</v>
      </c>
      <c r="U43" s="1483">
        <f t="shared" si="13"/>
        <v>100</v>
      </c>
      <c r="V43" s="1482" t="s">
        <v>8</v>
      </c>
      <c r="W43" s="1483">
        <f t="shared" si="14"/>
        <v>100</v>
      </c>
      <c r="X43" s="1476"/>
      <c r="Y43" s="3703"/>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03"/>
      <c r="Q44" s="1116">
        <f t="shared" si="11"/>
        <v>111</v>
      </c>
      <c r="R44" s="1477" t="s">
        <v>8</v>
      </c>
      <c r="S44" s="1478">
        <f t="shared" si="12"/>
        <v>100</v>
      </c>
      <c r="T44" s="1477" t="s">
        <v>8</v>
      </c>
      <c r="U44" s="1478">
        <f t="shared" si="13"/>
        <v>100</v>
      </c>
      <c r="V44" s="1477" t="s">
        <v>8</v>
      </c>
      <c r="W44" s="1478">
        <f t="shared" si="14"/>
        <v>100</v>
      </c>
      <c r="X44" s="1479"/>
      <c r="Y44" s="3703"/>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03"/>
      <c r="Q45" s="1481">
        <f t="shared" si="11"/>
        <v>111</v>
      </c>
      <c r="R45" s="1482" t="s">
        <v>8</v>
      </c>
      <c r="S45" s="1483">
        <f t="shared" si="12"/>
        <v>100</v>
      </c>
      <c r="T45" s="1482" t="s">
        <v>8</v>
      </c>
      <c r="U45" s="1483">
        <f t="shared" si="13"/>
        <v>100</v>
      </c>
      <c r="V45" s="1482" t="s">
        <v>8</v>
      </c>
      <c r="W45" s="1483">
        <f t="shared" si="14"/>
        <v>100</v>
      </c>
      <c r="X45" s="1476"/>
      <c r="Y45" s="3703"/>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04"/>
      <c r="Q46" s="1481">
        <f t="shared" si="11"/>
        <v>111</v>
      </c>
      <c r="R46" s="1482" t="s">
        <v>8</v>
      </c>
      <c r="S46" s="1483">
        <f t="shared" si="12"/>
        <v>100</v>
      </c>
      <c r="T46" s="1482" t="s">
        <v>8</v>
      </c>
      <c r="U46" s="1483">
        <f t="shared" si="13"/>
        <v>100</v>
      </c>
      <c r="V46" s="1482" t="s">
        <v>8</v>
      </c>
      <c r="W46" s="1483">
        <f t="shared" si="14"/>
        <v>100</v>
      </c>
      <c r="X46" s="1476"/>
      <c r="Y46" s="3804"/>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666" t="str">
        <f>A47</f>
        <v>成交单价（元/平方米）</v>
      </c>
      <c r="Q47" s="3666"/>
      <c r="R47" s="3803">
        <f>E47</f>
        <v>0</v>
      </c>
      <c r="S47" s="3803"/>
      <c r="T47" s="3803">
        <f>G47</f>
        <v>0</v>
      </c>
      <c r="U47" s="3803"/>
      <c r="V47" s="3803">
        <f>I47</f>
        <v>0</v>
      </c>
      <c r="W47" s="3803"/>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66" t="str">
        <f>A48</f>
        <v>比较价格（元/平方米）</v>
      </c>
      <c r="Q48" s="366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6"/>
      <c r="L49" s="1997"/>
      <c r="M49" s="1998"/>
      <c r="N49" s="1987"/>
      <c r="O49" s="1998"/>
      <c r="P49" s="3663" t="str">
        <f>A49</f>
        <v>估价对象XX用房的比较价格（楼面单价，元/平方米）</v>
      </c>
      <c r="Q49" s="3664"/>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672" t="s">
        <v>500</v>
      </c>
      <c r="D4" s="3673"/>
      <c r="E4" s="3706" t="s">
        <v>501</v>
      </c>
      <c r="F4" s="3707"/>
      <c r="G4" s="3672" t="s">
        <v>502</v>
      </c>
      <c r="H4" s="3673"/>
      <c r="I4" s="3672" t="s">
        <v>503</v>
      </c>
      <c r="J4" s="3673"/>
      <c r="K4" s="490" t="s">
        <v>504</v>
      </c>
      <c r="L4" s="1986"/>
      <c r="M4" s="1987"/>
      <c r="N4" s="1987"/>
      <c r="O4" s="1987"/>
      <c r="P4" s="3806" t="s">
        <v>505</v>
      </c>
      <c r="Q4" s="3675"/>
      <c r="R4" s="3680" t="s">
        <v>501</v>
      </c>
      <c r="S4" s="3681"/>
      <c r="T4" s="3680" t="s">
        <v>502</v>
      </c>
      <c r="U4" s="3681"/>
      <c r="V4" s="3667" t="s">
        <v>503</v>
      </c>
      <c r="W4" s="3667"/>
      <c r="X4" s="1476"/>
      <c r="Y4" s="3680" t="s">
        <v>505</v>
      </c>
      <c r="Z4" s="3681"/>
      <c r="AA4" s="3669" t="s">
        <v>501</v>
      </c>
      <c r="AB4" s="3669" t="s">
        <v>502</v>
      </c>
      <c r="AC4" s="3669" t="s">
        <v>503</v>
      </c>
    </row>
    <row r="5" spans="1:29" ht="15">
      <c r="A5" s="491"/>
      <c r="B5" s="492"/>
      <c r="C5" s="3688" t="s">
        <v>2867</v>
      </c>
      <c r="D5" s="3689"/>
      <c r="E5" s="3708" t="s">
        <v>2868</v>
      </c>
      <c r="F5" s="3709"/>
      <c r="G5" s="3688" t="s">
        <v>2869</v>
      </c>
      <c r="H5" s="3689"/>
      <c r="I5" s="3688" t="s">
        <v>2870</v>
      </c>
      <c r="J5" s="3689"/>
      <c r="K5" s="490"/>
      <c r="L5" s="1986"/>
      <c r="M5" s="1987"/>
      <c r="N5" s="1987"/>
      <c r="O5" s="1987"/>
      <c r="P5" s="3807"/>
      <c r="Q5" s="3677"/>
      <c r="R5" s="3682"/>
      <c r="S5" s="3683"/>
      <c r="T5" s="3682"/>
      <c r="U5" s="3683"/>
      <c r="V5" s="3667"/>
      <c r="W5" s="3667"/>
      <c r="X5" s="1476"/>
      <c r="Y5" s="3682"/>
      <c r="Z5" s="3683"/>
      <c r="AA5" s="3670"/>
      <c r="AB5" s="3670"/>
      <c r="AC5" s="3670"/>
    </row>
    <row r="6" spans="1:29" ht="15.75" thickBot="1">
      <c r="A6" s="493"/>
      <c r="B6" s="494"/>
      <c r="C6" s="3686" t="s">
        <v>2871</v>
      </c>
      <c r="D6" s="3687"/>
      <c r="E6" s="3704" t="s">
        <v>2871</v>
      </c>
      <c r="F6" s="3705"/>
      <c r="G6" s="3686" t="s">
        <v>2871</v>
      </c>
      <c r="H6" s="3687"/>
      <c r="I6" s="3686" t="s">
        <v>2871</v>
      </c>
      <c r="J6" s="3687"/>
      <c r="K6" s="490" t="s">
        <v>506</v>
      </c>
      <c r="L6" s="1986"/>
      <c r="M6" s="1987"/>
      <c r="N6" s="1987"/>
      <c r="O6" s="1987"/>
      <c r="P6" s="3808"/>
      <c r="Q6" s="3679"/>
      <c r="R6" s="3682"/>
      <c r="S6" s="3683"/>
      <c r="T6" s="3684"/>
      <c r="U6" s="3685"/>
      <c r="V6" s="3667"/>
      <c r="W6" s="3667"/>
      <c r="X6" s="1476"/>
      <c r="Y6" s="3684"/>
      <c r="Z6" s="3685"/>
      <c r="AA6" s="3671"/>
      <c r="AB6" s="3671"/>
      <c r="AC6" s="3671"/>
    </row>
    <row r="7" spans="1:29" s="1185" customFormat="1" ht="15.7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99"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99" t="s">
        <v>511</v>
      </c>
      <c r="Q8" s="3698"/>
      <c r="R8" s="1477" t="s">
        <v>8</v>
      </c>
      <c r="S8" s="1478">
        <f t="shared" si="0"/>
        <v>0</v>
      </c>
      <c r="T8" s="1477" t="s">
        <v>8</v>
      </c>
      <c r="U8" s="1478">
        <f t="shared" si="1"/>
        <v>0</v>
      </c>
      <c r="V8" s="1477" t="s">
        <v>8</v>
      </c>
      <c r="W8" s="1478">
        <f t="shared" si="2"/>
        <v>0</v>
      </c>
      <c r="X8" s="1479"/>
      <c r="Y8" s="3697" t="s">
        <v>511</v>
      </c>
      <c r="Z8" s="3698"/>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00" t="s">
        <v>518</v>
      </c>
      <c r="Q15" s="1481" t="str">
        <f t="shared" si="6"/>
        <v>办公集聚程度</v>
      </c>
      <c r="R15" s="1482" t="s">
        <v>8</v>
      </c>
      <c r="S15" s="1483">
        <f t="shared" si="0"/>
        <v>100</v>
      </c>
      <c r="T15" s="1482" t="s">
        <v>8</v>
      </c>
      <c r="U15" s="1483">
        <f t="shared" si="1"/>
        <v>100</v>
      </c>
      <c r="V15" s="1482" t="s">
        <v>8</v>
      </c>
      <c r="W15" s="1483">
        <f t="shared" si="2"/>
        <v>100</v>
      </c>
      <c r="X15" s="1476"/>
      <c r="Y15" s="3700"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01"/>
      <c r="Q16" s="1481"/>
      <c r="R16" s="1482"/>
      <c r="S16" s="1483"/>
      <c r="T16" s="1482"/>
      <c r="U16" s="1483"/>
      <c r="V16" s="1482"/>
      <c r="W16" s="1483"/>
      <c r="X16" s="1476"/>
      <c r="Y16" s="3701"/>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01"/>
      <c r="Q18" s="1481"/>
      <c r="R18" s="1482"/>
      <c r="S18" s="1483"/>
      <c r="T18" s="1482"/>
      <c r="U18" s="1483"/>
      <c r="V18" s="1482"/>
      <c r="W18" s="1483"/>
      <c r="X18" s="1476"/>
      <c r="Y18" s="3701"/>
      <c r="Z18" s="1484"/>
      <c r="AA18" s="1485">
        <v>1</v>
      </c>
      <c r="AB18" s="1485">
        <v>1</v>
      </c>
      <c r="AC18" s="1485">
        <v>1</v>
      </c>
    </row>
    <row r="19" spans="1:29" ht="42.75">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01"/>
      <c r="Q20" s="1481"/>
      <c r="R20" s="1482"/>
      <c r="S20" s="1483"/>
      <c r="T20" s="1482"/>
      <c r="U20" s="1483"/>
      <c r="V20" s="1482"/>
      <c r="W20" s="1483"/>
      <c r="X20" s="1476"/>
      <c r="Y20" s="3701"/>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01"/>
      <c r="Q22" s="2397"/>
      <c r="R22" s="1482"/>
      <c r="S22" s="1483"/>
      <c r="T22" s="1482"/>
      <c r="U22" s="1483"/>
      <c r="V22" s="1482"/>
      <c r="W22" s="1483"/>
      <c r="X22" s="2399"/>
      <c r="Y22" s="3701"/>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01"/>
      <c r="Q23" s="1481" t="str">
        <f>B23</f>
        <v>环境质量</v>
      </c>
      <c r="R23" s="1482" t="s">
        <v>8</v>
      </c>
      <c r="S23" s="1483">
        <f>F23</f>
        <v>100</v>
      </c>
      <c r="T23" s="1482" t="s">
        <v>8</v>
      </c>
      <c r="U23" s="1483">
        <f>H23</f>
        <v>100</v>
      </c>
      <c r="V23" s="1482" t="s">
        <v>8</v>
      </c>
      <c r="W23" s="1483">
        <f>J23</f>
        <v>100</v>
      </c>
      <c r="X23" s="1476"/>
      <c r="Y23" s="3701"/>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01"/>
      <c r="Q24" s="1481"/>
      <c r="R24" s="1482"/>
      <c r="S24" s="1483"/>
      <c r="T24" s="1482"/>
      <c r="U24" s="1483"/>
      <c r="V24" s="1482"/>
      <c r="W24" s="1483"/>
      <c r="X24" s="1476"/>
      <c r="Y24" s="3701"/>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01"/>
      <c r="Q25" s="1481" t="str">
        <f>B25</f>
        <v>毗邻道路的类型与等级</v>
      </c>
      <c r="R25" s="1482" t="s">
        <v>8</v>
      </c>
      <c r="S25" s="1483">
        <f>F25</f>
        <v>100</v>
      </c>
      <c r="T25" s="1482" t="s">
        <v>8</v>
      </c>
      <c r="U25" s="1483">
        <f>H25</f>
        <v>100</v>
      </c>
      <c r="V25" s="1482" t="s">
        <v>8</v>
      </c>
      <c r="W25" s="1483">
        <f>J25</f>
        <v>100</v>
      </c>
      <c r="X25" s="1476"/>
      <c r="Y25" s="3701"/>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01"/>
      <c r="Q26" s="1481"/>
      <c r="R26" s="1482"/>
      <c r="S26" s="1483"/>
      <c r="T26" s="1482"/>
      <c r="U26" s="1483"/>
      <c r="V26" s="1482"/>
      <c r="W26" s="1483"/>
      <c r="X26" s="1476"/>
      <c r="Y26" s="3701"/>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01"/>
      <c r="Q27" s="1481" t="str">
        <f t="shared" ref="Q27:Q47" si="11">B27</f>
        <v>楼层</v>
      </c>
      <c r="R27" s="1482" t="s">
        <v>8</v>
      </c>
      <c r="S27" s="1483">
        <f>F27</f>
        <v>100</v>
      </c>
      <c r="T27" s="1482" t="s">
        <v>8</v>
      </c>
      <c r="U27" s="1483">
        <f>H27</f>
        <v>100</v>
      </c>
      <c r="V27" s="1482" t="s">
        <v>8</v>
      </c>
      <c r="W27" s="1483">
        <f>J27</f>
        <v>100</v>
      </c>
      <c r="X27" s="1476"/>
      <c r="Y27" s="3701"/>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01"/>
      <c r="Q28" s="1116" t="str">
        <f t="shared" si="11"/>
        <v>朝向</v>
      </c>
      <c r="R28" s="1477" t="s">
        <v>8</v>
      </c>
      <c r="S28" s="1478">
        <f>F28</f>
        <v>100</v>
      </c>
      <c r="T28" s="1477" t="s">
        <v>8</v>
      </c>
      <c r="U28" s="1478">
        <f>H28</f>
        <v>100</v>
      </c>
      <c r="V28" s="1477" t="s">
        <v>8</v>
      </c>
      <c r="W28" s="1478">
        <f>J28</f>
        <v>100</v>
      </c>
      <c r="X28" s="1479"/>
      <c r="Y28" s="3701"/>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01"/>
      <c r="Q29" s="1481">
        <f t="shared" si="11"/>
        <v>111</v>
      </c>
      <c r="R29" s="1482" t="s">
        <v>8</v>
      </c>
      <c r="S29" s="1483">
        <f t="shared" ref="S29:S47" si="12">F29</f>
        <v>100</v>
      </c>
      <c r="T29" s="1482" t="s">
        <v>8</v>
      </c>
      <c r="U29" s="1483">
        <f t="shared" ref="U29:U47" si="13">H29</f>
        <v>100</v>
      </c>
      <c r="V29" s="1482" t="s">
        <v>8</v>
      </c>
      <c r="W29" s="1483">
        <f t="shared" ref="W29:W47" si="14">J29</f>
        <v>100</v>
      </c>
      <c r="X29" s="1476"/>
      <c r="Y29" s="3701"/>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01"/>
      <c r="Q30" s="1481">
        <f t="shared" si="11"/>
        <v>111</v>
      </c>
      <c r="R30" s="1482" t="s">
        <v>8</v>
      </c>
      <c r="S30" s="1483">
        <f t="shared" si="12"/>
        <v>100</v>
      </c>
      <c r="T30" s="1482" t="s">
        <v>8</v>
      </c>
      <c r="U30" s="1483">
        <f t="shared" si="13"/>
        <v>100</v>
      </c>
      <c r="V30" s="1482" t="s">
        <v>8</v>
      </c>
      <c r="W30" s="1483">
        <f t="shared" si="14"/>
        <v>100</v>
      </c>
      <c r="X30" s="1476"/>
      <c r="Y30" s="3701"/>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01"/>
      <c r="Q31" s="1481">
        <f t="shared" si="11"/>
        <v>111</v>
      </c>
      <c r="R31" s="1482" t="s">
        <v>8</v>
      </c>
      <c r="S31" s="1483">
        <f t="shared" si="12"/>
        <v>100</v>
      </c>
      <c r="T31" s="1482" t="s">
        <v>8</v>
      </c>
      <c r="U31" s="1483">
        <f t="shared" si="13"/>
        <v>100</v>
      </c>
      <c r="V31" s="1482" t="s">
        <v>8</v>
      </c>
      <c r="W31" s="1483">
        <f t="shared" si="14"/>
        <v>100</v>
      </c>
      <c r="X31" s="1476"/>
      <c r="Y31" s="3701"/>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01"/>
      <c r="Q32" s="1481">
        <f t="shared" si="11"/>
        <v>111</v>
      </c>
      <c r="R32" s="1482" t="s">
        <v>8</v>
      </c>
      <c r="S32" s="1483">
        <f t="shared" si="12"/>
        <v>100</v>
      </c>
      <c r="T32" s="1482" t="s">
        <v>8</v>
      </c>
      <c r="U32" s="1483">
        <f t="shared" si="13"/>
        <v>100</v>
      </c>
      <c r="V32" s="1482" t="s">
        <v>8</v>
      </c>
      <c r="W32" s="1483">
        <f t="shared" si="14"/>
        <v>100</v>
      </c>
      <c r="X32" s="1476"/>
      <c r="Y32" s="3701"/>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02" t="s">
        <v>528</v>
      </c>
      <c r="Q33" s="1481" t="str">
        <f t="shared" si="11"/>
        <v>建筑类型</v>
      </c>
      <c r="R33" s="1482" t="s">
        <v>8</v>
      </c>
      <c r="S33" s="1483">
        <f t="shared" si="12"/>
        <v>100</v>
      </c>
      <c r="T33" s="1482" t="s">
        <v>8</v>
      </c>
      <c r="U33" s="1483">
        <f t="shared" si="13"/>
        <v>100</v>
      </c>
      <c r="V33" s="1482" t="s">
        <v>8</v>
      </c>
      <c r="W33" s="1483">
        <f t="shared" si="14"/>
        <v>100</v>
      </c>
      <c r="X33" s="1476"/>
      <c r="Y33" s="3703"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03"/>
      <c r="Q34" s="1510" t="str">
        <f t="shared" si="11"/>
        <v>项目建筑规模</v>
      </c>
      <c r="R34" s="1486" t="s">
        <v>8</v>
      </c>
      <c r="S34" s="1487" t="e">
        <f t="shared" si="12"/>
        <v>#N/A</v>
      </c>
      <c r="T34" s="1486" t="s">
        <v>8</v>
      </c>
      <c r="U34" s="1487" t="e">
        <f t="shared" si="13"/>
        <v>#N/A</v>
      </c>
      <c r="V34" s="1486" t="s">
        <v>8</v>
      </c>
      <c r="W34" s="1487" t="e">
        <f t="shared" si="14"/>
        <v>#N/A</v>
      </c>
      <c r="X34" s="1488"/>
      <c r="Y34" s="3703"/>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03"/>
      <c r="Q35" s="1481" t="str">
        <f t="shared" si="11"/>
        <v>建筑结构</v>
      </c>
      <c r="R35" s="1482" t="s">
        <v>8</v>
      </c>
      <c r="S35" s="1483">
        <f t="shared" si="12"/>
        <v>100</v>
      </c>
      <c r="T35" s="1482" t="s">
        <v>8</v>
      </c>
      <c r="U35" s="1483">
        <f t="shared" si="13"/>
        <v>100</v>
      </c>
      <c r="V35" s="1482" t="s">
        <v>8</v>
      </c>
      <c r="W35" s="1483">
        <f t="shared" si="14"/>
        <v>100</v>
      </c>
      <c r="X35" s="1476"/>
      <c r="Y35" s="3703"/>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03"/>
      <c r="Q36" s="1481" t="str">
        <f t="shared" si="11"/>
        <v>公共部分装修</v>
      </c>
      <c r="R36" s="1482" t="s">
        <v>8</v>
      </c>
      <c r="S36" s="1483">
        <f t="shared" si="12"/>
        <v>100</v>
      </c>
      <c r="T36" s="1482" t="s">
        <v>8</v>
      </c>
      <c r="U36" s="1483">
        <f t="shared" si="13"/>
        <v>100</v>
      </c>
      <c r="V36" s="1482" t="s">
        <v>8</v>
      </c>
      <c r="W36" s="1483">
        <f t="shared" si="14"/>
        <v>100</v>
      </c>
      <c r="X36" s="1476"/>
      <c r="Y36" s="3703"/>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03"/>
      <c r="Q37" s="1481" t="str">
        <f t="shared" si="11"/>
        <v>成新度</v>
      </c>
      <c r="R37" s="1482" t="s">
        <v>8</v>
      </c>
      <c r="S37" s="1483" t="e">
        <f t="shared" si="12"/>
        <v>#N/A</v>
      </c>
      <c r="T37" s="1482" t="s">
        <v>8</v>
      </c>
      <c r="U37" s="1483" t="e">
        <f t="shared" si="13"/>
        <v>#N/A</v>
      </c>
      <c r="V37" s="1482" t="s">
        <v>8</v>
      </c>
      <c r="W37" s="1483" t="e">
        <f t="shared" si="14"/>
        <v>#N/A</v>
      </c>
      <c r="X37" s="1476"/>
      <c r="Y37" s="3703"/>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03"/>
      <c r="Q38" s="1116" t="str">
        <f t="shared" si="11"/>
        <v>写字楼等级</v>
      </c>
      <c r="R38" s="1477" t="s">
        <v>8</v>
      </c>
      <c r="S38" s="1478">
        <f t="shared" si="12"/>
        <v>100</v>
      </c>
      <c r="T38" s="1477" t="s">
        <v>8</v>
      </c>
      <c r="U38" s="1478">
        <f t="shared" si="13"/>
        <v>100</v>
      </c>
      <c r="V38" s="1477" t="s">
        <v>8</v>
      </c>
      <c r="W38" s="1478">
        <f t="shared" si="14"/>
        <v>100</v>
      </c>
      <c r="X38" s="1479"/>
      <c r="Y38" s="3703"/>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03" t="s">
        <v>528</v>
      </c>
      <c r="Q39" s="1481" t="str">
        <f t="shared" si="11"/>
        <v>物业管理</v>
      </c>
      <c r="R39" s="1482" t="s">
        <v>8</v>
      </c>
      <c r="S39" s="1483">
        <f t="shared" si="12"/>
        <v>100</v>
      </c>
      <c r="T39" s="1482" t="s">
        <v>8</v>
      </c>
      <c r="U39" s="1483">
        <f t="shared" si="13"/>
        <v>100</v>
      </c>
      <c r="V39" s="1482" t="s">
        <v>8</v>
      </c>
      <c r="W39" s="1483">
        <f t="shared" si="14"/>
        <v>100</v>
      </c>
      <c r="X39" s="1476"/>
      <c r="Y39" s="3703"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03"/>
      <c r="Q40" s="1481" t="str">
        <f t="shared" si="11"/>
        <v>市政基础设施</v>
      </c>
      <c r="R40" s="1482" t="s">
        <v>8</v>
      </c>
      <c r="S40" s="1483">
        <f t="shared" si="12"/>
        <v>100</v>
      </c>
      <c r="T40" s="1482" t="s">
        <v>8</v>
      </c>
      <c r="U40" s="1483">
        <f t="shared" si="13"/>
        <v>100</v>
      </c>
      <c r="V40" s="1482" t="s">
        <v>8</v>
      </c>
      <c r="W40" s="1483">
        <f t="shared" si="14"/>
        <v>100</v>
      </c>
      <c r="X40" s="1476"/>
      <c r="Y40" s="3703"/>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03"/>
      <c r="Q41" s="1481" t="str">
        <f t="shared" si="11"/>
        <v>层高</v>
      </c>
      <c r="R41" s="1482" t="s">
        <v>8</v>
      </c>
      <c r="S41" s="1483">
        <f t="shared" si="12"/>
        <v>100</v>
      </c>
      <c r="T41" s="1482" t="s">
        <v>8</v>
      </c>
      <c r="U41" s="1483">
        <f t="shared" si="13"/>
        <v>100</v>
      </c>
      <c r="V41" s="1482" t="s">
        <v>8</v>
      </c>
      <c r="W41" s="1483">
        <f t="shared" si="14"/>
        <v>100</v>
      </c>
      <c r="X41" s="1476"/>
      <c r="Y41" s="3703"/>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03"/>
      <c r="Q42" s="1510" t="str">
        <f t="shared" si="11"/>
        <v>单套建筑面积</v>
      </c>
      <c r="R42" s="1486" t="s">
        <v>8</v>
      </c>
      <c r="S42" s="1487">
        <f t="shared" si="12"/>
        <v>100</v>
      </c>
      <c r="T42" s="1486" t="s">
        <v>8</v>
      </c>
      <c r="U42" s="1487">
        <f t="shared" si="13"/>
        <v>100</v>
      </c>
      <c r="V42" s="1486" t="s">
        <v>8</v>
      </c>
      <c r="W42" s="1487">
        <f t="shared" si="14"/>
        <v>100</v>
      </c>
      <c r="X42" s="1488"/>
      <c r="Y42" s="3703"/>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03"/>
      <c r="Q43" s="1481" t="str">
        <f t="shared" si="11"/>
        <v>内部装修</v>
      </c>
      <c r="R43" s="1482" t="s">
        <v>8</v>
      </c>
      <c r="S43" s="1483">
        <f t="shared" si="12"/>
        <v>100</v>
      </c>
      <c r="T43" s="1482" t="s">
        <v>8</v>
      </c>
      <c r="U43" s="1483">
        <f t="shared" si="13"/>
        <v>100</v>
      </c>
      <c r="V43" s="1482" t="s">
        <v>8</v>
      </c>
      <c r="W43" s="1483">
        <f t="shared" si="14"/>
        <v>100</v>
      </c>
      <c r="X43" s="1476"/>
      <c r="Y43" s="3703"/>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03"/>
      <c r="Q44" s="1481" t="str">
        <f t="shared" si="11"/>
        <v>内部装修维护情况</v>
      </c>
      <c r="R44" s="1482" t="s">
        <v>8</v>
      </c>
      <c r="S44" s="1483">
        <f t="shared" si="12"/>
        <v>100</v>
      </c>
      <c r="T44" s="1482" t="s">
        <v>8</v>
      </c>
      <c r="U44" s="1483">
        <f t="shared" si="13"/>
        <v>100</v>
      </c>
      <c r="V44" s="1482" t="s">
        <v>8</v>
      </c>
      <c r="W44" s="1483">
        <f t="shared" si="14"/>
        <v>100</v>
      </c>
      <c r="X44" s="1476"/>
      <c r="Y44" s="3703"/>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03"/>
      <c r="Q45" s="1116">
        <f t="shared" si="11"/>
        <v>111</v>
      </c>
      <c r="R45" s="1477" t="s">
        <v>8</v>
      </c>
      <c r="S45" s="1478">
        <f t="shared" si="12"/>
        <v>100</v>
      </c>
      <c r="T45" s="1477" t="s">
        <v>8</v>
      </c>
      <c r="U45" s="1478">
        <f t="shared" si="13"/>
        <v>100</v>
      </c>
      <c r="V45" s="1477" t="s">
        <v>8</v>
      </c>
      <c r="W45" s="1478">
        <f t="shared" si="14"/>
        <v>100</v>
      </c>
      <c r="X45" s="1479"/>
      <c r="Y45" s="3703"/>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03"/>
      <c r="Q46" s="1481">
        <f t="shared" si="11"/>
        <v>111</v>
      </c>
      <c r="R46" s="1482" t="s">
        <v>8</v>
      </c>
      <c r="S46" s="1483">
        <f t="shared" si="12"/>
        <v>100</v>
      </c>
      <c r="T46" s="1482" t="s">
        <v>8</v>
      </c>
      <c r="U46" s="1483">
        <f t="shared" si="13"/>
        <v>100</v>
      </c>
      <c r="V46" s="1482" t="s">
        <v>8</v>
      </c>
      <c r="W46" s="1483">
        <f t="shared" si="14"/>
        <v>100</v>
      </c>
      <c r="X46" s="1476"/>
      <c r="Y46" s="3703"/>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04"/>
      <c r="Q47" s="1481">
        <f t="shared" si="11"/>
        <v>111</v>
      </c>
      <c r="R47" s="1482" t="s">
        <v>8</v>
      </c>
      <c r="S47" s="1483">
        <f t="shared" si="12"/>
        <v>100</v>
      </c>
      <c r="T47" s="1482" t="s">
        <v>8</v>
      </c>
      <c r="U47" s="1483">
        <f t="shared" si="13"/>
        <v>100</v>
      </c>
      <c r="V47" s="1482" t="s">
        <v>8</v>
      </c>
      <c r="W47" s="1483">
        <f t="shared" si="14"/>
        <v>100</v>
      </c>
      <c r="X47" s="1476"/>
      <c r="Y47" s="3804"/>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664" t="str">
        <f>A48</f>
        <v>成交单价（元/平方米）</v>
      </c>
      <c r="Q48" s="3666"/>
      <c r="R48" s="3803">
        <f>E48</f>
        <v>0</v>
      </c>
      <c r="S48" s="3803"/>
      <c r="T48" s="3803">
        <f>G48</f>
        <v>0</v>
      </c>
      <c r="U48" s="3803"/>
      <c r="V48" s="3803">
        <f>I48</f>
        <v>0</v>
      </c>
      <c r="W48" s="3803"/>
      <c r="X48" s="1471"/>
      <c r="Y48" s="1490"/>
      <c r="Z48" s="1471"/>
      <c r="AA48" s="1471"/>
      <c r="AB48" s="1471"/>
      <c r="AC48" s="1471"/>
    </row>
    <row r="49" spans="1:29" ht="15.7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64" t="str">
        <f>A49</f>
        <v>比较价格（元/平方米）</v>
      </c>
      <c r="Q49" s="3666"/>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471"/>
      <c r="Y49" s="1471"/>
      <c r="Z49" s="1471"/>
      <c r="AA49" s="1471"/>
      <c r="AB49" s="1471"/>
      <c r="AC49" s="1471"/>
    </row>
    <row r="50" spans="1:29" ht="15.75" thickBot="1">
      <c r="A50" s="595" t="s">
        <v>2873</v>
      </c>
      <c r="B50" s="596"/>
      <c r="C50" s="2446" t="e">
        <f>R50</f>
        <v>#DIV/0!</v>
      </c>
      <c r="D50" s="2446"/>
      <c r="E50" s="2446"/>
      <c r="F50" s="2446"/>
      <c r="G50" s="2446"/>
      <c r="H50" s="2446"/>
      <c r="I50" s="2446"/>
      <c r="J50" s="2446"/>
      <c r="K50" s="1516"/>
      <c r="L50" s="1997"/>
      <c r="M50" s="1987"/>
      <c r="N50" s="1987"/>
      <c r="O50" s="1987"/>
      <c r="P50" s="3805" t="str">
        <f>A50</f>
        <v>估价对象XX用房的比较价格（楼面单价，元/平方米）</v>
      </c>
      <c r="Q50" s="3664"/>
      <c r="R50" s="3802" t="e">
        <f>IF(F1="售价",ROUND(IF(D49="简单平均",AVERAGE(R49:V49),R49*F49+T49*H49+V49*J49),0),ROUND(IF(D49="简单平均",AVERAGE(R49:V49),R49*F49+T49*H49+V49*J49),1))</f>
        <v>#DIV/0!</v>
      </c>
      <c r="S50" s="3802"/>
      <c r="T50" s="3802"/>
      <c r="U50" s="3802"/>
      <c r="V50" s="3802"/>
      <c r="W50" s="3802"/>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2022-1</v>
      </c>
      <c r="D59" s="2489">
        <f>EDATE(C59,-1)</f>
        <v>44531</v>
      </c>
      <c r="E59" s="2489">
        <f t="shared" ref="E59:O59" si="16">EDATE(D59,-1)</f>
        <v>44501</v>
      </c>
      <c r="F59" s="2489">
        <f t="shared" si="16"/>
        <v>44470</v>
      </c>
      <c r="G59" s="2489">
        <f t="shared" si="16"/>
        <v>44440</v>
      </c>
      <c r="H59" s="2489">
        <f t="shared" si="16"/>
        <v>44409</v>
      </c>
      <c r="I59" s="2489">
        <f t="shared" si="16"/>
        <v>44378</v>
      </c>
      <c r="J59" s="2489">
        <f t="shared" si="16"/>
        <v>44348</v>
      </c>
      <c r="K59" s="2489">
        <f t="shared" si="16"/>
        <v>44317</v>
      </c>
      <c r="L59" s="2489">
        <f t="shared" si="16"/>
        <v>44287</v>
      </c>
      <c r="M59" s="2489">
        <f t="shared" si="16"/>
        <v>44256</v>
      </c>
      <c r="N59" s="2489">
        <f t="shared" si="16"/>
        <v>44228</v>
      </c>
      <c r="O59" s="2489">
        <f t="shared" si="16"/>
        <v>44197</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672" t="s">
        <v>500</v>
      </c>
      <c r="D4" s="3673"/>
      <c r="E4" s="3706" t="s">
        <v>501</v>
      </c>
      <c r="F4" s="3707"/>
      <c r="G4" s="3672" t="s">
        <v>502</v>
      </c>
      <c r="H4" s="3673"/>
      <c r="I4" s="3672" t="s">
        <v>503</v>
      </c>
      <c r="J4" s="3673"/>
      <c r="K4" s="490"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70" t="s">
        <v>502</v>
      </c>
      <c r="AC4" s="3669" t="s">
        <v>503</v>
      </c>
    </row>
    <row r="5" spans="1:29" ht="15">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7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5.7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97"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57">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00" t="s">
        <v>518</v>
      </c>
      <c r="Q15" s="1481" t="str">
        <f t="shared" si="6"/>
        <v>产业集聚程度</v>
      </c>
      <c r="R15" s="1482" t="s">
        <v>8</v>
      </c>
      <c r="S15" s="1483">
        <f t="shared" si="0"/>
        <v>100</v>
      </c>
      <c r="T15" s="1482" t="s">
        <v>8</v>
      </c>
      <c r="U15" s="1483">
        <f t="shared" si="1"/>
        <v>100</v>
      </c>
      <c r="V15" s="1482" t="s">
        <v>8</v>
      </c>
      <c r="W15" s="1483">
        <f t="shared" si="2"/>
        <v>100</v>
      </c>
      <c r="X15" s="1476"/>
      <c r="Y15" s="3700"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01"/>
      <c r="Q16" s="1481"/>
      <c r="R16" s="1482"/>
      <c r="S16" s="1483"/>
      <c r="T16" s="1482"/>
      <c r="U16" s="1483"/>
      <c r="V16" s="1482"/>
      <c r="W16" s="1483"/>
      <c r="X16" s="1476"/>
      <c r="Y16" s="3701"/>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75">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8.5">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01"/>
      <c r="Q22" s="2397"/>
      <c r="R22" s="1482"/>
      <c r="S22" s="1483"/>
      <c r="T22" s="1482"/>
      <c r="U22" s="1483"/>
      <c r="V22" s="1482"/>
      <c r="W22" s="1483"/>
      <c r="X22" s="2399"/>
      <c r="Y22" s="3701"/>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01"/>
      <c r="Q23" s="1481" t="str">
        <f>B23</f>
        <v>环境质量</v>
      </c>
      <c r="R23" s="1482" t="s">
        <v>8</v>
      </c>
      <c r="S23" s="1483">
        <f>F23</f>
        <v>100</v>
      </c>
      <c r="T23" s="1482" t="s">
        <v>8</v>
      </c>
      <c r="U23" s="1483">
        <f>H23</f>
        <v>100</v>
      </c>
      <c r="V23" s="1482" t="s">
        <v>8</v>
      </c>
      <c r="W23" s="1483">
        <f>J23</f>
        <v>100</v>
      </c>
      <c r="X23" s="1476"/>
      <c r="Y23" s="3701"/>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01"/>
      <c r="Q25" s="1481">
        <f>B25</f>
        <v>111</v>
      </c>
      <c r="R25" s="1482" t="s">
        <v>8</v>
      </c>
      <c r="S25" s="1483">
        <f>F25</f>
        <v>100</v>
      </c>
      <c r="T25" s="1482" t="s">
        <v>8</v>
      </c>
      <c r="U25" s="1483">
        <f>H25</f>
        <v>100</v>
      </c>
      <c r="V25" s="1482" t="s">
        <v>8</v>
      </c>
      <c r="W25" s="1483">
        <f>J25</f>
        <v>100</v>
      </c>
      <c r="X25" s="1476"/>
      <c r="Y25" s="3701"/>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01"/>
      <c r="Q26" s="1481">
        <f t="shared" ref="Q26:Q40" si="11">B26</f>
        <v>111</v>
      </c>
      <c r="R26" s="1482" t="s">
        <v>8</v>
      </c>
      <c r="S26" s="1483">
        <f>F26</f>
        <v>100</v>
      </c>
      <c r="T26" s="1482" t="s">
        <v>8</v>
      </c>
      <c r="U26" s="1483">
        <f>H26</f>
        <v>100</v>
      </c>
      <c r="V26" s="1482" t="s">
        <v>8</v>
      </c>
      <c r="W26" s="1483">
        <f>J26</f>
        <v>100</v>
      </c>
      <c r="X26" s="1476"/>
      <c r="Y26" s="3701"/>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01"/>
      <c r="Q27" s="1116">
        <f t="shared" si="11"/>
        <v>111</v>
      </c>
      <c r="R27" s="1477" t="s">
        <v>8</v>
      </c>
      <c r="S27" s="1478">
        <f>F27</f>
        <v>100</v>
      </c>
      <c r="T27" s="1477" t="s">
        <v>8</v>
      </c>
      <c r="U27" s="1478">
        <f>H27</f>
        <v>100</v>
      </c>
      <c r="V27" s="1477" t="s">
        <v>8</v>
      </c>
      <c r="W27" s="1478">
        <f>J27</f>
        <v>100</v>
      </c>
      <c r="X27" s="1479"/>
      <c r="Y27" s="3701"/>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01"/>
      <c r="Q28" s="1481">
        <f t="shared" si="11"/>
        <v>111</v>
      </c>
      <c r="R28" s="1482" t="s">
        <v>8</v>
      </c>
      <c r="S28" s="1483">
        <f t="shared" ref="S28:S40" si="12">F28</f>
        <v>100</v>
      </c>
      <c r="T28" s="1482" t="s">
        <v>8</v>
      </c>
      <c r="U28" s="1483">
        <f t="shared" ref="U28:U40" si="13">H28</f>
        <v>100</v>
      </c>
      <c r="V28" s="1482" t="s">
        <v>8</v>
      </c>
      <c r="W28" s="1483">
        <f t="shared" ref="W28:W40" si="14">J28</f>
        <v>100</v>
      </c>
      <c r="X28" s="1476"/>
      <c r="Y28" s="3701"/>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02" t="s">
        <v>528</v>
      </c>
      <c r="Q29" s="1481" t="str">
        <f t="shared" si="11"/>
        <v>建筑类型</v>
      </c>
      <c r="R29" s="1482" t="s">
        <v>8</v>
      </c>
      <c r="S29" s="1483">
        <f t="shared" si="12"/>
        <v>100</v>
      </c>
      <c r="T29" s="1482" t="s">
        <v>8</v>
      </c>
      <c r="U29" s="1483">
        <f t="shared" si="13"/>
        <v>100</v>
      </c>
      <c r="V29" s="1482" t="s">
        <v>8</v>
      </c>
      <c r="W29" s="1483">
        <f t="shared" si="14"/>
        <v>100</v>
      </c>
      <c r="X29" s="1476"/>
      <c r="Y29" s="3703"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03"/>
      <c r="Q30" s="1510" t="str">
        <f t="shared" si="11"/>
        <v>项目建筑规模</v>
      </c>
      <c r="R30" s="1486" t="s">
        <v>8</v>
      </c>
      <c r="S30" s="1487" t="e">
        <f t="shared" si="12"/>
        <v>#N/A</v>
      </c>
      <c r="T30" s="1486" t="s">
        <v>8</v>
      </c>
      <c r="U30" s="1487" t="e">
        <f t="shared" si="13"/>
        <v>#N/A</v>
      </c>
      <c r="V30" s="1486" t="s">
        <v>8</v>
      </c>
      <c r="W30" s="1487" t="e">
        <f t="shared" si="14"/>
        <v>#N/A</v>
      </c>
      <c r="X30" s="1488"/>
      <c r="Y30" s="3703"/>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03"/>
      <c r="Q31" s="1481" t="str">
        <f t="shared" si="11"/>
        <v>建筑结构</v>
      </c>
      <c r="R31" s="1482" t="s">
        <v>8</v>
      </c>
      <c r="S31" s="1483">
        <f t="shared" si="12"/>
        <v>100</v>
      </c>
      <c r="T31" s="1482" t="s">
        <v>8</v>
      </c>
      <c r="U31" s="1483">
        <f t="shared" si="13"/>
        <v>100</v>
      </c>
      <c r="V31" s="1482" t="s">
        <v>8</v>
      </c>
      <c r="W31" s="1483">
        <f t="shared" si="14"/>
        <v>100</v>
      </c>
      <c r="X31" s="1476"/>
      <c r="Y31" s="3703"/>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03"/>
      <c r="Q32" s="1481" t="str">
        <f t="shared" si="11"/>
        <v>公共部分装修</v>
      </c>
      <c r="R32" s="1482" t="s">
        <v>8</v>
      </c>
      <c r="S32" s="1483">
        <f t="shared" si="12"/>
        <v>100</v>
      </c>
      <c r="T32" s="1482" t="s">
        <v>8</v>
      </c>
      <c r="U32" s="1483">
        <f t="shared" si="13"/>
        <v>100</v>
      </c>
      <c r="V32" s="1482" t="s">
        <v>8</v>
      </c>
      <c r="W32" s="1483">
        <f t="shared" si="14"/>
        <v>100</v>
      </c>
      <c r="X32" s="1476"/>
      <c r="Y32" s="3703"/>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03"/>
      <c r="Q33" s="1481" t="str">
        <f t="shared" si="11"/>
        <v>成新度</v>
      </c>
      <c r="R33" s="1482" t="s">
        <v>8</v>
      </c>
      <c r="S33" s="1483" t="e">
        <f t="shared" si="12"/>
        <v>#N/A</v>
      </c>
      <c r="T33" s="1482" t="s">
        <v>8</v>
      </c>
      <c r="U33" s="1483" t="e">
        <f t="shared" si="13"/>
        <v>#N/A</v>
      </c>
      <c r="V33" s="1482" t="s">
        <v>8</v>
      </c>
      <c r="W33" s="1483" t="e">
        <f t="shared" si="14"/>
        <v>#N/A</v>
      </c>
      <c r="X33" s="1476"/>
      <c r="Y33" s="3703"/>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03"/>
      <c r="Q34" s="1116" t="str">
        <f t="shared" si="11"/>
        <v>物业管理</v>
      </c>
      <c r="R34" s="1477" t="s">
        <v>8</v>
      </c>
      <c r="S34" s="1478">
        <f t="shared" si="12"/>
        <v>100</v>
      </c>
      <c r="T34" s="1477" t="s">
        <v>8</v>
      </c>
      <c r="U34" s="1478">
        <f t="shared" si="13"/>
        <v>100</v>
      </c>
      <c r="V34" s="1477" t="s">
        <v>8</v>
      </c>
      <c r="W34" s="1478">
        <f t="shared" si="14"/>
        <v>100</v>
      </c>
      <c r="X34" s="1479"/>
      <c r="Y34" s="3703"/>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03" t="s">
        <v>528</v>
      </c>
      <c r="Q35" s="1481" t="str">
        <f t="shared" si="11"/>
        <v>市政基础设施</v>
      </c>
      <c r="R35" s="1482" t="s">
        <v>8</v>
      </c>
      <c r="S35" s="1483">
        <f t="shared" si="12"/>
        <v>100</v>
      </c>
      <c r="T35" s="1482" t="s">
        <v>8</v>
      </c>
      <c r="U35" s="1483">
        <f t="shared" si="13"/>
        <v>100</v>
      </c>
      <c r="V35" s="1482" t="s">
        <v>8</v>
      </c>
      <c r="W35" s="1483">
        <f t="shared" si="14"/>
        <v>100</v>
      </c>
      <c r="X35" s="1476"/>
      <c r="Y35" s="3703"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03"/>
      <c r="Q36" s="1481" t="str">
        <f t="shared" si="11"/>
        <v>内部装修</v>
      </c>
      <c r="R36" s="1482" t="s">
        <v>8</v>
      </c>
      <c r="S36" s="1483">
        <f t="shared" si="12"/>
        <v>100</v>
      </c>
      <c r="T36" s="1482" t="s">
        <v>8</v>
      </c>
      <c r="U36" s="1483">
        <f t="shared" si="13"/>
        <v>100</v>
      </c>
      <c r="V36" s="1482" t="s">
        <v>8</v>
      </c>
      <c r="W36" s="1483">
        <f t="shared" si="14"/>
        <v>100</v>
      </c>
      <c r="X36" s="1476"/>
      <c r="Y36" s="3703"/>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03"/>
      <c r="Q37" s="1481" t="str">
        <f t="shared" si="11"/>
        <v>内部装修状况</v>
      </c>
      <c r="R37" s="1482" t="s">
        <v>8</v>
      </c>
      <c r="S37" s="1483">
        <f t="shared" si="12"/>
        <v>100</v>
      </c>
      <c r="T37" s="1482" t="s">
        <v>8</v>
      </c>
      <c r="U37" s="1483">
        <f t="shared" si="13"/>
        <v>100</v>
      </c>
      <c r="V37" s="1482" t="s">
        <v>8</v>
      </c>
      <c r="W37" s="1483">
        <f t="shared" si="14"/>
        <v>100</v>
      </c>
      <c r="X37" s="1476"/>
      <c r="Y37" s="3703"/>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03"/>
      <c r="Q38" s="1510">
        <f t="shared" si="11"/>
        <v>111</v>
      </c>
      <c r="R38" s="1486" t="s">
        <v>8</v>
      </c>
      <c r="S38" s="1487">
        <f t="shared" si="12"/>
        <v>100</v>
      </c>
      <c r="T38" s="1486" t="s">
        <v>8</v>
      </c>
      <c r="U38" s="1487">
        <f t="shared" si="13"/>
        <v>100</v>
      </c>
      <c r="V38" s="1486" t="s">
        <v>8</v>
      </c>
      <c r="W38" s="1487">
        <f t="shared" si="14"/>
        <v>100</v>
      </c>
      <c r="X38" s="1488"/>
      <c r="Y38" s="3703"/>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03"/>
      <c r="Q39" s="1481">
        <f t="shared" si="11"/>
        <v>111</v>
      </c>
      <c r="R39" s="1482" t="s">
        <v>8</v>
      </c>
      <c r="S39" s="1483">
        <f t="shared" si="12"/>
        <v>100</v>
      </c>
      <c r="T39" s="1482" t="s">
        <v>8</v>
      </c>
      <c r="U39" s="1483">
        <f t="shared" si="13"/>
        <v>100</v>
      </c>
      <c r="V39" s="1482" t="s">
        <v>8</v>
      </c>
      <c r="W39" s="1483">
        <f t="shared" si="14"/>
        <v>100</v>
      </c>
      <c r="X39" s="1476"/>
      <c r="Y39" s="3703"/>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04"/>
      <c r="Q40" s="1481">
        <f t="shared" si="11"/>
        <v>111</v>
      </c>
      <c r="R40" s="1482" t="s">
        <v>8</v>
      </c>
      <c r="S40" s="1483">
        <f t="shared" si="12"/>
        <v>100</v>
      </c>
      <c r="T40" s="1482" t="s">
        <v>8</v>
      </c>
      <c r="U40" s="1483">
        <f t="shared" si="13"/>
        <v>100</v>
      </c>
      <c r="V40" s="1482" t="s">
        <v>8</v>
      </c>
      <c r="W40" s="1483">
        <f t="shared" si="14"/>
        <v>100</v>
      </c>
      <c r="X40" s="1476"/>
      <c r="Y40" s="3804"/>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666" t="str">
        <f>A41</f>
        <v>成交单价（元/平方米）</v>
      </c>
      <c r="Q41" s="3666"/>
      <c r="R41" s="3803">
        <f>E41</f>
        <v>0</v>
      </c>
      <c r="S41" s="3803"/>
      <c r="T41" s="3803">
        <f>G41</f>
        <v>0</v>
      </c>
      <c r="U41" s="3803"/>
      <c r="V41" s="3803">
        <f>I41</f>
        <v>0</v>
      </c>
      <c r="W41" s="3803"/>
      <c r="X41" s="1471"/>
      <c r="Y41" s="1490"/>
      <c r="Z41" s="1471"/>
      <c r="AA41" s="1471"/>
      <c r="AB41" s="1471"/>
      <c r="AC41" s="1471"/>
    </row>
    <row r="42" spans="1:29" ht="15.7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66" t="str">
        <f>A42</f>
        <v>比较价格（元/平方米）</v>
      </c>
      <c r="Q42" s="3666"/>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471"/>
      <c r="Y42" s="1471"/>
      <c r="Z42" s="1471"/>
      <c r="AA42" s="1471"/>
      <c r="AB42" s="1471"/>
      <c r="AC42" s="1471"/>
    </row>
    <row r="43" spans="1:29" ht="15.75" thickBot="1">
      <c r="A43" s="595" t="s">
        <v>2873</v>
      </c>
      <c r="B43" s="596"/>
      <c r="C43" s="2446" t="e">
        <f>R43</f>
        <v>#DIV/0!</v>
      </c>
      <c r="D43" s="2446"/>
      <c r="E43" s="2446"/>
      <c r="F43" s="2446"/>
      <c r="G43" s="2446"/>
      <c r="H43" s="2446"/>
      <c r="I43" s="2446"/>
      <c r="J43" s="2446"/>
      <c r="K43" s="1516"/>
      <c r="L43" s="1997"/>
      <c r="M43" s="1998"/>
      <c r="N43" s="1998"/>
      <c r="O43" s="1998"/>
      <c r="P43" s="3663" t="str">
        <f>A43</f>
        <v>估价对象XX用房的比较价格（楼面单价，元/平方米）</v>
      </c>
      <c r="Q43" s="3664"/>
      <c r="R43" s="3802" t="e">
        <f>IF(F1="售价",ROUND(IF(D42="简单平均",AVERAGE(R42:V42),R42*F42+T42*H42+V42*J42),0),ROUND(IF(D42="简单平均",AVERAGE(R42:V42),R42*F42+T42*H42+V42*J42),1))</f>
        <v>#DIV/0!</v>
      </c>
      <c r="S43" s="3802"/>
      <c r="T43" s="3802"/>
      <c r="U43" s="3802"/>
      <c r="V43" s="3802"/>
      <c r="W43" s="3802"/>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2022-1</v>
      </c>
      <c r="D52" s="2489">
        <f>EDATE(C52,-1)</f>
        <v>44531</v>
      </c>
      <c r="E52" s="2489">
        <f t="shared" ref="E52:O52" si="16">EDATE(D52,-1)</f>
        <v>44501</v>
      </c>
      <c r="F52" s="2489">
        <f t="shared" si="16"/>
        <v>44470</v>
      </c>
      <c r="G52" s="2489">
        <f t="shared" si="16"/>
        <v>44440</v>
      </c>
      <c r="H52" s="2489">
        <f t="shared" si="16"/>
        <v>44409</v>
      </c>
      <c r="I52" s="2489">
        <f t="shared" si="16"/>
        <v>44378</v>
      </c>
      <c r="J52" s="2489">
        <f t="shared" si="16"/>
        <v>44348</v>
      </c>
      <c r="K52" s="2489">
        <f t="shared" si="16"/>
        <v>44317</v>
      </c>
      <c r="L52" s="2489">
        <f t="shared" si="16"/>
        <v>44287</v>
      </c>
      <c r="M52" s="2489">
        <f t="shared" si="16"/>
        <v>44256</v>
      </c>
      <c r="N52" s="2489">
        <f t="shared" si="16"/>
        <v>44228</v>
      </c>
      <c r="O52" s="2489">
        <f t="shared" si="16"/>
        <v>44197</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72" t="s">
        <v>776</v>
      </c>
      <c r="D4" s="3673"/>
      <c r="E4" s="3672" t="s">
        <v>777</v>
      </c>
      <c r="F4" s="3673"/>
      <c r="G4" s="3672" t="s">
        <v>778</v>
      </c>
      <c r="H4" s="3673"/>
      <c r="I4" s="3672" t="s">
        <v>779</v>
      </c>
      <c r="J4" s="3673"/>
      <c r="K4" s="490" t="s">
        <v>780</v>
      </c>
      <c r="L4" s="1986"/>
      <c r="M4" s="1987"/>
      <c r="N4" s="1987"/>
      <c r="O4" s="1987"/>
      <c r="P4" s="3674" t="s">
        <v>781</v>
      </c>
      <c r="Q4" s="3675"/>
      <c r="R4" s="3680" t="s">
        <v>777</v>
      </c>
      <c r="S4" s="3681"/>
      <c r="T4" s="3680" t="s">
        <v>778</v>
      </c>
      <c r="U4" s="3681"/>
      <c r="V4" s="3667" t="s">
        <v>779</v>
      </c>
      <c r="W4" s="3667"/>
      <c r="X4" s="1476"/>
      <c r="Y4" s="3680" t="s">
        <v>781</v>
      </c>
      <c r="Z4" s="3681"/>
      <c r="AA4" s="3669" t="s">
        <v>777</v>
      </c>
      <c r="AB4" s="3670" t="s">
        <v>778</v>
      </c>
      <c r="AC4" s="3669" t="s">
        <v>779</v>
      </c>
    </row>
    <row r="5" spans="1:29" ht="15">
      <c r="A5" s="491"/>
      <c r="B5" s="492"/>
      <c r="C5" s="3688" t="s">
        <v>2867</v>
      </c>
      <c r="D5" s="3689"/>
      <c r="E5" s="3688" t="s">
        <v>2868</v>
      </c>
      <c r="F5" s="368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75" thickBot="1">
      <c r="A6" s="493"/>
      <c r="B6" s="494"/>
      <c r="C6" s="3686" t="s">
        <v>2871</v>
      </c>
      <c r="D6" s="3687"/>
      <c r="E6" s="3690" t="s">
        <v>2871</v>
      </c>
      <c r="F6" s="3691"/>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5.7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97" t="s">
        <v>508</v>
      </c>
      <c r="Q7" s="3699"/>
      <c r="R7" s="1477" t="s">
        <v>8</v>
      </c>
      <c r="S7" s="1478">
        <f t="shared" ref="S7:S14" si="0">F7</f>
        <v>0</v>
      </c>
      <c r="T7" s="1477" t="s">
        <v>8</v>
      </c>
      <c r="U7" s="1478">
        <f t="shared" ref="U7:U14" si="1">H7</f>
        <v>0</v>
      </c>
      <c r="V7" s="1477" t="s">
        <v>8</v>
      </c>
      <c r="W7" s="1478">
        <f t="shared" ref="W7:W14"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66" t="s">
        <v>513</v>
      </c>
      <c r="Q9" s="1116" t="str">
        <f t="shared" ref="Q9:Q14" si="6">B9</f>
        <v>用途</v>
      </c>
      <c r="R9" s="1477" t="s">
        <v>8</v>
      </c>
      <c r="S9" s="1478">
        <f t="shared" si="0"/>
        <v>100</v>
      </c>
      <c r="T9" s="1477" t="s">
        <v>8</v>
      </c>
      <c r="U9" s="1478">
        <f t="shared" si="1"/>
        <v>100</v>
      </c>
      <c r="V9" s="1477" t="s">
        <v>8</v>
      </c>
      <c r="W9" s="1478">
        <f t="shared" si="2"/>
        <v>100</v>
      </c>
      <c r="X9" s="1479"/>
      <c r="Y9" s="360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66"/>
      <c r="Q11" s="1116">
        <f t="shared" si="6"/>
        <v>111</v>
      </c>
      <c r="R11" s="1477" t="s">
        <v>8</v>
      </c>
      <c r="S11" s="1478">
        <f t="shared" si="0"/>
        <v>100</v>
      </c>
      <c r="T11" s="1477" t="s">
        <v>8</v>
      </c>
      <c r="U11" s="1478">
        <f t="shared" si="1"/>
        <v>100</v>
      </c>
      <c r="V11" s="1477" t="s">
        <v>8</v>
      </c>
      <c r="W11" s="1478">
        <f t="shared" si="2"/>
        <v>100</v>
      </c>
      <c r="X11" s="1479"/>
      <c r="Y11" s="3608"/>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85.5">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00" t="s">
        <v>518</v>
      </c>
      <c r="Q14" s="1481" t="str">
        <f t="shared" si="6"/>
        <v>交通便捷度</v>
      </c>
      <c r="R14" s="1482" t="s">
        <v>8</v>
      </c>
      <c r="S14" s="1483">
        <f t="shared" si="0"/>
        <v>100</v>
      </c>
      <c r="T14" s="1482" t="s">
        <v>8</v>
      </c>
      <c r="U14" s="1483">
        <f t="shared" si="1"/>
        <v>100</v>
      </c>
      <c r="V14" s="1482" t="s">
        <v>8</v>
      </c>
      <c r="W14" s="1483">
        <f t="shared" si="2"/>
        <v>100</v>
      </c>
      <c r="X14" s="1476"/>
      <c r="Y14" s="3700"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01"/>
      <c r="Q15" s="1481"/>
      <c r="R15" s="1482"/>
      <c r="S15" s="1483"/>
      <c r="T15" s="1482"/>
      <c r="U15" s="1483"/>
      <c r="V15" s="1482"/>
      <c r="W15" s="1483"/>
      <c r="X15" s="1476"/>
      <c r="Y15" s="3701"/>
      <c r="Z15" s="1484"/>
      <c r="AA15" s="1485">
        <v>1</v>
      </c>
      <c r="AB15" s="1485">
        <v>1</v>
      </c>
      <c r="AC15" s="1485">
        <v>1</v>
      </c>
    </row>
    <row r="16" spans="1:29" ht="42.75">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01"/>
      <c r="Q16" s="1481" t="str">
        <f>B16</f>
        <v>公共配套设施</v>
      </c>
      <c r="R16" s="1482" t="s">
        <v>8</v>
      </c>
      <c r="S16" s="1483">
        <f>F16</f>
        <v>100</v>
      </c>
      <c r="T16" s="1482" t="s">
        <v>8</v>
      </c>
      <c r="U16" s="1483">
        <f>H16</f>
        <v>100</v>
      </c>
      <c r="V16" s="1482" t="s">
        <v>8</v>
      </c>
      <c r="W16" s="1483">
        <f>J16</f>
        <v>100</v>
      </c>
      <c r="X16" s="1476"/>
      <c r="Y16" s="3701"/>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01"/>
      <c r="Q17" s="1481"/>
      <c r="R17" s="1482"/>
      <c r="S17" s="1483"/>
      <c r="T17" s="1482"/>
      <c r="U17" s="1483"/>
      <c r="V17" s="1482"/>
      <c r="W17" s="1483"/>
      <c r="X17" s="1476"/>
      <c r="Y17" s="3701"/>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01"/>
      <c r="Q18" s="2397" t="str">
        <f>B18</f>
        <v>基础设施水平</v>
      </c>
      <c r="R18" s="1482" t="s">
        <v>8</v>
      </c>
      <c r="S18" s="1483">
        <f>F18</f>
        <v>100</v>
      </c>
      <c r="T18" s="1482" t="s">
        <v>8</v>
      </c>
      <c r="U18" s="1483">
        <f>H18</f>
        <v>100</v>
      </c>
      <c r="V18" s="1482" t="s">
        <v>8</v>
      </c>
      <c r="W18" s="1483">
        <f>J18</f>
        <v>100</v>
      </c>
      <c r="X18" s="2399"/>
      <c r="Y18" s="3701"/>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01"/>
      <c r="Q19" s="2397"/>
      <c r="R19" s="1482"/>
      <c r="S19" s="1483"/>
      <c r="T19" s="1482"/>
      <c r="U19" s="1483"/>
      <c r="V19" s="1482"/>
      <c r="W19" s="1483"/>
      <c r="X19" s="2399"/>
      <c r="Y19" s="3701"/>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01"/>
      <c r="Q20" s="1481" t="str">
        <f>B20</f>
        <v>自然及人文环境</v>
      </c>
      <c r="R20" s="1482" t="s">
        <v>8</v>
      </c>
      <c r="S20" s="1483">
        <f>F20</f>
        <v>100</v>
      </c>
      <c r="T20" s="1482" t="s">
        <v>8</v>
      </c>
      <c r="U20" s="1483">
        <f>H20</f>
        <v>100</v>
      </c>
      <c r="V20" s="1482" t="s">
        <v>8</v>
      </c>
      <c r="W20" s="1483">
        <f>J20</f>
        <v>100</v>
      </c>
      <c r="X20" s="1476"/>
      <c r="Y20" s="3701"/>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01"/>
      <c r="Q21" s="1481"/>
      <c r="R21" s="1482"/>
      <c r="S21" s="1483"/>
      <c r="T21" s="1482"/>
      <c r="U21" s="1483"/>
      <c r="V21" s="1482"/>
      <c r="W21" s="1483"/>
      <c r="X21" s="1476"/>
      <c r="Y21" s="3701"/>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01"/>
      <c r="Q22" s="1481" t="str">
        <f>B22</f>
        <v>楼层</v>
      </c>
      <c r="R22" s="1482" t="s">
        <v>8</v>
      </c>
      <c r="S22" s="1483">
        <f>F22</f>
        <v>100</v>
      </c>
      <c r="T22" s="1482" t="s">
        <v>8</v>
      </c>
      <c r="U22" s="1483">
        <f>H22</f>
        <v>100</v>
      </c>
      <c r="V22" s="1482" t="s">
        <v>8</v>
      </c>
      <c r="W22" s="1483">
        <f>J22</f>
        <v>100</v>
      </c>
      <c r="X22" s="1476"/>
      <c r="Y22" s="3701"/>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01"/>
      <c r="Q23" s="1481">
        <f>B23</f>
        <v>111</v>
      </c>
      <c r="R23" s="1482" t="s">
        <v>8</v>
      </c>
      <c r="S23" s="1483">
        <f>F23</f>
        <v>100</v>
      </c>
      <c r="T23" s="1482" t="s">
        <v>8</v>
      </c>
      <c r="U23" s="1483">
        <f>H23</f>
        <v>100</v>
      </c>
      <c r="V23" s="1482" t="s">
        <v>8</v>
      </c>
      <c r="W23" s="1483">
        <f>J23</f>
        <v>100</v>
      </c>
      <c r="X23" s="1476"/>
      <c r="Y23" s="3701"/>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01"/>
      <c r="Q24" s="1481">
        <f t="shared" ref="Q24:Q36" si="11">B24</f>
        <v>111</v>
      </c>
      <c r="R24" s="1482" t="s">
        <v>8</v>
      </c>
      <c r="S24" s="1483">
        <f>F24</f>
        <v>100</v>
      </c>
      <c r="T24" s="1482" t="s">
        <v>8</v>
      </c>
      <c r="U24" s="1483">
        <f>H24</f>
        <v>100</v>
      </c>
      <c r="V24" s="1482" t="s">
        <v>8</v>
      </c>
      <c r="W24" s="1483">
        <f>J24</f>
        <v>100</v>
      </c>
      <c r="X24" s="1476"/>
      <c r="Y24" s="3701"/>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01"/>
      <c r="Q25" s="1116">
        <f t="shared" si="11"/>
        <v>111</v>
      </c>
      <c r="R25" s="1477" t="s">
        <v>8</v>
      </c>
      <c r="S25" s="1478">
        <f>F25</f>
        <v>100</v>
      </c>
      <c r="T25" s="1477" t="s">
        <v>8</v>
      </c>
      <c r="U25" s="1478">
        <f>H25</f>
        <v>100</v>
      </c>
      <c r="V25" s="1477" t="s">
        <v>8</v>
      </c>
      <c r="W25" s="1478">
        <f>J25</f>
        <v>100</v>
      </c>
      <c r="X25" s="1479"/>
      <c r="Y25" s="3701"/>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02"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03"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03"/>
      <c r="Q27" s="1510" t="str">
        <f t="shared" si="11"/>
        <v>项目停车位配比</v>
      </c>
      <c r="R27" s="1486" t="s">
        <v>8</v>
      </c>
      <c r="S27" s="1487">
        <f t="shared" si="12"/>
        <v>100</v>
      </c>
      <c r="T27" s="1486" t="s">
        <v>8</v>
      </c>
      <c r="U27" s="1487">
        <f t="shared" si="13"/>
        <v>100</v>
      </c>
      <c r="V27" s="1486" t="s">
        <v>8</v>
      </c>
      <c r="W27" s="1487">
        <f t="shared" si="14"/>
        <v>100</v>
      </c>
      <c r="X27" s="1488"/>
      <c r="Y27" s="3703"/>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03"/>
      <c r="Q28" s="1481" t="str">
        <f t="shared" si="11"/>
        <v>公共部分装修</v>
      </c>
      <c r="R28" s="1482" t="s">
        <v>8</v>
      </c>
      <c r="S28" s="1483">
        <f t="shared" si="12"/>
        <v>100</v>
      </c>
      <c r="T28" s="1482" t="s">
        <v>8</v>
      </c>
      <c r="U28" s="1483">
        <f t="shared" si="13"/>
        <v>100</v>
      </c>
      <c r="V28" s="1482" t="s">
        <v>8</v>
      </c>
      <c r="W28" s="1483">
        <f t="shared" si="14"/>
        <v>100</v>
      </c>
      <c r="X28" s="1476"/>
      <c r="Y28" s="3703"/>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03"/>
      <c r="Q29" s="1481" t="str">
        <f t="shared" si="11"/>
        <v>成新率</v>
      </c>
      <c r="R29" s="1482" t="s">
        <v>8</v>
      </c>
      <c r="S29" s="1483" t="e">
        <f t="shared" si="12"/>
        <v>#N/A</v>
      </c>
      <c r="T29" s="1482" t="s">
        <v>8</v>
      </c>
      <c r="U29" s="1483" t="e">
        <f t="shared" si="13"/>
        <v>#N/A</v>
      </c>
      <c r="V29" s="1482" t="s">
        <v>8</v>
      </c>
      <c r="W29" s="1483" t="e">
        <f t="shared" si="14"/>
        <v>#N/A</v>
      </c>
      <c r="X29" s="1476"/>
      <c r="Y29" s="3703"/>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03"/>
      <c r="Q30" s="1481" t="str">
        <f t="shared" si="11"/>
        <v>物业等级</v>
      </c>
      <c r="R30" s="1482" t="s">
        <v>8</v>
      </c>
      <c r="S30" s="1483">
        <f t="shared" si="12"/>
        <v>100</v>
      </c>
      <c r="T30" s="1482" t="s">
        <v>8</v>
      </c>
      <c r="U30" s="1483">
        <f t="shared" si="13"/>
        <v>100</v>
      </c>
      <c r="V30" s="1482" t="s">
        <v>8</v>
      </c>
      <c r="W30" s="1483">
        <f t="shared" si="14"/>
        <v>100</v>
      </c>
      <c r="X30" s="1476"/>
      <c r="Y30" s="3703"/>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03"/>
      <c r="Q31" s="1116" t="str">
        <f t="shared" si="11"/>
        <v>停车位面积</v>
      </c>
      <c r="R31" s="1477" t="s">
        <v>8</v>
      </c>
      <c r="S31" s="1478" t="e">
        <f t="shared" si="12"/>
        <v>#N/A</v>
      </c>
      <c r="T31" s="1477" t="s">
        <v>8</v>
      </c>
      <c r="U31" s="1478" t="e">
        <f t="shared" si="13"/>
        <v>#N/A</v>
      </c>
      <c r="V31" s="1477" t="s">
        <v>8</v>
      </c>
      <c r="W31" s="1478" t="e">
        <f t="shared" si="14"/>
        <v>#N/A</v>
      </c>
      <c r="X31" s="1479"/>
      <c r="Y31" s="3703"/>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03" t="s">
        <v>528</v>
      </c>
      <c r="Q32" s="1481" t="str">
        <f t="shared" si="11"/>
        <v>车位类型</v>
      </c>
      <c r="R32" s="1482" t="s">
        <v>8</v>
      </c>
      <c r="S32" s="1483">
        <f t="shared" si="12"/>
        <v>100</v>
      </c>
      <c r="T32" s="1482" t="s">
        <v>8</v>
      </c>
      <c r="U32" s="1483">
        <f t="shared" si="13"/>
        <v>100</v>
      </c>
      <c r="V32" s="1482" t="s">
        <v>8</v>
      </c>
      <c r="W32" s="1483">
        <f t="shared" si="14"/>
        <v>100</v>
      </c>
      <c r="X32" s="1476"/>
      <c r="Y32" s="3703"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03"/>
      <c r="Q33" s="1481" t="str">
        <f t="shared" si="11"/>
        <v>是否直接入户</v>
      </c>
      <c r="R33" s="1482" t="s">
        <v>8</v>
      </c>
      <c r="S33" s="1483">
        <f t="shared" si="12"/>
        <v>100</v>
      </c>
      <c r="T33" s="1482" t="s">
        <v>8</v>
      </c>
      <c r="U33" s="1483">
        <f t="shared" si="13"/>
        <v>100</v>
      </c>
      <c r="V33" s="1482" t="s">
        <v>8</v>
      </c>
      <c r="W33" s="1483">
        <f t="shared" si="14"/>
        <v>100</v>
      </c>
      <c r="X33" s="1476"/>
      <c r="Y33" s="3703"/>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03"/>
      <c r="Q34" s="1481">
        <f t="shared" si="11"/>
        <v>111</v>
      </c>
      <c r="R34" s="1482" t="s">
        <v>8</v>
      </c>
      <c r="S34" s="1483">
        <f t="shared" si="12"/>
        <v>100</v>
      </c>
      <c r="T34" s="1482" t="s">
        <v>8</v>
      </c>
      <c r="U34" s="1483">
        <f t="shared" si="13"/>
        <v>100</v>
      </c>
      <c r="V34" s="1482" t="s">
        <v>8</v>
      </c>
      <c r="W34" s="1483">
        <f t="shared" si="14"/>
        <v>100</v>
      </c>
      <c r="X34" s="1476"/>
      <c r="Y34" s="3703"/>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03"/>
      <c r="Q35" s="1510">
        <f t="shared" si="11"/>
        <v>111</v>
      </c>
      <c r="R35" s="1486" t="s">
        <v>8</v>
      </c>
      <c r="S35" s="1487">
        <f t="shared" si="12"/>
        <v>100</v>
      </c>
      <c r="T35" s="1486" t="s">
        <v>8</v>
      </c>
      <c r="U35" s="1487">
        <f t="shared" si="13"/>
        <v>100</v>
      </c>
      <c r="V35" s="1486" t="s">
        <v>8</v>
      </c>
      <c r="W35" s="1487">
        <f t="shared" si="14"/>
        <v>100</v>
      </c>
      <c r="X35" s="1488"/>
      <c r="Y35" s="3703"/>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03"/>
      <c r="Q36" s="1481">
        <f t="shared" si="11"/>
        <v>111</v>
      </c>
      <c r="R36" s="1482" t="s">
        <v>8</v>
      </c>
      <c r="S36" s="1483">
        <f t="shared" si="12"/>
        <v>100</v>
      </c>
      <c r="T36" s="1482" t="s">
        <v>8</v>
      </c>
      <c r="U36" s="1483">
        <f t="shared" si="13"/>
        <v>100</v>
      </c>
      <c r="V36" s="1482" t="s">
        <v>8</v>
      </c>
      <c r="W36" s="1483">
        <f t="shared" si="14"/>
        <v>100</v>
      </c>
      <c r="X36" s="1476"/>
      <c r="Y36" s="3703"/>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666" t="str">
        <f>A37</f>
        <v>成交单价</v>
      </c>
      <c r="Q37" s="3666"/>
      <c r="R37" s="3803">
        <f>E37</f>
        <v>0</v>
      </c>
      <c r="S37" s="3803"/>
      <c r="T37" s="3803">
        <f>G37</f>
        <v>0</v>
      </c>
      <c r="U37" s="3803"/>
      <c r="V37" s="3803">
        <f>I37</f>
        <v>0</v>
      </c>
      <c r="W37" s="3803"/>
      <c r="X37" s="1471"/>
      <c r="Y37" s="1490"/>
      <c r="Z37" s="1471"/>
      <c r="AA37" s="1471"/>
      <c r="AB37" s="1471"/>
      <c r="AC37" s="1471"/>
    </row>
    <row r="38" spans="1:29" ht="15.7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66" t="str">
        <f>A38</f>
        <v>比较价格（元/平方米）</v>
      </c>
      <c r="Q38" s="3666"/>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471"/>
      <c r="Y38" s="1471"/>
      <c r="Z38" s="1471"/>
      <c r="AA38" s="1471"/>
      <c r="AB38" s="1471"/>
      <c r="AC38" s="1471"/>
    </row>
    <row r="39" spans="1:29" ht="15.75" thickBot="1">
      <c r="A39" s="595" t="s">
        <v>2873</v>
      </c>
      <c r="B39" s="596"/>
      <c r="C39" s="2446" t="e">
        <f>R39</f>
        <v>#DIV/0!</v>
      </c>
      <c r="D39" s="2446"/>
      <c r="E39" s="2446"/>
      <c r="F39" s="2446"/>
      <c r="G39" s="2446"/>
      <c r="H39" s="2446"/>
      <c r="I39" s="2446"/>
      <c r="J39" s="2446"/>
      <c r="K39" s="1516"/>
      <c r="L39" s="1997"/>
      <c r="M39" s="1998"/>
      <c r="N39" s="1998"/>
      <c r="O39" s="1998"/>
      <c r="P39" s="3663" t="str">
        <f>A39</f>
        <v>估价对象XX用房的比较价格（楼面单价，元/平方米）</v>
      </c>
      <c r="Q39" s="3664"/>
      <c r="R39" s="3802" t="e">
        <f>IF(F1="售价",ROUND(IF(D38="简单平均",AVERAGE(R38:W38),R38*F38+T38*H38+V38*J38),0),ROUND(IF(D38="简单平均",AVERAGE(R38:V38),R38*F38+T38*H38+V38*J38),1))</f>
        <v>#DIV/0!</v>
      </c>
      <c r="S39" s="3802"/>
      <c r="T39" s="3802"/>
      <c r="U39" s="3802"/>
      <c r="V39" s="3802"/>
      <c r="W39" s="3802"/>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2022-1</v>
      </c>
      <c r="D48" s="2489">
        <f>EDATE(C48,-1)</f>
        <v>44531</v>
      </c>
      <c r="E48" s="2489">
        <f t="shared" ref="E48:O48" si="16">EDATE(D48,-1)</f>
        <v>44501</v>
      </c>
      <c r="F48" s="2489">
        <f t="shared" si="16"/>
        <v>44470</v>
      </c>
      <c r="G48" s="2489">
        <f t="shared" si="16"/>
        <v>44440</v>
      </c>
      <c r="H48" s="2489">
        <f t="shared" si="16"/>
        <v>44409</v>
      </c>
      <c r="I48" s="2489">
        <f t="shared" si="16"/>
        <v>44378</v>
      </c>
      <c r="J48" s="2489">
        <f t="shared" si="16"/>
        <v>44348</v>
      </c>
      <c r="K48" s="2489">
        <f t="shared" si="16"/>
        <v>44317</v>
      </c>
      <c r="L48" s="2489">
        <f t="shared" si="16"/>
        <v>44287</v>
      </c>
      <c r="M48" s="2489">
        <f t="shared" si="16"/>
        <v>44256</v>
      </c>
      <c r="N48" s="2489">
        <f t="shared" si="16"/>
        <v>44228</v>
      </c>
      <c r="O48" s="2489">
        <f t="shared" si="16"/>
        <v>44197</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72" t="s">
        <v>776</v>
      </c>
      <c r="D4" s="3673"/>
      <c r="E4" s="3706" t="s">
        <v>777</v>
      </c>
      <c r="F4" s="3707"/>
      <c r="G4" s="3672" t="s">
        <v>778</v>
      </c>
      <c r="H4" s="3673"/>
      <c r="I4" s="3672" t="s">
        <v>779</v>
      </c>
      <c r="J4" s="3673"/>
      <c r="K4" s="490" t="s">
        <v>780</v>
      </c>
      <c r="L4" s="1986"/>
      <c r="M4" s="1987"/>
      <c r="N4" s="1987"/>
      <c r="O4" s="1987"/>
      <c r="P4" s="3674" t="s">
        <v>781</v>
      </c>
      <c r="Q4" s="3675"/>
      <c r="R4" s="3680" t="s">
        <v>777</v>
      </c>
      <c r="S4" s="3681"/>
      <c r="T4" s="3680" t="s">
        <v>778</v>
      </c>
      <c r="U4" s="3681"/>
      <c r="V4" s="3667" t="s">
        <v>779</v>
      </c>
      <c r="W4" s="3667"/>
      <c r="X4" s="1476"/>
      <c r="Y4" s="3680" t="s">
        <v>781</v>
      </c>
      <c r="Z4" s="3681"/>
      <c r="AA4" s="3669" t="s">
        <v>777</v>
      </c>
      <c r="AB4" s="3670" t="s">
        <v>778</v>
      </c>
      <c r="AC4" s="3669" t="s">
        <v>779</v>
      </c>
    </row>
    <row r="5" spans="1:29" ht="15">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7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5.7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97" t="s">
        <v>508</v>
      </c>
      <c r="Q7" s="3699"/>
      <c r="R7" s="1477" t="s">
        <v>8</v>
      </c>
      <c r="S7" s="1478">
        <f t="shared" ref="S7:S14" si="0">F7</f>
        <v>0</v>
      </c>
      <c r="T7" s="1477" t="s">
        <v>8</v>
      </c>
      <c r="U7" s="1478">
        <f t="shared" ref="U7:U14" si="1">H7</f>
        <v>0</v>
      </c>
      <c r="V7" s="1477" t="s">
        <v>8</v>
      </c>
      <c r="W7" s="1478">
        <f t="shared" ref="W7:W14" si="2">J7</f>
        <v>0</v>
      </c>
      <c r="X7" s="1479"/>
      <c r="Y7" s="3697" t="s">
        <v>508</v>
      </c>
      <c r="Z7" s="3698"/>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66" t="s">
        <v>513</v>
      </c>
      <c r="Q9" s="1116" t="str">
        <f t="shared" ref="Q9:Q14" si="6">B9</f>
        <v>用途</v>
      </c>
      <c r="R9" s="1477" t="s">
        <v>8</v>
      </c>
      <c r="S9" s="1478">
        <f t="shared" si="0"/>
        <v>100</v>
      </c>
      <c r="T9" s="1477" t="s">
        <v>8</v>
      </c>
      <c r="U9" s="1478">
        <f t="shared" si="1"/>
        <v>100</v>
      </c>
      <c r="V9" s="1477" t="s">
        <v>8</v>
      </c>
      <c r="W9" s="1478">
        <f t="shared" si="2"/>
        <v>100</v>
      </c>
      <c r="X9" s="1479"/>
      <c r="Y9" s="360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66"/>
      <c r="Q11" s="1116">
        <f t="shared" si="6"/>
        <v>111</v>
      </c>
      <c r="R11" s="1477" t="s">
        <v>8</v>
      </c>
      <c r="S11" s="1478">
        <f t="shared" si="0"/>
        <v>100</v>
      </c>
      <c r="T11" s="1477" t="s">
        <v>8</v>
      </c>
      <c r="U11" s="1478">
        <f t="shared" si="1"/>
        <v>100</v>
      </c>
      <c r="V11" s="1477" t="s">
        <v>8</v>
      </c>
      <c r="W11" s="1478">
        <f t="shared" si="2"/>
        <v>100</v>
      </c>
      <c r="X11" s="1479"/>
      <c r="Y11" s="3608"/>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85.5">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00" t="s">
        <v>518</v>
      </c>
      <c r="Q14" s="1481" t="str">
        <f t="shared" si="6"/>
        <v>交通便捷度</v>
      </c>
      <c r="R14" s="1482" t="s">
        <v>8</v>
      </c>
      <c r="S14" s="1483">
        <f t="shared" si="0"/>
        <v>100</v>
      </c>
      <c r="T14" s="1482" t="s">
        <v>8</v>
      </c>
      <c r="U14" s="1483">
        <f t="shared" si="1"/>
        <v>100</v>
      </c>
      <c r="V14" s="1482" t="s">
        <v>8</v>
      </c>
      <c r="W14" s="1483">
        <f t="shared" si="2"/>
        <v>100</v>
      </c>
      <c r="X14" s="1476"/>
      <c r="Y14" s="3700"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01"/>
      <c r="Q15" s="1481"/>
      <c r="R15" s="1482"/>
      <c r="S15" s="1483"/>
      <c r="T15" s="1482"/>
      <c r="U15" s="1483"/>
      <c r="V15" s="1482"/>
      <c r="W15" s="1483"/>
      <c r="X15" s="1476"/>
      <c r="Y15" s="3701"/>
      <c r="Z15" s="1484"/>
      <c r="AA15" s="1485">
        <v>1</v>
      </c>
      <c r="AB15" s="1485">
        <v>1</v>
      </c>
      <c r="AC15" s="1485">
        <v>1</v>
      </c>
    </row>
    <row r="16" spans="1:29" ht="42.75">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01"/>
      <c r="Q16" s="1481" t="str">
        <f>B16</f>
        <v>公共配套设施</v>
      </c>
      <c r="R16" s="1482" t="s">
        <v>8</v>
      </c>
      <c r="S16" s="1483">
        <f>F16</f>
        <v>100</v>
      </c>
      <c r="T16" s="1482" t="s">
        <v>8</v>
      </c>
      <c r="U16" s="1483">
        <f>H16</f>
        <v>100</v>
      </c>
      <c r="V16" s="1482" t="s">
        <v>8</v>
      </c>
      <c r="W16" s="1483">
        <f>J16</f>
        <v>100</v>
      </c>
      <c r="X16" s="1476"/>
      <c r="Y16" s="3701"/>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01"/>
      <c r="Q17" s="1481"/>
      <c r="R17" s="1482"/>
      <c r="S17" s="1483"/>
      <c r="T17" s="1482"/>
      <c r="U17" s="1483"/>
      <c r="V17" s="1482"/>
      <c r="W17" s="1483"/>
      <c r="X17" s="1476"/>
      <c r="Y17" s="3701"/>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01"/>
      <c r="Q18" s="2397" t="str">
        <f>B18</f>
        <v>基础设施水平</v>
      </c>
      <c r="R18" s="1482" t="s">
        <v>8</v>
      </c>
      <c r="S18" s="1483">
        <f>F18</f>
        <v>100</v>
      </c>
      <c r="T18" s="1482" t="s">
        <v>8</v>
      </c>
      <c r="U18" s="1483">
        <f>H18</f>
        <v>100</v>
      </c>
      <c r="V18" s="1482" t="s">
        <v>8</v>
      </c>
      <c r="W18" s="1483">
        <f>J18</f>
        <v>100</v>
      </c>
      <c r="X18" s="2399"/>
      <c r="Y18" s="3701"/>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01"/>
      <c r="Q19" s="2397"/>
      <c r="R19" s="1482"/>
      <c r="S19" s="1483"/>
      <c r="T19" s="1482"/>
      <c r="U19" s="1483"/>
      <c r="V19" s="1482"/>
      <c r="W19" s="1483"/>
      <c r="X19" s="2399"/>
      <c r="Y19" s="3701"/>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01"/>
      <c r="Q20" s="1481" t="str">
        <f>B20</f>
        <v>自然及人文环境</v>
      </c>
      <c r="R20" s="1482" t="s">
        <v>8</v>
      </c>
      <c r="S20" s="1483">
        <f>F20</f>
        <v>100</v>
      </c>
      <c r="T20" s="1482" t="s">
        <v>8</v>
      </c>
      <c r="U20" s="1483">
        <f>H20</f>
        <v>100</v>
      </c>
      <c r="V20" s="1482" t="s">
        <v>8</v>
      </c>
      <c r="W20" s="1483">
        <f>J20</f>
        <v>100</v>
      </c>
      <c r="X20" s="1476"/>
      <c r="Y20" s="3701"/>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01"/>
      <c r="Q21" s="1481"/>
      <c r="R21" s="1482"/>
      <c r="S21" s="1483"/>
      <c r="T21" s="1482"/>
      <c r="U21" s="1483"/>
      <c r="V21" s="1482"/>
      <c r="W21" s="1483"/>
      <c r="X21" s="1476"/>
      <c r="Y21" s="3701"/>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01"/>
      <c r="Q22" s="1481" t="str">
        <f>B22</f>
        <v>楼层</v>
      </c>
      <c r="R22" s="1482" t="s">
        <v>8</v>
      </c>
      <c r="S22" s="1483">
        <f>F22</f>
        <v>100</v>
      </c>
      <c r="T22" s="1482" t="s">
        <v>8</v>
      </c>
      <c r="U22" s="1483">
        <f>H22</f>
        <v>100</v>
      </c>
      <c r="V22" s="1482" t="s">
        <v>8</v>
      </c>
      <c r="W22" s="1483">
        <f>J22</f>
        <v>100</v>
      </c>
      <c r="X22" s="1476"/>
      <c r="Y22" s="3701"/>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01"/>
      <c r="Q23" s="1481">
        <f>B23</f>
        <v>111</v>
      </c>
      <c r="R23" s="1482" t="s">
        <v>8</v>
      </c>
      <c r="S23" s="1483">
        <f>F23</f>
        <v>100</v>
      </c>
      <c r="T23" s="1482" t="s">
        <v>8</v>
      </c>
      <c r="U23" s="1483">
        <f>H23</f>
        <v>100</v>
      </c>
      <c r="V23" s="1482" t="s">
        <v>8</v>
      </c>
      <c r="W23" s="1483">
        <f>J23</f>
        <v>100</v>
      </c>
      <c r="X23" s="1476"/>
      <c r="Y23" s="3701"/>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01"/>
      <c r="Q24" s="1481">
        <f t="shared" ref="Q24:Q34" si="11">B24</f>
        <v>111</v>
      </c>
      <c r="R24" s="1482" t="s">
        <v>8</v>
      </c>
      <c r="S24" s="1483">
        <f>F24</f>
        <v>100</v>
      </c>
      <c r="T24" s="1482" t="s">
        <v>8</v>
      </c>
      <c r="U24" s="1483">
        <f>H24</f>
        <v>100</v>
      </c>
      <c r="V24" s="1482" t="s">
        <v>8</v>
      </c>
      <c r="W24" s="1483">
        <f>J24</f>
        <v>100</v>
      </c>
      <c r="X24" s="1476"/>
      <c r="Y24" s="3701"/>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01"/>
      <c r="Q25" s="1116">
        <f t="shared" si="11"/>
        <v>111</v>
      </c>
      <c r="R25" s="1477" t="s">
        <v>8</v>
      </c>
      <c r="S25" s="1478">
        <f>F25</f>
        <v>100</v>
      </c>
      <c r="T25" s="1477" t="s">
        <v>8</v>
      </c>
      <c r="U25" s="1478">
        <f>H25</f>
        <v>100</v>
      </c>
      <c r="V25" s="1477" t="s">
        <v>8</v>
      </c>
      <c r="W25" s="1478">
        <f>J25</f>
        <v>100</v>
      </c>
      <c r="X25" s="1479"/>
      <c r="Y25" s="3701"/>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02"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03"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03"/>
      <c r="Q27" s="1510" t="str">
        <f t="shared" si="11"/>
        <v>成新率</v>
      </c>
      <c r="R27" s="1486" t="s">
        <v>8</v>
      </c>
      <c r="S27" s="1487" t="e">
        <f t="shared" si="12"/>
        <v>#N/A</v>
      </c>
      <c r="T27" s="1486" t="s">
        <v>8</v>
      </c>
      <c r="U27" s="1487" t="e">
        <f t="shared" si="13"/>
        <v>#N/A</v>
      </c>
      <c r="V27" s="1486" t="s">
        <v>8</v>
      </c>
      <c r="W27" s="1487" t="e">
        <f t="shared" si="14"/>
        <v>#N/A</v>
      </c>
      <c r="X27" s="1488"/>
      <c r="Y27" s="3703"/>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03"/>
      <c r="Q28" s="1481" t="str">
        <f t="shared" si="11"/>
        <v>物业等级</v>
      </c>
      <c r="R28" s="1482" t="s">
        <v>8</v>
      </c>
      <c r="S28" s="1483">
        <f t="shared" si="12"/>
        <v>100</v>
      </c>
      <c r="T28" s="1482" t="s">
        <v>8</v>
      </c>
      <c r="U28" s="1483">
        <f t="shared" si="13"/>
        <v>100</v>
      </c>
      <c r="V28" s="1482" t="s">
        <v>8</v>
      </c>
      <c r="W28" s="1483">
        <f t="shared" si="14"/>
        <v>100</v>
      </c>
      <c r="X28" s="1476"/>
      <c r="Y28" s="3703"/>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03"/>
      <c r="Q29" s="1481" t="str">
        <f t="shared" si="11"/>
        <v>有无电梯</v>
      </c>
      <c r="R29" s="1482" t="s">
        <v>8</v>
      </c>
      <c r="S29" s="1483">
        <f t="shared" si="12"/>
        <v>100</v>
      </c>
      <c r="T29" s="1482" t="s">
        <v>8</v>
      </c>
      <c r="U29" s="1483">
        <f t="shared" si="13"/>
        <v>100</v>
      </c>
      <c r="V29" s="1482" t="s">
        <v>8</v>
      </c>
      <c r="W29" s="1483">
        <f t="shared" si="14"/>
        <v>100</v>
      </c>
      <c r="X29" s="1476"/>
      <c r="Y29" s="3703"/>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03"/>
      <c r="Q30" s="1481" t="str">
        <f t="shared" si="11"/>
        <v>建筑面积</v>
      </c>
      <c r="R30" s="1482" t="s">
        <v>8</v>
      </c>
      <c r="S30" s="1483" t="e">
        <f t="shared" si="12"/>
        <v>#N/A</v>
      </c>
      <c r="T30" s="1482" t="s">
        <v>8</v>
      </c>
      <c r="U30" s="1483" t="e">
        <f t="shared" si="13"/>
        <v>#N/A</v>
      </c>
      <c r="V30" s="1482" t="s">
        <v>8</v>
      </c>
      <c r="W30" s="1483" t="e">
        <f t="shared" si="14"/>
        <v>#N/A</v>
      </c>
      <c r="X30" s="1476"/>
      <c r="Y30" s="3703"/>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03"/>
      <c r="Q31" s="1116" t="str">
        <f t="shared" si="11"/>
        <v>是否封闭</v>
      </c>
      <c r="R31" s="1477" t="s">
        <v>8</v>
      </c>
      <c r="S31" s="1478">
        <f t="shared" si="12"/>
        <v>100</v>
      </c>
      <c r="T31" s="1477" t="s">
        <v>8</v>
      </c>
      <c r="U31" s="1478">
        <f t="shared" si="13"/>
        <v>100</v>
      </c>
      <c r="V31" s="1477" t="s">
        <v>8</v>
      </c>
      <c r="W31" s="1478">
        <f t="shared" si="14"/>
        <v>100</v>
      </c>
      <c r="X31" s="1479"/>
      <c r="Y31" s="3703"/>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03" t="s">
        <v>528</v>
      </c>
      <c r="Q32" s="1481">
        <f t="shared" si="11"/>
        <v>111</v>
      </c>
      <c r="R32" s="1482" t="s">
        <v>8</v>
      </c>
      <c r="S32" s="1483">
        <f t="shared" si="12"/>
        <v>100</v>
      </c>
      <c r="T32" s="1482" t="s">
        <v>8</v>
      </c>
      <c r="U32" s="1483">
        <f t="shared" si="13"/>
        <v>100</v>
      </c>
      <c r="V32" s="1482" t="s">
        <v>8</v>
      </c>
      <c r="W32" s="1483">
        <f t="shared" si="14"/>
        <v>100</v>
      </c>
      <c r="X32" s="1476"/>
      <c r="Y32" s="3703"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03"/>
      <c r="Q33" s="1481">
        <f t="shared" si="11"/>
        <v>111</v>
      </c>
      <c r="R33" s="1482" t="s">
        <v>8</v>
      </c>
      <c r="S33" s="1483">
        <f t="shared" si="12"/>
        <v>100</v>
      </c>
      <c r="T33" s="1482" t="s">
        <v>8</v>
      </c>
      <c r="U33" s="1483">
        <f t="shared" si="13"/>
        <v>100</v>
      </c>
      <c r="V33" s="1482" t="s">
        <v>8</v>
      </c>
      <c r="W33" s="1483">
        <f t="shared" si="14"/>
        <v>100</v>
      </c>
      <c r="X33" s="1476"/>
      <c r="Y33" s="3703"/>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03"/>
      <c r="Q34" s="1481">
        <f t="shared" si="11"/>
        <v>111</v>
      </c>
      <c r="R34" s="1482" t="s">
        <v>8</v>
      </c>
      <c r="S34" s="1483">
        <f t="shared" si="12"/>
        <v>100</v>
      </c>
      <c r="T34" s="1482" t="s">
        <v>8</v>
      </c>
      <c r="U34" s="1483">
        <f t="shared" si="13"/>
        <v>100</v>
      </c>
      <c r="V34" s="1482" t="s">
        <v>8</v>
      </c>
      <c r="W34" s="1483">
        <f t="shared" si="14"/>
        <v>100</v>
      </c>
      <c r="X34" s="1476"/>
      <c r="Y34" s="3703"/>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666" t="str">
        <f>A35</f>
        <v>成交单价（元/平方米）</v>
      </c>
      <c r="Q35" s="3666"/>
      <c r="R35" s="3803">
        <f>E35</f>
        <v>0</v>
      </c>
      <c r="S35" s="3803"/>
      <c r="T35" s="3803">
        <f>G35</f>
        <v>0</v>
      </c>
      <c r="U35" s="3803"/>
      <c r="V35" s="3803">
        <f>I35</f>
        <v>0</v>
      </c>
      <c r="W35" s="3803"/>
      <c r="X35" s="1471"/>
      <c r="Y35" s="1490"/>
      <c r="Z35" s="1471"/>
      <c r="AA35" s="1471"/>
      <c r="AB35" s="1471"/>
      <c r="AC35" s="1471"/>
    </row>
    <row r="36" spans="1:29" ht="15.7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66" t="str">
        <f>A36</f>
        <v>比较价格（元/平方米）</v>
      </c>
      <c r="Q36" s="3666"/>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471"/>
      <c r="Y36" s="1471"/>
      <c r="Z36" s="1471"/>
      <c r="AA36" s="1471"/>
      <c r="AB36" s="1471"/>
      <c r="AC36" s="1471"/>
    </row>
    <row r="37" spans="1:29" ht="15.75" thickBot="1">
      <c r="A37" s="595" t="s">
        <v>2873</v>
      </c>
      <c r="B37" s="596"/>
      <c r="C37" s="2446" t="e">
        <f>R37</f>
        <v>#DIV/0!</v>
      </c>
      <c r="D37" s="2446"/>
      <c r="E37" s="2446"/>
      <c r="F37" s="2446"/>
      <c r="G37" s="2446"/>
      <c r="H37" s="2446"/>
      <c r="I37" s="2446"/>
      <c r="J37" s="2446"/>
      <c r="K37" s="1516"/>
      <c r="L37" s="1997"/>
      <c r="M37" s="1998"/>
      <c r="N37" s="1998"/>
      <c r="O37" s="1998"/>
      <c r="P37" s="3663" t="str">
        <f>A37</f>
        <v>估价对象XX用房的比较价格（楼面单价，元/平方米）</v>
      </c>
      <c r="Q37" s="3664"/>
      <c r="R37" s="3802" t="e">
        <f>IF(F1="售价",ROUND(IF(D36="简单平均",AVERAGE(R36:W36),R36*F36+T36*H36+V36*J36),0),ROUND(IF(D36="简单平均",AVERAGE(R36:V36),R36*F36+T36*H36+V36*J36),1))</f>
        <v>#DIV/0!</v>
      </c>
      <c r="S37" s="3802"/>
      <c r="T37" s="3802"/>
      <c r="U37" s="3802"/>
      <c r="V37" s="3802"/>
      <c r="W37" s="3802"/>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2022-1</v>
      </c>
      <c r="D46" s="2489">
        <f>EDATE(C46,-1)</f>
        <v>44531</v>
      </c>
      <c r="E46" s="2489">
        <f t="shared" ref="E46:O46" si="16">EDATE(D46,-1)</f>
        <v>44501</v>
      </c>
      <c r="F46" s="2489">
        <f t="shared" si="16"/>
        <v>44470</v>
      </c>
      <c r="G46" s="2489">
        <f t="shared" si="16"/>
        <v>44440</v>
      </c>
      <c r="H46" s="2489">
        <f t="shared" si="16"/>
        <v>44409</v>
      </c>
      <c r="I46" s="2489">
        <f t="shared" si="16"/>
        <v>44378</v>
      </c>
      <c r="J46" s="2489">
        <f t="shared" si="16"/>
        <v>44348</v>
      </c>
      <c r="K46" s="2489">
        <f t="shared" si="16"/>
        <v>44317</v>
      </c>
      <c r="L46" s="2489">
        <f t="shared" si="16"/>
        <v>44287</v>
      </c>
      <c r="M46" s="2489">
        <f t="shared" si="16"/>
        <v>44256</v>
      </c>
      <c r="N46" s="2489">
        <f t="shared" si="16"/>
        <v>44228</v>
      </c>
      <c r="O46" s="2489">
        <f t="shared" si="16"/>
        <v>44197</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12" t="s">
        <v>2269</v>
      </c>
      <c r="D1" s="3813"/>
      <c r="E1" s="3813"/>
      <c r="F1" s="3813"/>
      <c r="G1" s="3813"/>
      <c r="H1" s="3813"/>
      <c r="I1" s="3813"/>
      <c r="J1" s="3813"/>
      <c r="K1" s="3813"/>
      <c r="L1" s="3813"/>
      <c r="M1" s="3813"/>
      <c r="N1" s="3813"/>
      <c r="O1" s="3813"/>
      <c r="P1" s="3813"/>
      <c r="Q1" s="3813"/>
      <c r="R1" s="3813"/>
      <c r="S1" s="3814"/>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809" t="s">
        <v>20</v>
      </c>
      <c r="D22" s="3810"/>
      <c r="E22" s="3810"/>
      <c r="F22" s="3810"/>
      <c r="G22" s="3810"/>
      <c r="H22" s="3810"/>
      <c r="I22" s="3810"/>
      <c r="J22" s="3810"/>
      <c r="K22" s="3810"/>
      <c r="L22" s="3810"/>
      <c r="M22" s="3810"/>
      <c r="N22" s="3810"/>
      <c r="O22" s="3810"/>
      <c r="P22" s="3810"/>
      <c r="Q22" s="3811"/>
      <c r="R22" s="474" t="e">
        <f>ROUND(S22*10000/B22,0)</f>
        <v>#DIV/0!</v>
      </c>
      <c r="S22" s="53">
        <f>SUM(S24:S10000)</f>
        <v>0</v>
      </c>
    </row>
    <row r="23" spans="1:45" s="1517" customFormat="1" ht="24">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8" t="s">
        <v>2005</v>
      </c>
      <c r="B1" s="3478"/>
      <c r="C1" s="3478"/>
      <c r="D1" s="3478"/>
      <c r="E1" s="3478"/>
      <c r="F1" s="3478"/>
      <c r="G1" s="3478"/>
      <c r="H1" s="3478"/>
      <c r="I1" s="3478"/>
      <c r="J1" s="3478"/>
      <c r="K1" s="3478"/>
      <c r="L1" s="3478"/>
      <c r="M1" s="3478"/>
      <c r="N1" s="3478"/>
      <c r="O1" s="3478"/>
      <c r="P1" s="3478"/>
      <c r="Q1" s="3478"/>
      <c r="R1" s="3478"/>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9" t="s">
        <v>1996</v>
      </c>
      <c r="B3" s="3479" t="s">
        <v>2684</v>
      </c>
      <c r="C3" s="3480" t="s">
        <v>1997</v>
      </c>
      <c r="D3" s="3479" t="s">
        <v>2688</v>
      </c>
      <c r="E3" s="3482" t="s">
        <v>1998</v>
      </c>
      <c r="F3" s="3482"/>
      <c r="G3" s="3482"/>
      <c r="H3" s="3482" t="s">
        <v>1999</v>
      </c>
      <c r="I3" s="3482"/>
      <c r="J3" s="3482"/>
      <c r="K3" s="3480" t="s">
        <v>2000</v>
      </c>
      <c r="L3" s="3480" t="s">
        <v>2001</v>
      </c>
      <c r="M3" s="3479" t="s">
        <v>2685</v>
      </c>
      <c r="N3" s="3481" t="str">
        <f>"（分摊）"&amp;项目基本情况!B16&amp;"国有建设用地使用权面积/㎡"</f>
        <v>（分摊）出让国有建设用地使用权面积/㎡</v>
      </c>
      <c r="O3" s="3479" t="s">
        <v>2030</v>
      </c>
      <c r="P3" s="3480" t="s">
        <v>2010</v>
      </c>
      <c r="Q3" s="3480" t="s">
        <v>2031</v>
      </c>
      <c r="R3" s="3480" t="s">
        <v>2002</v>
      </c>
    </row>
    <row r="4" spans="1:18" ht="36.75" customHeight="1">
      <c r="A4" s="3479"/>
      <c r="B4" s="3479"/>
      <c r="C4" s="3480"/>
      <c r="D4" s="3479"/>
      <c r="E4" s="2459" t="s">
        <v>2009</v>
      </c>
      <c r="F4" s="2459" t="s">
        <v>2697</v>
      </c>
      <c r="G4" s="2459" t="s">
        <v>2003</v>
      </c>
      <c r="H4" s="2459" t="s">
        <v>2004</v>
      </c>
      <c r="I4" s="2459" t="s">
        <v>2698</v>
      </c>
      <c r="J4" s="2459" t="s">
        <v>2003</v>
      </c>
      <c r="K4" s="3480"/>
      <c r="L4" s="3480"/>
      <c r="M4" s="3479"/>
      <c r="N4" s="3481"/>
      <c r="O4" s="3479"/>
      <c r="P4" s="3480"/>
      <c r="Q4" s="3480"/>
      <c r="R4" s="3480"/>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126069.5</v>
      </c>
      <c r="O5" s="1698">
        <f>项目基本情况!C21</f>
        <v>217541</v>
      </c>
      <c r="P5" s="1698">
        <f ca="1">结果表!E42</f>
        <v>11757</v>
      </c>
      <c r="Q5" s="1698">
        <f ca="1">结果表!D42</f>
        <v>6813</v>
      </c>
      <c r="R5" s="1699">
        <f ca="1">结果表!C42</f>
        <v>148221</v>
      </c>
    </row>
    <row r="6" spans="1:18">
      <c r="A6" s="3475" t="str">
        <f>IF(项目基本情况!B9="市场价格","——","抵押价格")</f>
        <v>——</v>
      </c>
      <c r="B6" s="3476"/>
      <c r="C6" s="3476"/>
      <c r="D6" s="3476"/>
      <c r="E6" s="3476"/>
      <c r="F6" s="3476"/>
      <c r="G6" s="3476"/>
      <c r="H6" s="3476"/>
      <c r="I6" s="3476"/>
      <c r="J6" s="3476"/>
      <c r="K6" s="3476"/>
      <c r="L6" s="3476"/>
      <c r="M6" s="3476"/>
      <c r="N6" s="3476"/>
      <c r="O6" s="3476"/>
      <c r="P6" s="3476"/>
      <c r="Q6" s="3477"/>
      <c r="R6" s="1700" t="str">
        <f>结果表!O39</f>
        <v>——</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700" t="str">
        <f>结果表!O40</f>
        <v>——</v>
      </c>
    </row>
    <row r="8" spans="1:18">
      <c r="A8" s="3475" t="str">
        <f>IF(项目基本情况!B9="市场价格","——",项目基本情况!E9)</f>
        <v>——</v>
      </c>
      <c r="B8" s="3476"/>
      <c r="C8" s="3476"/>
      <c r="D8" s="3476"/>
      <c r="E8" s="3476"/>
      <c r="F8" s="3476"/>
      <c r="G8" s="3476"/>
      <c r="H8" s="3476"/>
      <c r="I8" s="3476"/>
      <c r="J8" s="3476"/>
      <c r="K8" s="3476"/>
      <c r="L8" s="3476"/>
      <c r="M8" s="3476"/>
      <c r="N8" s="3476"/>
      <c r="O8" s="3476"/>
      <c r="P8" s="3476"/>
      <c r="Q8" s="3477"/>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84" t="s">
        <v>2032</v>
      </c>
      <c r="B1" s="3484"/>
      <c r="C1" s="3484"/>
      <c r="D1" s="3484"/>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3" t="s">
        <v>2033</v>
      </c>
      <c r="B5" s="3483"/>
      <c r="C5" s="3483"/>
      <c r="D5" s="3483"/>
    </row>
    <row r="6" spans="1:4">
      <c r="A6" s="3484" t="s">
        <v>2011</v>
      </c>
      <c r="B6" s="3484"/>
      <c r="C6" s="3484"/>
      <c r="D6" s="3484"/>
    </row>
    <row r="7" spans="1:4" ht="33" customHeight="1">
      <c r="A7" s="3484" t="s">
        <v>2528</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4"/>
      <c r="C8" s="3484"/>
      <c r="D8" s="3484"/>
    </row>
    <row r="9" spans="1:4" ht="33.75" customHeight="1">
      <c r="A9" s="3484" t="str">
        <f>IF(项目基本情况!B8="抵押","3.抵押双方在办理抵押登记手续时，应使用本公司出具的正式《土地估价报告》，特提请报告使用者注意。","——")</f>
        <v>——</v>
      </c>
      <c r="B9" s="3484"/>
      <c r="C9" s="3484"/>
      <c r="D9" s="3484"/>
    </row>
    <row r="10" spans="1:4">
      <c r="A10" s="3484" t="str">
        <f>IF(项目基本情况!B8="抵押","4.估价师所知悉的法定优先受偿款情况为：","——")</f>
        <v>——</v>
      </c>
      <c r="B10" s="3484"/>
      <c r="C10" s="3484"/>
      <c r="D10" s="3484"/>
    </row>
    <row r="11" spans="1:4" ht="37.5" customHeight="1">
      <c r="A11" s="3486" t="str">
        <f>IF(项目基本情况!B8="抵押","（1）"&amp;CONCATENATE(项目基本情况!L24,项目基本情况!L25,项目基本情况!L26),"——")</f>
        <v>——</v>
      </c>
      <c r="B11" s="3486"/>
      <c r="C11" s="3486"/>
      <c r="D11" s="3486"/>
    </row>
    <row r="12" spans="1:4" ht="168" customHeight="1">
      <c r="A12" s="3483" t="s">
        <v>2035</v>
      </c>
      <c r="B12" s="3483"/>
      <c r="C12" s="3483"/>
      <c r="D12" s="3483"/>
    </row>
    <row r="13" spans="1:4">
      <c r="A13" s="3487" t="s">
        <v>2699</v>
      </c>
      <c r="B13" s="3487"/>
      <c r="C13" s="3487"/>
      <c r="D13" s="3487"/>
    </row>
    <row r="14" spans="1:4">
      <c r="A14" s="3486" t="str">
        <f>IF(项目基本情况!B8="抵押","综上，"&amp;结果表!K47,"——")</f>
        <v>——</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2655</v>
      </c>
      <c r="B17" s="3484"/>
      <c r="C17" s="3484"/>
      <c r="D17" s="3484"/>
    </row>
    <row r="18" spans="1:4">
      <c r="A18" s="3484" t="s">
        <v>2647</v>
      </c>
      <c r="B18" s="3484"/>
      <c r="C18" s="3484"/>
      <c r="D18" s="3484"/>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84" t="s">
        <v>2652</v>
      </c>
      <c r="B23" s="3484"/>
      <c r="C23" s="3484"/>
      <c r="D23" s="3484"/>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495" t="s">
        <v>53</v>
      </c>
      <c r="B15" s="3496" t="s">
        <v>822</v>
      </c>
      <c r="C15" s="3492"/>
    </row>
    <row r="16" spans="1:7" ht="14.25">
      <c r="A16" s="3495"/>
      <c r="B16" s="3493" t="s">
        <v>54</v>
      </c>
      <c r="C16" s="1137" t="s">
        <v>53</v>
      </c>
    </row>
    <row r="17" spans="1:3" ht="14.25">
      <c r="A17" s="3495"/>
      <c r="B17" s="3493"/>
      <c r="C17" s="1137" t="s">
        <v>55</v>
      </c>
    </row>
    <row r="18" spans="1:3" ht="14.25">
      <c r="A18" s="3495"/>
      <c r="B18" s="3493"/>
      <c r="C18" s="1137" t="s">
        <v>56</v>
      </c>
    </row>
    <row r="19" spans="1:3" ht="14.25">
      <c r="A19" s="3495"/>
      <c r="B19" s="3491" t="s">
        <v>57</v>
      </c>
      <c r="C19" s="3492"/>
    </row>
    <row r="20" spans="1:3" ht="14.25">
      <c r="A20" s="1138" t="s">
        <v>58</v>
      </c>
      <c r="B20" s="1139"/>
      <c r="C20" s="1140"/>
    </row>
    <row r="21" spans="1:3" ht="14.25">
      <c r="A21" s="3494" t="s">
        <v>59</v>
      </c>
      <c r="B21" s="3491" t="s">
        <v>60</v>
      </c>
      <c r="C21" s="3492"/>
    </row>
    <row r="22" spans="1:3" ht="14.25">
      <c r="A22" s="3494"/>
      <c r="B22" s="3491" t="s">
        <v>61</v>
      </c>
      <c r="C22" s="3492"/>
    </row>
    <row r="23" spans="1:3" ht="14.25">
      <c r="A23" s="3494"/>
      <c r="B23" s="3491" t="s">
        <v>62</v>
      </c>
      <c r="C23" s="3492"/>
    </row>
    <row r="24" spans="1:3" ht="14.25">
      <c r="A24" s="3494"/>
      <c r="B24" s="3497" t="s">
        <v>63</v>
      </c>
      <c r="C24" s="1141" t="s">
        <v>813</v>
      </c>
    </row>
    <row r="25" spans="1:3" ht="14.25">
      <c r="A25" s="3494"/>
      <c r="B25" s="3498"/>
      <c r="C25" s="1141" t="s">
        <v>814</v>
      </c>
    </row>
    <row r="26" spans="1:3" ht="14.25">
      <c r="A26" s="3494"/>
      <c r="B26" s="3498"/>
      <c r="C26" s="1141" t="s">
        <v>815</v>
      </c>
    </row>
    <row r="27" spans="1:3" ht="14.25">
      <c r="A27" s="3494"/>
      <c r="B27" s="3498"/>
      <c r="C27" s="1141" t="s">
        <v>816</v>
      </c>
    </row>
    <row r="28" spans="1:3" ht="14.25">
      <c r="A28" s="3494"/>
      <c r="B28" s="3498"/>
      <c r="C28" s="1141" t="s">
        <v>817</v>
      </c>
    </row>
    <row r="29" spans="1:3" ht="14.25">
      <c r="A29" s="3494"/>
      <c r="B29" s="3498"/>
      <c r="C29" s="1141" t="s">
        <v>818</v>
      </c>
    </row>
    <row r="30" spans="1:3" ht="14.25">
      <c r="A30" s="3494"/>
      <c r="B30" s="3498"/>
      <c r="C30" s="1141" t="s">
        <v>819</v>
      </c>
    </row>
    <row r="31" spans="1:3" ht="14.25">
      <c r="A31" s="3494"/>
      <c r="B31" s="3498"/>
      <c r="C31" s="1141" t="s">
        <v>820</v>
      </c>
    </row>
    <row r="32" spans="1:3" ht="14.25">
      <c r="A32" s="3494"/>
      <c r="B32" s="3498"/>
      <c r="C32" s="1141" t="s">
        <v>1621</v>
      </c>
    </row>
    <row r="33" spans="1:3" ht="14.25">
      <c r="A33" s="3494"/>
      <c r="B33" s="3488" t="s">
        <v>1627</v>
      </c>
      <c r="C33" s="1141" t="s">
        <v>1622</v>
      </c>
    </row>
    <row r="34" spans="1:3" ht="14.25">
      <c r="A34" s="3494"/>
      <c r="B34" s="3489"/>
      <c r="C34" s="1146" t="s">
        <v>1623</v>
      </c>
    </row>
    <row r="35" spans="1:3" ht="14.25">
      <c r="A35" s="3494"/>
      <c r="B35" s="3489"/>
      <c r="C35" s="1147" t="s">
        <v>1624</v>
      </c>
    </row>
    <row r="36" spans="1:3" ht="14.25">
      <c r="A36" s="3494"/>
      <c r="B36" s="3489"/>
      <c r="C36" s="1147" t="s">
        <v>1625</v>
      </c>
    </row>
    <row r="37" spans="1:3" ht="14.25">
      <c r="A37" s="3494"/>
      <c r="B37" s="3490"/>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44587</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502" t="s">
        <v>1893</v>
      </c>
      <c r="B17" s="3503"/>
      <c r="C17" s="3503"/>
      <c r="D17" s="3503"/>
      <c r="E17" s="3503"/>
      <c r="F17" s="3503"/>
      <c r="G17" s="3000"/>
    </row>
    <row r="18" spans="1:7" ht="20.25" customHeight="1">
      <c r="A18" s="3499" t="s">
        <v>1894</v>
      </c>
      <c r="B18" s="3499"/>
      <c r="C18" s="3500"/>
      <c r="D18" s="3501" t="s">
        <v>1895</v>
      </c>
      <c r="E18" s="3499"/>
      <c r="F18" s="3499"/>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33" priority="149">
      <formula>AND($C5-TODAY()&lt;30,TODAY()&lt;$C5)</formula>
    </cfRule>
  </conditionalFormatting>
  <conditionalFormatting sqref="C20">
    <cfRule type="expression" dxfId="232" priority="148">
      <formula>AND($C20-TODAY()&lt;30,TODAY()&lt;$C20)</formula>
    </cfRule>
  </conditionalFormatting>
  <conditionalFormatting sqref="C20 F4 C5 C13">
    <cfRule type="cellIs" dxfId="231" priority="150" stopIfTrue="1" operator="lessThan">
      <formula>$B$2</formula>
    </cfRule>
  </conditionalFormatting>
  <conditionalFormatting sqref="F5 F7 F9">
    <cfRule type="cellIs" dxfId="230" priority="144" stopIfTrue="1" operator="lessThan">
      <formula>$B$2</formula>
    </cfRule>
  </conditionalFormatting>
  <conditionalFormatting sqref="C16:D16">
    <cfRule type="expression" dxfId="229" priority="142">
      <formula>AND($C16-TODAY()&lt;30,TODAY()&lt;$C16)</formula>
    </cfRule>
  </conditionalFormatting>
  <conditionalFormatting sqref="F6 F8 F10 C16:D16">
    <cfRule type="cellIs" dxfId="228" priority="143" stopIfTrue="1" operator="lessThan">
      <formula>$B$2</formula>
    </cfRule>
  </conditionalFormatting>
  <conditionalFormatting sqref="F14">
    <cfRule type="cellIs" dxfId="227" priority="114" stopIfTrue="1" operator="lessThan">
      <formula>$B$2</formula>
    </cfRule>
  </conditionalFormatting>
  <conditionalFormatting sqref="F13">
    <cfRule type="cellIs" dxfId="226" priority="113" stopIfTrue="1" operator="lessThan">
      <formula>$B$2</formula>
    </cfRule>
  </conditionalFormatting>
  <conditionalFormatting sqref="B4:B11 E4:E11 E13:E15 B13:B15">
    <cfRule type="cellIs" dxfId="225" priority="111" stopIfTrue="1" operator="equal">
      <formula>"已过期"</formula>
    </cfRule>
  </conditionalFormatting>
  <conditionalFormatting sqref="F20">
    <cfRule type="cellIs" dxfId="224" priority="108" stopIfTrue="1" operator="lessThan">
      <formula>$B$2</formula>
    </cfRule>
  </conditionalFormatting>
  <conditionalFormatting sqref="F20">
    <cfRule type="expression" dxfId="223" priority="152">
      <formula>AND($E20-TODAY()&lt;30,TODAY()&lt;$E20)</formula>
    </cfRule>
  </conditionalFormatting>
  <conditionalFormatting sqref="C6">
    <cfRule type="expression" dxfId="222" priority="82">
      <formula>AND($C6-TODAY()&lt;30,TODAY()&lt;$C6)</formula>
    </cfRule>
  </conditionalFormatting>
  <conditionalFormatting sqref="C6">
    <cfRule type="cellIs" dxfId="221" priority="83" stopIfTrue="1" operator="lessThan">
      <formula>$B$2</formula>
    </cfRule>
  </conditionalFormatting>
  <conditionalFormatting sqref="C11 C15">
    <cfRule type="expression" dxfId="220" priority="80">
      <formula>AND($C11-TODAY()&lt;30,TODAY()&lt;$C11)</formula>
    </cfRule>
  </conditionalFormatting>
  <conditionalFormatting sqref="C11 C15">
    <cfRule type="cellIs" dxfId="219" priority="81" stopIfTrue="1" operator="lessThan">
      <formula>$B$2</formula>
    </cfRule>
  </conditionalFormatting>
  <conditionalFormatting sqref="F11">
    <cfRule type="cellIs" dxfId="218" priority="79" stopIfTrue="1" operator="lessThan">
      <formula>$B$2</formula>
    </cfRule>
  </conditionalFormatting>
  <conditionalFormatting sqref="C14">
    <cfRule type="expression" dxfId="217" priority="60">
      <formula>AND($C14-TODAY()&lt;30,TODAY()&lt;$C14)</formula>
    </cfRule>
  </conditionalFormatting>
  <conditionalFormatting sqref="C14">
    <cfRule type="cellIs" dxfId="216" priority="61" stopIfTrue="1" operator="lessThan">
      <formula>$B$2</formula>
    </cfRule>
  </conditionalFormatting>
  <conditionalFormatting sqref="C12">
    <cfRule type="cellIs" dxfId="215" priority="54" stopIfTrue="1" operator="lessThan">
      <formula>$B$2</formula>
    </cfRule>
  </conditionalFormatting>
  <conditionalFormatting sqref="C12">
    <cfRule type="expression" dxfId="214" priority="51">
      <formula>AND($C12-TODAY()&lt;30,TODAY()&lt;$C12)</formula>
    </cfRule>
  </conditionalFormatting>
  <conditionalFormatting sqref="C12">
    <cfRule type="cellIs" dxfId="213" priority="52" stopIfTrue="1" operator="lessThan">
      <formula>$B$2</formula>
    </cfRule>
  </conditionalFormatting>
  <conditionalFormatting sqref="B12">
    <cfRule type="cellIs" dxfId="212" priority="48" stopIfTrue="1" operator="equal">
      <formula>"已过期"</formula>
    </cfRule>
  </conditionalFormatting>
  <conditionalFormatting sqref="E12">
    <cfRule type="cellIs" dxfId="211" priority="38" stopIfTrue="1" operator="equal">
      <formula>"已过期"</formula>
    </cfRule>
  </conditionalFormatting>
  <conditionalFormatting sqref="F12">
    <cfRule type="cellIs" dxfId="210" priority="37" stopIfTrue="1" operator="lessThan">
      <formula>$B$2</formula>
    </cfRule>
  </conditionalFormatting>
  <conditionalFormatting sqref="C9:C10">
    <cfRule type="expression" dxfId="209" priority="33">
      <formula>AND($C9-TODAY()&lt;30,TODAY()&lt;$C9)</formula>
    </cfRule>
  </conditionalFormatting>
  <conditionalFormatting sqref="C9:C10">
    <cfRule type="cellIs" dxfId="208" priority="34" stopIfTrue="1" operator="lessThan">
      <formula>$B$2</formula>
    </cfRule>
  </conditionalFormatting>
  <conditionalFormatting sqref="F21">
    <cfRule type="cellIs" dxfId="207" priority="13" stopIfTrue="1" operator="lessThan">
      <formula>$B$2</formula>
    </cfRule>
  </conditionalFormatting>
  <conditionalFormatting sqref="F21">
    <cfRule type="expression" dxfId="206" priority="14">
      <formula>AND($E21-TODAY()&lt;30,TODAY()&lt;$E21)</formula>
    </cfRule>
  </conditionalFormatting>
  <conditionalFormatting sqref="C7:C8">
    <cfRule type="expression" dxfId="205" priority="5">
      <formula>AND($C7-TODAY()&lt;30,TODAY()&lt;$C7)</formula>
    </cfRule>
  </conditionalFormatting>
  <conditionalFormatting sqref="C7:C8">
    <cfRule type="cellIs" dxfId="204" priority="6" stopIfTrue="1" operator="lessThan">
      <formula>$B$2</formula>
    </cfRule>
  </conditionalFormatting>
  <conditionalFormatting sqref="C7:C8">
    <cfRule type="expression" dxfId="203" priority="3">
      <formula>AND($C7-TODAY()&lt;30,TODAY()&lt;$C7)</formula>
    </cfRule>
  </conditionalFormatting>
  <conditionalFormatting sqref="C7:C8">
    <cfRule type="cellIs" dxfId="202" priority="4" stopIfTrue="1" operator="lessThan">
      <formula>$B$2</formula>
    </cfRule>
  </conditionalFormatting>
  <conditionalFormatting sqref="C4">
    <cfRule type="expression" dxfId="201" priority="1">
      <formula>AND($C4-TODAY()&lt;30,TODAY()&lt;$C4)</formula>
    </cfRule>
  </conditionalFormatting>
  <conditionalFormatting sqref="C4">
    <cfRule type="cellIs" dxfId="20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4" sqref="B24"/>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3215</v>
      </c>
      <c r="C22" s="1467"/>
    </row>
    <row r="23" spans="1:3">
      <c r="A23" s="8" t="s">
        <v>124</v>
      </c>
      <c r="B23" s="2758" t="s">
        <v>3216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04"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504"/>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04"/>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04"/>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04"/>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剩余法-现房</vt:lpstr>
      <vt:lpstr>比较法-住宅、综合</vt:lpstr>
      <vt:lpstr>比较法-工业</vt:lpstr>
      <vt:lpstr>剩余法-商业</vt:lpstr>
      <vt:lpstr>基准地价（住宅）</vt:lpstr>
      <vt:lpstr>修正</vt:lpstr>
      <vt:lpstr>区片价</vt:lpstr>
      <vt:lpstr>容积率修正</vt:lpstr>
      <vt:lpstr>因素修正幅度</vt:lpstr>
      <vt:lpstr>地价</vt:lpstr>
      <vt:lpstr>基准地价（住宅）1.2</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'基准地价（住宅）1.2'!Print_Area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'基准地价（住宅）1.2'!季度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2022-01-26T08:50:45Z</dcterms:modified>
</cp:coreProperties>
</file>